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_rels/sheet1.xml.rels" ContentType="application/vnd.openxmlformats-package.relationships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23.xml" ContentType="application/vnd.openxmlformats-officedocument.spreadsheetml.worksheet+xml"/>
  <Override PartName="/xl/worksheets/sheet5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1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13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40.xml" ContentType="application/vnd.openxmlformats-officedocument.spreadsheetml.worksheet+xml"/>
  <Override PartName="/xl/worksheets/sheet39.xml" ContentType="application/vnd.openxmlformats-officedocument.spreadsheetml.worksheet+xml"/>
  <Override PartName="/xl/worksheets/sheet4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3.xml" ContentType="application/vnd.openxmlformats-officedocument.spreadsheetml.worksheet+xml"/>
  <Override PartName="/xl/worksheets/sheet21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wmf" ContentType="image/x-wmf"/>
  <Override PartName="/xl/media/image2.wmf" ContentType="image/x-wmf"/>
  <Override PartName="/xl/media/image3.wmf" ContentType="image/x-wmf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over Page" sheetId="1" state="visible" r:id="rId2"/>
    <sheet name="Contents" sheetId="2" state="visible" r:id="rId3"/>
    <sheet name="Table IA" sheetId="3" state="visible" r:id="rId4"/>
    <sheet name="Table IB" sheetId="4" state="visible" r:id="rId5"/>
    <sheet name="TableIIA" sheetId="5" state="visible" r:id="rId6"/>
    <sheet name="TableIIB" sheetId="6" state="visible" r:id="rId7"/>
    <sheet name="TableIIC " sheetId="7" state="visible" r:id="rId8"/>
    <sheet name="Table IID" sheetId="8" state="visible" r:id="rId9"/>
    <sheet name="Table IIE" sheetId="9" state="visible" r:id="rId10"/>
    <sheet name="Table IIF" sheetId="10" state="visible" r:id="rId11"/>
    <sheet name="Table IIG" sheetId="11" state="visible" r:id="rId12"/>
    <sheet name="Table III A" sheetId="12" state="visible" r:id="rId13"/>
    <sheet name="Table IIIB" sheetId="13" state="visible" r:id="rId14"/>
    <sheet name="Table IV" sheetId="14" state="visible" r:id="rId15"/>
    <sheet name="Table V" sheetId="15" state="visible" r:id="rId16"/>
    <sheet name="Table VI" sheetId="16" state="visible" r:id="rId17"/>
    <sheet name="Table VII" sheetId="17" state="visible" r:id="rId18"/>
    <sheet name="Table VIII" sheetId="18" state="visible" r:id="rId19"/>
    <sheet name="TableIXA" sheetId="19" state="visible" r:id="rId20"/>
    <sheet name="TableIXB" sheetId="20" state="visible" r:id="rId21"/>
    <sheet name="TableIXC" sheetId="21" state="visible" r:id="rId22"/>
    <sheet name="TableX" sheetId="22" state="visible" r:id="rId23"/>
    <sheet name="TableXI" sheetId="23" state="visible" r:id="rId24"/>
    <sheet name="Table XIIA" sheetId="24" state="visible" r:id="rId25"/>
    <sheet name="Table XIIB" sheetId="25" state="visible" r:id="rId26"/>
    <sheet name="TableXIII" sheetId="26" state="visible" r:id="rId27"/>
    <sheet name="Table XIV" sheetId="27" state="visible" r:id="rId28"/>
    <sheet name="TableXV" sheetId="28" state="visible" r:id="rId29"/>
    <sheet name="TableXVI" sheetId="29" state="visible" r:id="rId30"/>
    <sheet name="Table XVII" sheetId="30" state="visible" r:id="rId31"/>
    <sheet name="Table XVIII" sheetId="31" state="visible" r:id="rId32"/>
    <sheet name="TableXIX" sheetId="32" state="visible" r:id="rId33"/>
    <sheet name="TableXX" sheetId="33" state="visible" r:id="rId34"/>
    <sheet name="TableXXI" sheetId="34" state="visible" r:id="rId35"/>
    <sheet name="Table XXII" sheetId="35" state="visible" r:id="rId36"/>
    <sheet name="Table XXIII" sheetId="36" state="visible" r:id="rId37"/>
    <sheet name="Table XXIV" sheetId="37" state="visible" r:id="rId38"/>
    <sheet name="Table XXV" sheetId="38" state="visible" r:id="rId39"/>
    <sheet name="Table XXVI" sheetId="39" state="visible" r:id="rId40"/>
    <sheet name="Table XXVII" sheetId="40" state="visible" r:id="rId41"/>
    <sheet name="Appendix- Weights &amp; Measures" sheetId="41" state="visible" r:id="rId42"/>
  </sheets>
  <definedNames>
    <definedName function="false" hidden="false" localSheetId="2" name="_xlnm._FilterDatabase" vbProcedure="false">'table ia'!#ref!</definedName>
    <definedName function="false" hidden="false" localSheetId="3" name="_xlnm._FilterDatabase" vbProcedure="false">'Table IB'!$C$1:$C$78</definedName>
    <definedName function="false" hidden="false" localSheetId="27" name="ReportLinkMenu" vbProcedure="false">tablexv!#ref!</definedName>
    <definedName function="false" hidden="false" localSheetId="27" name="SectionElements" vbProcedure="false">tablexv!#ref!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<sst xmlns="http://schemas.openxmlformats.org/spreadsheetml/2006/main" count="10425" uniqueCount="2801">
  <si>
    <t xml:space="preserve">Editorial Committee</t>
  </si>
  <si>
    <t xml:space="preserve">Chairman</t>
  </si>
  <si>
    <t xml:space="preserve">A.K.M. Fazlul Haque Mia</t>
  </si>
  <si>
    <t xml:space="preserve">       Executive Director (Statistics)</t>
  </si>
  <si>
    <t xml:space="preserve">Members </t>
  </si>
  <si>
    <t xml:space="preserve">Sabita Yasmin                          General Manager</t>
  </si>
  <si>
    <t xml:space="preserve">Md. Nurul Islam                           Deputy General Manager  </t>
  </si>
  <si>
    <t xml:space="preserve">Md. Faruqul Islam                       Joint Director      </t>
  </si>
  <si>
    <t xml:space="preserve">Kamrun Nahar Mukta</t>
  </si>
  <si>
    <t xml:space="preserve">Assistant Director</t>
  </si>
  <si>
    <t xml:space="preserve">Suggestions/Comments for improvement in the contents of this booklet would  highly be appreciated. Users may kindly contact the following email addresses with their suggestions/comments and queries, if any:</t>
  </si>
  <si>
    <t xml:space="preserve">Monthly </t>
  </si>
  <si>
    <t xml:space="preserve">Economic Trends</t>
  </si>
  <si>
    <t xml:space="preserve">August 2020</t>
  </si>
  <si>
    <t xml:space="preserve">Email: nurul.islam130@bb.org.bd</t>
  </si>
  <si>
    <t xml:space="preserve">Deputy General Manager            </t>
  </si>
  <si>
    <t xml:space="preserve">Statistics Department </t>
  </si>
  <si>
    <t xml:space="preserve">Bangladesh Bank         </t>
  </si>
  <si>
    <t xml:space="preserve">Head Office, Dhaka    </t>
  </si>
  <si>
    <t xml:space="preserve">Email:  faruqul.islam@bb.org.bd</t>
  </si>
  <si>
    <t xml:space="preserve">Joint Director            </t>
  </si>
  <si>
    <t xml:space="preserve">Bangladesh Bank</t>
  </si>
  <si>
    <t xml:space="preserve">Head Office, Dhaka          </t>
  </si>
  <si>
    <t xml:space="preserve">Email: kamrun.mukta@bb.org.bd</t>
  </si>
  <si>
    <t xml:space="preserve">Assistant Director            </t>
  </si>
  <si>
    <t xml:space="preserve">STATISTICAL TABLES</t>
  </si>
  <si>
    <t xml:space="preserve">IA</t>
  </si>
  <si>
    <t xml:space="preserve">Selected Economic Indicators (Money &amp; Banking)</t>
  </si>
  <si>
    <t xml:space="preserve">IB</t>
  </si>
  <si>
    <t xml:space="preserve">Selected Economic Indicators ( Inflation, Production Index, Foreign Trade, Forex Reserves &amp; Exchange Rate) </t>
  </si>
  <si>
    <t xml:space="preserve">IIA</t>
  </si>
  <si>
    <t xml:space="preserve">Monetary Survey (M2)</t>
  </si>
  <si>
    <t xml:space="preserve">IIB</t>
  </si>
  <si>
    <t xml:space="preserve">Claims on Resident Sector by the Banking System</t>
  </si>
  <si>
    <t xml:space="preserve">IIC</t>
  </si>
  <si>
    <t xml:space="preserve">Reserve Money &amp; its Components</t>
  </si>
  <si>
    <t xml:space="preserve">IID</t>
  </si>
  <si>
    <t xml:space="preserve">Reserve Money &amp; its Sources</t>
  </si>
  <si>
    <t xml:space="preserve">IIE</t>
  </si>
  <si>
    <t xml:space="preserve">Monetary Survey (M3)  </t>
  </si>
  <si>
    <t xml:space="preserve">IIF</t>
  </si>
  <si>
    <t xml:space="preserve">Claims on Resident Sectors by Depository Corporations </t>
  </si>
  <si>
    <t xml:space="preserve">IIG</t>
  </si>
  <si>
    <t xml:space="preserve">E-Banking &amp; E-Commerce Statistics</t>
  </si>
  <si>
    <t xml:space="preserve">IIIA</t>
  </si>
  <si>
    <t xml:space="preserve">Balance of  Payments</t>
  </si>
  <si>
    <t xml:space="preserve">IIIB</t>
  </si>
  <si>
    <t xml:space="preserve">Foreign Direct Investment (FDI) Inflows &amp; Stocks by Components in Bangladesh</t>
  </si>
  <si>
    <t xml:space="preserve">IV</t>
  </si>
  <si>
    <t xml:space="preserve">Foreign Trade</t>
  </si>
  <si>
    <t xml:space="preserve">V</t>
  </si>
  <si>
    <t xml:space="preserve">Production of Major Agricultural Commodities </t>
  </si>
  <si>
    <t xml:space="preserve">VI</t>
  </si>
  <si>
    <t xml:space="preserve">Production of Major Industrial Commodities (Other than Jute Goods) </t>
  </si>
  <si>
    <t xml:space="preserve">VII</t>
  </si>
  <si>
    <t xml:space="preserve">Consumer Price Index &amp; Inflation Rate in Bangladesh</t>
  </si>
  <si>
    <t xml:space="preserve">VIII</t>
  </si>
  <si>
    <t xml:space="preserve">Average Prices of Selected Commodities</t>
  </si>
  <si>
    <t xml:space="preserve">IXA</t>
  </si>
  <si>
    <t xml:space="preserve">Gross Domestic Product of Bangladesh at Current Market Price</t>
  </si>
  <si>
    <t xml:space="preserve">IXB</t>
  </si>
  <si>
    <t xml:space="preserve">Gross Domestic Product of Bangladesh at Constant Market Price </t>
  </si>
  <si>
    <t xml:space="preserve">IXC</t>
  </si>
  <si>
    <t xml:space="preserve">Key Indicators of National Accounts</t>
  </si>
  <si>
    <t xml:space="preserve">X</t>
  </si>
  <si>
    <t xml:space="preserve">Index Number of  Ordinary Share Prices, Turn Over, Issued Capital &amp; Total Number of Companies Listed with the Dhaka Stock Exchange Ltd.</t>
  </si>
  <si>
    <t xml:space="preserve">XI</t>
  </si>
  <si>
    <t xml:space="preserve">Market Capitalisation (Value) of Ordinary Shares of Companies Listed with the Dhaka Stock Exchange Ltd.</t>
  </si>
  <si>
    <t xml:space="preserve">XIIA</t>
  </si>
  <si>
    <t xml:space="preserve">Interest Rate Structure of Government Securities/Bonds and Savings Instruments </t>
  </si>
  <si>
    <t xml:space="preserve">XIIB</t>
  </si>
  <si>
    <t xml:space="preserve">Bank Rate &amp; Interest Rate Structure of Post Office Savings Bank, House Building Finance Corporation &amp; National Savings Certificates</t>
  </si>
  <si>
    <t xml:space="preserve">XIII</t>
  </si>
  <si>
    <t xml:space="preserve">Bank-wise Announced Interest Rate Structure in Bangladesh (Except Islamic Banks), June 2020</t>
  </si>
  <si>
    <t xml:space="preserve">XIV</t>
  </si>
  <si>
    <t xml:space="preserve">Profit Rate Structure of  the Islamic Banks, 2018</t>
  </si>
  <si>
    <t xml:space="preserve">XV</t>
  </si>
  <si>
    <t xml:space="preserve">Rate of Interest on Non-resident Foreign Currency Deposit (NFCD) Accounts </t>
  </si>
  <si>
    <t xml:space="preserve">XVI</t>
  </si>
  <si>
    <t xml:space="preserve">Monthly Average Call Money Market Rates</t>
  </si>
  <si>
    <t xml:space="preserve">XVII</t>
  </si>
  <si>
    <t xml:space="preserve">Some Indicators of Income, Expenditure &amp; Profitability of the Banking Sector</t>
  </si>
  <si>
    <t xml:space="preserve">XVIII</t>
  </si>
  <si>
    <t xml:space="preserve">Number of Persons Left for Abroad on Employment &amp; Total Workers’ Remittances</t>
  </si>
  <si>
    <t xml:space="preserve">XIX</t>
  </si>
  <si>
    <t xml:space="preserve">Country-wise Workers’ Remittances</t>
  </si>
  <si>
    <t xml:space="preserve">XX</t>
  </si>
  <si>
    <t xml:space="preserve">Exchange Rates (Taka Per Currencies)</t>
  </si>
  <si>
    <t xml:space="preserve">XXI</t>
  </si>
  <si>
    <t xml:space="preserve">Appreciation/Depreciation of Some Selected Currencies Against U.S. Dollar</t>
  </si>
  <si>
    <t xml:space="preserve">XXII</t>
  </si>
  <si>
    <t xml:space="preserve">Some Selected Commodity Prices at International Markets</t>
  </si>
  <si>
    <t xml:space="preserve">XXIII</t>
  </si>
  <si>
    <t xml:space="preserve">Selected Tax Revenue Receipts of the Government Under NBR &amp; Others</t>
  </si>
  <si>
    <t xml:space="preserve">XXIV</t>
  </si>
  <si>
    <t xml:space="preserve">Central Bank Survey</t>
  </si>
  <si>
    <t xml:space="preserve">XXV</t>
  </si>
  <si>
    <t xml:space="preserve">Depository Corporations Survey</t>
  </si>
  <si>
    <t xml:space="preserve">XXVI</t>
  </si>
  <si>
    <t xml:space="preserve">Important Economic Indicators of Bangladesh with SAARC Countries</t>
  </si>
  <si>
    <t xml:space="preserve">XXVII</t>
  </si>
  <si>
    <t xml:space="preserve">Important Economic Indicators of SAARC Countries </t>
  </si>
  <si>
    <t xml:space="preserve">Appendix : Weights &amp; Measures</t>
  </si>
  <si>
    <t xml:space="preserve">SELECTED ECONOMIC </t>
  </si>
  <si>
    <t xml:space="preserve">INDICATORS  </t>
  </si>
  <si>
    <t xml:space="preserve">TABLE-IA (Contd.)</t>
  </si>
  <si>
    <t xml:space="preserve">INDICATORS</t>
  </si>
  <si>
    <t xml:space="preserve">TABLE-IA (concld.)</t>
  </si>
  <si>
    <t xml:space="preserve">(Money &amp; </t>
  </si>
  <si>
    <t xml:space="preserve">Banking)</t>
  </si>
  <si>
    <t xml:space="preserve">(Taka in crore)</t>
  </si>
  <si>
    <t xml:space="preserve">(Money &amp;</t>
  </si>
  <si>
    <t xml:space="preserve">            (Money &amp;</t>
  </si>
  <si>
    <t xml:space="preserve">End of      Period</t>
  </si>
  <si>
    <t xml:space="preserve">Currency in Circulation</t>
  </si>
  <si>
    <t xml:space="preserve">Currency     in Tills of DMBs</t>
  </si>
  <si>
    <t xml:space="preserve">Currency    Outside       Banks        (3-4)</t>
  </si>
  <si>
    <t xml:space="preserve">Deposits with </t>
  </si>
  <si>
    <t xml:space="preserve">Deposit Money Banks  (DMBs)</t>
  </si>
  <si>
    <t xml:space="preserve">Deposits with BB other than DMBs</t>
  </si>
  <si>
    <t xml:space="preserve">Monetary Aggregates</t>
  </si>
  <si>
    <t xml:space="preserve">End            of       Period</t>
  </si>
  <si>
    <t xml:space="preserve">DMBs Advances</t>
  </si>
  <si>
    <t xml:space="preserve">Import &amp; Inland Bills Purchased and Discounted</t>
  </si>
  <si>
    <t xml:space="preserve">DMBs Investment</t>
  </si>
  <si>
    <t xml:space="preserve">                           DMBs  Credit                            (Advances + Bills + Investment) </t>
  </si>
  <si>
    <t xml:space="preserve">DMBs Borrowings</t>
  </si>
  <si>
    <t xml:space="preserve">         Deposit Liabilities</t>
  </si>
  <si>
    <r>
      <rPr>
        <b val="true"/>
        <sz val="10"/>
        <rFont val="Times New Roman"/>
        <family val="1"/>
        <charset val="1"/>
      </rPr>
      <t xml:space="preserve">Balances with BB</t>
    </r>
    <r>
      <rPr>
        <b val="true"/>
        <vertAlign val="superscript"/>
        <sz val="10"/>
        <rFont val="Times New Roman"/>
        <family val="1"/>
        <charset val="1"/>
      </rPr>
      <t xml:space="preserve">1</t>
    </r>
  </si>
  <si>
    <t xml:space="preserve">DMBs Total Assets/ Liabilities</t>
  </si>
  <si>
    <t xml:space="preserve">Cash     Base     of the Economy (3+42)</t>
  </si>
  <si>
    <t xml:space="preserve">Total Credit to Government (Gross) by the                Banking System </t>
  </si>
  <si>
    <t xml:space="preserve">Percentage change over end of the last June</t>
  </si>
  <si>
    <t xml:space="preserve">Income Velocity of  Money</t>
  </si>
  <si>
    <t xml:space="preserve">Banks' Clearing House A/C during the Period</t>
  </si>
  <si>
    <t xml:space="preserve">Total No. of    Branches    of Scheduled Banks</t>
  </si>
  <si>
    <t xml:space="preserve">Total No. of Branches of State Owned Commerc-ial Banks </t>
  </si>
  <si>
    <t xml:space="preserve">                      Rates,             Ratios         &amp;         Average         </t>
  </si>
  <si>
    <t xml:space="preserve">Bangladesh Bank (BB) Notes</t>
  </si>
  <si>
    <t xml:space="preserve">Government Notes &amp; Coins</t>
  </si>
  <si>
    <t xml:space="preserve">Total (1+2)</t>
  </si>
  <si>
    <t xml:space="preserve">From      Banks</t>
  </si>
  <si>
    <t xml:space="preserve">From       Govern-    ment</t>
  </si>
  <si>
    <t xml:space="preserve">From</t>
  </si>
  <si>
    <t xml:space="preserve">Others</t>
  </si>
  <si>
    <t xml:space="preserve">Total (excluding inter-bank) (7+10)</t>
  </si>
  <si>
    <t xml:space="preserve">Narrow         Money         (M1) (5+8+12)</t>
  </si>
  <si>
    <t xml:space="preserve">Broad          Money       (M2)      (9+13)</t>
  </si>
  <si>
    <t xml:space="preserve">Post     Office Deposits</t>
  </si>
  <si>
    <t xml:space="preserve">Monetary Assets (14+15)</t>
  </si>
  <si>
    <t xml:space="preserve">To     Banks</t>
  </si>
  <si>
    <t xml:space="preserve">To    Public</t>
  </si>
  <si>
    <t xml:space="preserve">To      Private</t>
  </si>
  <si>
    <t xml:space="preserve">Total Advances  (excluding    inter-bank)    (18+19)</t>
  </si>
  <si>
    <t xml:space="preserve">Inter          Bank    Bills</t>
  </si>
  <si>
    <t xml:space="preserve">Public    Bills</t>
  </si>
  <si>
    <t xml:space="preserve"> Private    Bills</t>
  </si>
  <si>
    <t xml:space="preserve">Total Bills   (excluding inter-bank) (22+23)</t>
  </si>
  <si>
    <t xml:space="preserve">Inter         Bank          Invest-   ment</t>
  </si>
  <si>
    <t xml:space="preserve">To       Public</t>
  </si>
  <si>
    <t xml:space="preserve">To         Private</t>
  </si>
  <si>
    <t xml:space="preserve">Total Investment  (excluding        inter-bank)      (26+27)</t>
  </si>
  <si>
    <t xml:space="preserve">To            Banks     (17+21+25)</t>
  </si>
  <si>
    <t xml:space="preserve">To          Public      (18+22+26) </t>
  </si>
  <si>
    <t xml:space="preserve">To             Private     (19+23+27)</t>
  </si>
  <si>
    <t xml:space="preserve">  Total Credit    (excluding        inter-bank)  (20+24+28)</t>
  </si>
  <si>
    <t xml:space="preserve">From      Govern-   ment</t>
  </si>
  <si>
    <t xml:space="preserve">  From        BB</t>
  </si>
  <si>
    <t xml:space="preserve">  From        Inter-    Banks</t>
  </si>
  <si>
    <t xml:space="preserve">From      Other Financial Institutions</t>
  </si>
  <si>
    <t xml:space="preserve">DMBs Deposits (Excluding BSBL &amp; Inter-Bank)</t>
  </si>
  <si>
    <t xml:space="preserve">Short Term FC Deposit Liabilities</t>
  </si>
  <si>
    <t xml:space="preserve">Total    Deposit Liabilities    (37+38)</t>
  </si>
  <si>
    <t xml:space="preserve">Cash Reserve Require-ment</t>
  </si>
  <si>
    <r>
      <rPr>
        <sz val="9"/>
        <rFont val="Times New Roman"/>
        <family val="1"/>
        <charset val="1"/>
      </rPr>
      <t xml:space="preserve">Excess Reserve</t>
    </r>
    <r>
      <rPr>
        <vertAlign val="superscript"/>
        <sz val="9"/>
        <rFont val="Times New Roman"/>
        <family val="1"/>
        <charset val="1"/>
      </rPr>
      <t xml:space="preserve">4</t>
    </r>
    <r>
      <rPr>
        <sz val="9"/>
        <rFont val="Times New Roman"/>
        <family val="1"/>
        <charset val="1"/>
      </rPr>
      <t xml:space="preserve">  (42-40)</t>
    </r>
  </si>
  <si>
    <t xml:space="preserve">Total</t>
  </si>
  <si>
    <t xml:space="preserve">BB</t>
  </si>
  <si>
    <t xml:space="preserve">DMBs</t>
  </si>
  <si>
    <r>
      <rPr>
        <sz val="9"/>
        <rFont val="Times New Roman"/>
        <family val="1"/>
        <charset val="1"/>
      </rPr>
      <t xml:space="preserve">Total Credit to Govt.</t>
    </r>
    <r>
      <rPr>
        <vertAlign val="superscript"/>
        <sz val="9"/>
        <rFont val="Times New Roman"/>
        <family val="1"/>
        <charset val="1"/>
      </rPr>
      <t xml:space="preserve">2</t>
    </r>
    <r>
      <rPr>
        <sz val="9"/>
        <rFont val="Times New Roman"/>
        <family val="1"/>
        <charset val="1"/>
      </rPr>
      <t xml:space="preserve"> (45+46+ 47+48)</t>
    </r>
  </si>
  <si>
    <t xml:space="preserve">Credit (Net) to Gover- nment</t>
  </si>
  <si>
    <t xml:space="preserve">Credit to Other Public Sector</t>
  </si>
  <si>
    <t xml:space="preserve">Credit     to    Private Sector</t>
  </si>
  <si>
    <t xml:space="preserve">Total Domestic credit</t>
  </si>
  <si>
    <t xml:space="preserve">Total    Liqui-      dity     (M2) </t>
  </si>
  <si>
    <t xml:space="preserve">Amounts</t>
  </si>
  <si>
    <t xml:space="preserve">No. of Instruments</t>
  </si>
  <si>
    <t xml:space="preserve">Ratio of DMBs Credit to Deposits  (in percent) </t>
  </si>
  <si>
    <t xml:space="preserve">Average Deposits  per DMB  Branch     (in crore) </t>
  </si>
  <si>
    <t xml:space="preserve">Average Credit per    DMB       Branch    (in crore)</t>
  </si>
  <si>
    <t xml:space="preserve">Ratio of Cash in hand and balances with the BB to Deposits (in percent)</t>
  </si>
  <si>
    <t xml:space="preserve">Bank Rate </t>
  </si>
  <si>
    <t xml:space="preserve">Rate of interest of Scheduled Banks (Weighted Average)</t>
  </si>
  <si>
    <t xml:space="preserve">Rate of interest of NBFIs (Weighted Average)</t>
  </si>
  <si>
    <t xml:space="preserve">Demand Deposits</t>
  </si>
  <si>
    <t xml:space="preserve">Time     Deposits</t>
  </si>
  <si>
    <t xml:space="preserve">Total   (8+9)</t>
  </si>
  <si>
    <r>
      <rPr>
        <sz val="8"/>
        <rFont val="Times New Roman"/>
        <family val="1"/>
        <charset val="1"/>
      </rPr>
      <t xml:space="preserve">Loans &amp; Advances </t>
    </r>
    <r>
      <rPr>
        <vertAlign val="superscript"/>
        <sz val="8"/>
        <rFont val="Times New Roman"/>
        <family val="1"/>
        <charset val="1"/>
      </rPr>
      <t xml:space="preserve">3</t>
    </r>
  </si>
  <si>
    <t xml:space="preserve">Invest-ment</t>
  </si>
  <si>
    <t xml:space="preserve">Advances &amp; Bills</t>
  </si>
  <si>
    <t xml:space="preserve">Deposits</t>
  </si>
  <si>
    <t xml:space="preserve"> Advances </t>
  </si>
  <si>
    <t xml:space="preserve"> Spread   (66-65)</t>
  </si>
  <si>
    <t xml:space="preserve"> Spread   (69-68)</t>
  </si>
  <si>
    <t xml:space="preserve">2009-10</t>
  </si>
  <si>
    <t xml:space="preserve">…</t>
  </si>
  <si>
    <t xml:space="preserve">2010-11</t>
  </si>
  <si>
    <t xml:space="preserve">2011-12 </t>
  </si>
  <si>
    <t xml:space="preserve">2012-13</t>
  </si>
  <si>
    <t xml:space="preserve">2013-14</t>
  </si>
  <si>
    <t xml:space="preserve">2014-15</t>
  </si>
  <si>
    <t xml:space="preserve"> STATISTICAL TABLES</t>
  </si>
  <si>
    <t xml:space="preserve">2015-16</t>
  </si>
  <si>
    <t xml:space="preserve">2016-17</t>
  </si>
  <si>
    <t xml:space="preserve">2017-18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</si>
  <si>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</si>
  <si>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</si>
  <si>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</si>
  <si>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</si>
  <si>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</si>
  <si>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</si>
  <si>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</si>
  <si>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</si>
  <si>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</si>
  <si>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</si>
  <si>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</si>
  <si>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</si>
  <si>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2018-19</t>
  </si>
  <si>
    <t xml:space="preserve">2019-20</t>
  </si>
  <si>
    <t xml:space="preserve">Note         :</t>
  </si>
  <si>
    <t xml:space="preserve">i)   5 tk is considered as Govt. Currency since June 2016 and  Demand &amp; Time Deposits under Columns 8 &amp; 9 exclude Restricted Deposits</t>
  </si>
  <si>
    <r>
      <rPr>
        <sz val="5.5"/>
        <rFont val="Times New Roman"/>
        <family val="1"/>
        <charset val="1"/>
      </rPr>
      <t xml:space="preserve">       </t>
    </r>
    <r>
      <rPr>
        <b val="true"/>
        <sz val="5.5"/>
        <rFont val="Times New Roman"/>
        <family val="1"/>
        <charset val="1"/>
      </rPr>
      <t xml:space="preserve">Note      :</t>
    </r>
    <r>
      <rPr>
        <sz val="5.5"/>
        <rFont val="Times New Roman"/>
        <family val="1"/>
        <charset val="1"/>
      </rPr>
      <t xml:space="preserve">  </t>
    </r>
  </si>
  <si>
    <t xml:space="preserve">91 percent of savings deposits are included in time deposits with effect from July 2007</t>
  </si>
  <si>
    <t xml:space="preserve">Note:</t>
  </si>
  <si>
    <t xml:space="preserve">i)  DMBs advances to public &amp; private include balances with OFIs, NFIs, NBDCs and money at call &amp; short notice</t>
  </si>
  <si>
    <r>
      <rPr>
        <b val="true"/>
        <sz val="5.5"/>
        <rFont val="Times New Roman"/>
        <family val="1"/>
        <charset val="1"/>
      </rPr>
      <t xml:space="preserve">Note         </t>
    </r>
    <r>
      <rPr>
        <sz val="5.5"/>
        <rFont val="Times New Roman"/>
        <family val="1"/>
        <charset val="1"/>
      </rPr>
      <t xml:space="preserve">: </t>
    </r>
  </si>
  <si>
    <t xml:space="preserve">Figures relating to Islamic Investment Bond are re-classified as claims on other public sector instead of other assets  </t>
  </si>
  <si>
    <t xml:space="preserve">Note    :</t>
  </si>
  <si>
    <t xml:space="preserve">1.  Balance with BB excludes FC clearing A/C</t>
  </si>
  <si>
    <t xml:space="preserve">Note :      </t>
  </si>
  <si>
    <t xml:space="preserve">1. Total number of Clearing House Centres are 39 of which 8 are managed by the Bangladesh Bank &amp; the rest by the Sonali Bank Ltd </t>
  </si>
  <si>
    <t xml:space="preserve">Note  :</t>
  </si>
  <si>
    <t xml:space="preserve">1. Weighted average rates of interest on scheduled banks deposits &amp; advances have been introduced monthly basis instead of  quarterly</t>
  </si>
  <si>
    <t xml:space="preserve">ii)  Deposit Money Banks (DMBs) comprise 58 Scheduled Banks &amp; BSBL </t>
  </si>
  <si>
    <t xml:space="preserve">… = Not available  </t>
  </si>
  <si>
    <t xml:space="preserve">from October 2004 to December 2015 and again reclassified as claims on Govt. from January 2016 &amp; onwards</t>
  </si>
  <si>
    <t xml:space="preserve">2.  Total credit to government (gross) by the banking system equals to total claims on government (gross) excluding government</t>
  </si>
  <si>
    <t xml:space="preserve">Scheduled banks' branches exclude branches outside Bangladesh        </t>
  </si>
  <si>
    <t xml:space="preserve"> rates from July 2009 &amp; onwards</t>
  </si>
  <si>
    <t xml:space="preserve">iii)  9 percent of savings deposits are included in Demand Deposits with effect from July 2007</t>
  </si>
  <si>
    <t xml:space="preserve">                     </t>
  </si>
  <si>
    <t xml:space="preserve"> currency held in BB &amp; counter entry for government currency    3. Amount in Government over-draft A/C.  is included in loans &amp; advances by Bangladesh Bank </t>
  </si>
  <si>
    <t xml:space="preserve">2. Due to inclusion of Table IIG (column 3) figure of column 56 &amp; 57  have been dropped from July 2014 </t>
  </si>
  <si>
    <t xml:space="preserve">2.Weighted average rates of interest on deposits &amp; advances of 29deposits taking Non Bank Financial Institutions(NBFIs)have been introduced from June2013</t>
  </si>
  <si>
    <t xml:space="preserve">Source     :</t>
  </si>
  <si>
    <t xml:space="preserve">Statistics Department , Bangladesh Bank  </t>
  </si>
  <si>
    <t xml:space="preserve">4.Compilation procedure has been changed since Sep'17 &amp; CRR rate has changed from April'20</t>
  </si>
  <si>
    <t xml:space="preserve">Source :</t>
  </si>
  <si>
    <t xml:space="preserve">TABLE-IB</t>
  </si>
  <si>
    <t xml:space="preserve">( Inflation, Production Index, Foreign Trade,</t>
  </si>
  <si>
    <t xml:space="preserve">Forex Reserves &amp; Exchange Rate)</t>
  </si>
  <si>
    <t xml:space="preserve">Period</t>
  </si>
  <si>
    <r>
      <rPr>
        <b val="true"/>
        <sz val="9"/>
        <rFont val="Times New Roman"/>
        <family val="1"/>
        <charset val="1"/>
      </rPr>
      <t xml:space="preserve">Rate of Inflation in Bangladesh </t>
    </r>
    <r>
      <rPr>
        <b val="true"/>
        <sz val="9"/>
        <color rgb="FF000000"/>
        <rFont val="Times New Roman"/>
        <family val="1"/>
        <charset val="1"/>
      </rPr>
      <t xml:space="preserve">  Measured by Consumer  Price Index  (CPI)      </t>
    </r>
  </si>
  <si>
    <t xml:space="preserve">Production Indices</t>
  </si>
  <si>
    <t xml:space="preserve">Foreign Trade &amp; Foreign Exchange  Reserves                (Million US $)</t>
  </si>
  <si>
    <t xml:space="preserve"> Weighted Average Exchange Rate</t>
  </si>
  <si>
    <t xml:space="preserve">Wholesale Price Indices of  Base:  1969-70=100</t>
  </si>
  <si>
    <t xml:space="preserve">   Index of Industrial Production     Base:  1988-89=100</t>
  </si>
  <si>
    <t xml:space="preserve">Foreign Trade (during the period)</t>
  </si>
  <si>
    <t xml:space="preserve">Foreign           Exchange       Reserves      (end period)</t>
  </si>
  <si>
    <t xml:space="preserve">Tk/US Dollar</t>
  </si>
  <si>
    <t xml:space="preserve">Point- to- Point (Base: 2005-06=100)</t>
  </si>
  <si>
    <t xml:space="preserve">Point- to- Point (Base: 1995-96=100)</t>
  </si>
  <si>
    <t xml:space="preserve">12- Month Average (Base: 2005-06=100)</t>
  </si>
  <si>
    <t xml:space="preserve">12- Month Average (Base: 1995-96=100)</t>
  </si>
  <si>
    <t xml:space="preserve">Agricultural Products</t>
  </si>
  <si>
    <t xml:space="preserve">Industrial Products</t>
  </si>
  <si>
    <t xml:space="preserve">General (Mfg)</t>
  </si>
  <si>
    <t xml:space="preserve">Jute      Textiles</t>
  </si>
  <si>
    <t xml:space="preserve">Exports (fob)</t>
  </si>
  <si>
    <t xml:space="preserve">Import Payments</t>
  </si>
  <si>
    <t xml:space="preserve">Period Average</t>
  </si>
  <si>
    <t xml:space="preserve">End Period</t>
  </si>
  <si>
    <t xml:space="preserve">2011-12</t>
  </si>
  <si>
    <r>
      <rPr>
        <b val="true"/>
        <sz val="8"/>
        <rFont val="Times New Roman"/>
        <family val="1"/>
        <charset val="1"/>
      </rPr>
      <t xml:space="preserve">2019-20</t>
    </r>
    <r>
      <rPr>
        <b val="true"/>
        <vertAlign val="superscript"/>
        <sz val="8"/>
        <rFont val="Times New Roman"/>
        <family val="1"/>
        <charset val="1"/>
      </rPr>
      <t xml:space="preserve">P</t>
    </r>
  </si>
  <si>
    <t xml:space="preserve">2020-21</t>
  </si>
  <si>
    <r>
      <rPr>
        <b val="true"/>
        <sz val="6"/>
        <rFont val="Times New Roman"/>
        <family val="1"/>
        <charset val="1"/>
      </rPr>
      <t xml:space="preserve">Note        :</t>
    </r>
    <r>
      <rPr>
        <sz val="6"/>
        <rFont val="Times New Roman"/>
        <family val="1"/>
        <charset val="1"/>
      </rPr>
      <t xml:space="preserve">  </t>
    </r>
  </si>
  <si>
    <t xml:space="preserve">1. Point- to- point changes in CPI indicate the changes over the corresponding month of the previous year</t>
  </si>
  <si>
    <r>
      <rPr>
        <b val="true"/>
        <sz val="6"/>
        <rFont val="Times New Roman"/>
        <family val="1"/>
        <charset val="1"/>
      </rPr>
      <t xml:space="preserve">           Note   :</t>
    </r>
    <r>
      <rPr>
        <sz val="6"/>
        <rFont val="Times New Roman"/>
        <family val="1"/>
        <charset val="1"/>
      </rPr>
      <t xml:space="preserve">  </t>
    </r>
  </si>
  <si>
    <t xml:space="preserve">1. Export figures  include that of EPZ</t>
  </si>
  <si>
    <t xml:space="preserve">2. 12- month average changes in CPI indicate the average change of the last  12- month over the corresponding previous 12- month</t>
  </si>
  <si>
    <t xml:space="preserve">2. Weighted average exchange rate represents the inter-bank exchange rate</t>
  </si>
  <si>
    <t xml:space="preserve">Wholesale Price Indices data discontinued from 2006-07 due to dropping of BBS data</t>
  </si>
  <si>
    <t xml:space="preserve">3. Export data are shipment based &amp; Import data are on C&amp;F/CIF basis upto June 2014 and fob basis from July 2014 &amp; onwards</t>
  </si>
  <si>
    <t xml:space="preserve">Rate of inflation (Base: 1995-96) data discontinued from August 2013 due to dropping of BBS data</t>
  </si>
  <si>
    <t xml:space="preserve">4. IMF Reserve Position amount is included in Foreign Exchange Reserve from April ,2018 &amp; onward </t>
  </si>
  <si>
    <t xml:space="preserve">…= Not available   </t>
  </si>
  <si>
    <r>
      <rPr>
        <b val="true"/>
        <sz val="6"/>
        <rFont val="Times New Roman"/>
        <family val="1"/>
        <charset val="1"/>
      </rPr>
      <t xml:space="preserve">             Source    :</t>
    </r>
    <r>
      <rPr>
        <sz val="6"/>
        <rFont val="Times New Roman"/>
        <family val="1"/>
        <charset val="1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</si>
  <si>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 xml:space="preserve">1. Export Promotion Bureau (EPB) for export data    2. Statistics Department, Bangladesh Bank for import data</t>
  </si>
  <si>
    <r>
      <rPr>
        <b val="true"/>
        <sz val="6"/>
        <rFont val="Times New Roman"/>
        <family val="1"/>
        <charset val="1"/>
      </rPr>
      <t xml:space="preserve">Source     :</t>
    </r>
    <r>
      <rPr>
        <sz val="6"/>
        <rFont val="Times New Roman"/>
        <family val="1"/>
        <charset val="1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</si>
  <si>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 xml:space="preserve"> Bangladesh Bureau of Statistics</t>
  </si>
  <si>
    <t xml:space="preserve">P=Provisional</t>
  </si>
  <si>
    <t xml:space="preserve">                 </t>
  </si>
  <si>
    <t xml:space="preserve">3. Accounts and Budgeting Department, Bangladesh Bank for foreign exchange reserves</t>
  </si>
  <si>
    <t xml:space="preserve">MONETARY</t>
  </si>
  <si>
    <t xml:space="preserve">SURVEY ( M2)</t>
  </si>
  <si>
    <t xml:space="preserve">TABLE-IIA</t>
  </si>
  <si>
    <t xml:space="preserve">End            of        Period</t>
  </si>
  <si>
    <t xml:space="preserve">Net Foreign Assets</t>
  </si>
  <si>
    <t xml:space="preserve">Domestic  </t>
  </si>
  <si>
    <t xml:space="preserve">Credit</t>
  </si>
  <si>
    <t xml:space="preserve"> Net          Other   Assets</t>
  </si>
  <si>
    <t xml:space="preserve">Net          Domestic      Assets     (11+12)</t>
  </si>
  <si>
    <t xml:space="preserve"> Broad          Money        (M2)      (3+13)</t>
  </si>
  <si>
    <t xml:space="preserve"> Total                        (1+2)</t>
  </si>
  <si>
    <t xml:space="preserve">                       Public                                                                  Sector</t>
  </si>
  <si>
    <t xml:space="preserve"> Private       Sector</t>
  </si>
  <si>
    <t xml:space="preserve">Total Domestic Credit (6+9+10)</t>
  </si>
  <si>
    <t xml:space="preserve">Government (Net)</t>
  </si>
  <si>
    <t xml:space="preserve">Other                                 Public Sector</t>
  </si>
  <si>
    <r>
      <rPr>
        <sz val="9"/>
        <rFont val="Times New Roman"/>
        <family val="1"/>
        <charset val="1"/>
      </rPr>
      <t xml:space="preserve">Total</t>
    </r>
    <r>
      <rPr>
        <vertAlign val="superscript"/>
        <sz val="9"/>
        <rFont val="Times New Roman"/>
        <family val="1"/>
        <charset val="1"/>
      </rPr>
      <t xml:space="preserve">1</t>
    </r>
    <r>
      <rPr>
        <sz val="9"/>
        <rFont val="Times New Roman"/>
        <family val="1"/>
        <charset val="1"/>
      </rPr>
      <t xml:space="preserve">       (4+5)</t>
    </r>
  </si>
  <si>
    <t xml:space="preserve">Total          (7+8)</t>
  </si>
  <si>
    <r>
      <rPr>
        <b val="true"/>
        <sz val="7"/>
        <rFont val="Times New Roman"/>
        <family val="1"/>
        <charset val="1"/>
      </rPr>
      <t xml:space="preserve">Note :</t>
    </r>
    <r>
      <rPr>
        <sz val="7"/>
        <rFont val="Times New Roman"/>
        <family val="1"/>
        <charset val="1"/>
      </rPr>
      <t xml:space="preserve"> </t>
    </r>
  </si>
  <si>
    <t xml:space="preserve">1.Total credit to government (net) by the banking system equals to total claims on government (gross) excluding government</t>
  </si>
  <si>
    <r>
      <rPr>
        <b val="true"/>
        <sz val="7"/>
        <rFont val="Times New Roman"/>
        <family val="1"/>
        <charset val="1"/>
      </rPr>
      <t xml:space="preserve">Note        </t>
    </r>
    <r>
      <rPr>
        <sz val="7"/>
        <rFont val="Times New Roman"/>
        <family val="1"/>
        <charset val="1"/>
      </rPr>
      <t xml:space="preserve">: </t>
    </r>
  </si>
  <si>
    <t xml:space="preserve">Figures relating to Islamic Investment Bond is re-classified as claims on other public sector instead of other assets </t>
  </si>
  <si>
    <t xml:space="preserve">      deposits held in the banking system (BB &amp; DMBs)</t>
  </si>
  <si>
    <r>
      <rPr>
        <b val="true"/>
        <sz val="7"/>
        <rFont val="Times New Roman"/>
        <family val="1"/>
        <charset val="1"/>
      </rPr>
      <t xml:space="preserve">Source    </t>
    </r>
    <r>
      <rPr>
        <sz val="7"/>
        <rFont val="Times New Roman"/>
        <family val="1"/>
        <charset val="1"/>
      </rPr>
      <t xml:space="preserve">: </t>
    </r>
  </si>
  <si>
    <t xml:space="preserve">Statistics Department,  Bangladesh Bank  </t>
  </si>
  <si>
    <t xml:space="preserve">CLAIMS ON RESIDENT SECTORS </t>
  </si>
  <si>
    <t xml:space="preserve">BY THE BANKING SYSTEM</t>
  </si>
  <si>
    <t xml:space="preserve">TABLE-IIB</t>
  </si>
  <si>
    <t xml:space="preserve">( Taka in crore )</t>
  </si>
  <si>
    <t xml:space="preserve">End                   of             Period</t>
  </si>
  <si>
    <t xml:space="preserve">Government       (Net)</t>
  </si>
  <si>
    <t xml:space="preserve">Local               Authorities</t>
  </si>
  <si>
    <t xml:space="preserve">Other Financial Corporation &amp; NBDCs</t>
  </si>
  <si>
    <t xml:space="preserve">Non-Financial Corporation</t>
  </si>
  <si>
    <t xml:space="preserve">  Other Resident      Sector </t>
  </si>
  <si>
    <t xml:space="preserve">Total Domestic Credit</t>
  </si>
  <si>
    <t xml:space="preserve">End                     of             Period</t>
  </si>
  <si>
    <t xml:space="preserve">Public</t>
  </si>
  <si>
    <t xml:space="preserve">Private</t>
  </si>
  <si>
    <t xml:space="preserve">5= (3+4)</t>
  </si>
  <si>
    <t xml:space="preserve">8= (6+7)</t>
  </si>
  <si>
    <t xml:space="preserve">10=(1+2+5+8+9)</t>
  </si>
  <si>
    <t xml:space="preserve">Note        :       </t>
  </si>
  <si>
    <t xml:space="preserve">i) The resident sector has been classified according to the IMF's Monetary &amp; Financial Statistics Manual  (MFSM)</t>
  </si>
  <si>
    <t xml:space="preserve">ii) Claims on resident sector exclude inter-bank claims      </t>
  </si>
  <si>
    <t xml:space="preserve">RESERVE MONEY &amp; ITS COMPONENTS</t>
  </si>
  <si>
    <t xml:space="preserve">TABLE-IIC</t>
  </si>
  <si>
    <t xml:space="preserve">End               of          Period</t>
  </si>
  <si>
    <t xml:space="preserve">Currency Out side Banks</t>
  </si>
  <si>
    <t xml:space="preserve">Currency      in Tills of DMBs</t>
  </si>
  <si>
    <t xml:space="preserve">Deposits with BB</t>
  </si>
  <si>
    <t xml:space="preserve">Reserve Money (1+2+3+5)</t>
  </si>
  <si>
    <t xml:space="preserve">By  DMBs</t>
  </si>
  <si>
    <t xml:space="preserve"> By NBDCs       In Taka A/C</t>
  </si>
  <si>
    <t xml:space="preserve">    In taka    A/C</t>
  </si>
  <si>
    <t xml:space="preserve">In FC   Clearing A/C</t>
  </si>
  <si>
    <t xml:space="preserve">NBDC=Non-Bank Depository Corporation                             </t>
  </si>
  <si>
    <t xml:space="preserve">Source   :</t>
  </si>
  <si>
    <t xml:space="preserve">Statistics Department, Bangladesh Bank  </t>
  </si>
  <si>
    <t xml:space="preserve">RESERVE MONEY &amp; ITS SOURCES</t>
  </si>
  <si>
    <t xml:space="preserve">TABLE-IID</t>
  </si>
  <si>
    <t xml:space="preserve">End of    Period</t>
  </si>
  <si>
    <t xml:space="preserve">Net Foreign Assets </t>
  </si>
  <si>
    <t xml:space="preserve">Domestic Credit</t>
  </si>
  <si>
    <t xml:space="preserve">Net  Other Assets</t>
  </si>
  <si>
    <t xml:space="preserve">Net Domestic Assets (6+7)</t>
  </si>
  <si>
    <t xml:space="preserve">Reserve Money (1+8)</t>
  </si>
  <si>
    <t xml:space="preserve">  Govern-     ment    (Net)</t>
  </si>
  <si>
    <t xml:space="preserve">Other Public Sector</t>
  </si>
  <si>
    <t xml:space="preserve">Private Sector</t>
  </si>
  <si>
    <t xml:space="preserve">Deposit Money Banks</t>
  </si>
  <si>
    <r>
      <rPr>
        <sz val="9"/>
        <rFont val="Times New Roman"/>
        <family val="1"/>
        <charset val="1"/>
      </rPr>
      <t xml:space="preserve">Total </t>
    </r>
    <r>
      <rPr>
        <sz val="8"/>
        <rFont val="Times New Roman"/>
        <family val="1"/>
        <charset val="1"/>
      </rPr>
      <t xml:space="preserve">(2+3+4+5)</t>
    </r>
  </si>
  <si>
    <t xml:space="preserve">Source      :</t>
  </si>
  <si>
    <t xml:space="preserve">MONETARY </t>
  </si>
  <si>
    <t xml:space="preserve">SURVEY ( M3)</t>
  </si>
  <si>
    <t xml:space="preserve">TABLE- IIE</t>
  </si>
  <si>
    <t xml:space="preserve">End              of        Period</t>
  </si>
  <si>
    <t xml:space="preserve">Domestic                                       </t>
  </si>
  <si>
    <t xml:space="preserve">Net            Other      Assets</t>
  </si>
  <si>
    <t xml:space="preserve">Net            Domestic         Assets      (15+16)</t>
  </si>
  <si>
    <t xml:space="preserve">Broad         Money         (M3)     (4+17)</t>
  </si>
  <si>
    <t xml:space="preserve">End of Period</t>
  </si>
  <si>
    <t xml:space="preserve">  Banking Sector</t>
  </si>
  <si>
    <t xml:space="preserve">NBDCs</t>
  </si>
  <si>
    <t xml:space="preserve">Non Resident Bond</t>
  </si>
  <si>
    <t xml:space="preserve">  Total (1+2+3)</t>
  </si>
  <si>
    <t xml:space="preserve">Public Sector</t>
  </si>
  <si>
    <r>
      <rPr>
        <sz val="9"/>
        <color rgb="FF000000"/>
        <rFont val="Times New Roman"/>
        <family val="1"/>
        <charset val="1"/>
      </rPr>
      <t xml:space="preserve">Total         Domestic        Credit       </t>
    </r>
    <r>
      <rPr>
        <sz val="8"/>
        <color rgb="FF000000"/>
        <rFont val="Times New Roman"/>
        <family val="1"/>
        <charset val="1"/>
      </rPr>
      <t xml:space="preserve">(8+11+14)</t>
    </r>
  </si>
  <si>
    <r>
      <rPr>
        <b val="true"/>
        <sz val="9"/>
        <color rgb="FF000000"/>
        <rFont val="Times New Roman"/>
        <family val="1"/>
        <charset val="1"/>
      </rPr>
      <t xml:space="preserve">Government (Net)</t>
    </r>
    <r>
      <rPr>
        <b val="true"/>
        <vertAlign val="superscript"/>
        <sz val="9"/>
        <color rgb="FF000000"/>
        <rFont val="Times New Roman"/>
        <family val="1"/>
        <charset val="1"/>
      </rPr>
      <t xml:space="preserve">1</t>
    </r>
  </si>
  <si>
    <t xml:space="preserve">   Banking  Sector</t>
  </si>
  <si>
    <t xml:space="preserve">Total  (12+13)</t>
  </si>
  <si>
    <t xml:space="preserve">Banking Sector</t>
  </si>
  <si>
    <t xml:space="preserve">NSD</t>
  </si>
  <si>
    <t xml:space="preserve">   Total  (5+6+7)</t>
  </si>
  <si>
    <t xml:space="preserve">Total (9+10)</t>
  </si>
  <si>
    <t xml:space="preserve">Statistics Department, Bangladesh Bank</t>
  </si>
  <si>
    <t xml:space="preserve">Note           : </t>
  </si>
  <si>
    <r>
      <rPr>
        <sz val="7"/>
        <rFont val="Times New Roman"/>
        <family val="1"/>
        <charset val="1"/>
      </rPr>
      <t xml:space="preserve">1. Claims on Govt.(net) reported by the banking sector in M2</t>
    </r>
    <r>
      <rPr>
        <vertAlign val="subscript"/>
        <sz val="7"/>
        <rFont val="Times New Roman"/>
        <family val="1"/>
        <charset val="1"/>
      </rPr>
      <t xml:space="preserve"> </t>
    </r>
    <r>
      <rPr>
        <sz val="7"/>
        <rFont val="Times New Roman"/>
        <family val="1"/>
        <charset val="1"/>
      </rPr>
      <t xml:space="preserve">differs with M3</t>
    </r>
    <r>
      <rPr>
        <vertAlign val="subscript"/>
        <sz val="7"/>
        <rFont val="Times New Roman"/>
        <family val="1"/>
        <charset val="1"/>
      </rPr>
      <t xml:space="preserve"> </t>
    </r>
    <r>
      <rPr>
        <sz val="7"/>
        <rFont val="Times New Roman"/>
        <family val="1"/>
        <charset val="1"/>
      </rPr>
      <t xml:space="preserve">due to exclusion of </t>
    </r>
  </si>
  <si>
    <t xml:space="preserve">savings certificates &amp; prize bonds for avoiding double counting</t>
  </si>
  <si>
    <t xml:space="preserve">NSD =  National Savings Directorate                                                                                                                                                                           </t>
  </si>
  <si>
    <t xml:space="preserve">NBDC  =  Non-Bank Depository Corporation </t>
  </si>
  <si>
    <t xml:space="preserve">Source       : </t>
  </si>
  <si>
    <t xml:space="preserve">BY DEPOSITORY CORPORATIONS</t>
  </si>
  <si>
    <t xml:space="preserve">TABLE-IIF</t>
  </si>
  <si>
    <t xml:space="preserve">End                  of             Period</t>
  </si>
  <si>
    <t xml:space="preserve">Local        Authorities</t>
  </si>
  <si>
    <t xml:space="preserve"> Financial  Corporation</t>
  </si>
  <si>
    <t xml:space="preserve">Non-Financial  Corporation</t>
  </si>
  <si>
    <t xml:space="preserve">     Other Resident           Sector</t>
  </si>
  <si>
    <t xml:space="preserve">      Total  Domestic         Credit </t>
  </si>
  <si>
    <t xml:space="preserve">Total </t>
  </si>
  <si>
    <t xml:space="preserve">5 = (3+4)</t>
  </si>
  <si>
    <t xml:space="preserve">8 = (6+7)</t>
  </si>
  <si>
    <t xml:space="preserve">10 = (1+2+5+8+9)</t>
  </si>
  <si>
    <t xml:space="preserve">Note :  </t>
  </si>
  <si>
    <t xml:space="preserve">i) The resident sector has been classified according to the IMF's Monetary &amp; Financial Statistics Manual (MFSM)</t>
  </si>
  <si>
    <r>
      <rPr>
        <b val="true"/>
        <sz val="7"/>
        <rFont val="Times New Roman"/>
        <family val="1"/>
        <charset val="1"/>
      </rPr>
      <t xml:space="preserve">Source : </t>
    </r>
    <r>
      <rPr>
        <sz val="7"/>
        <rFont val="Times New Roman"/>
        <family val="1"/>
        <charset val="1"/>
      </rPr>
      <t xml:space="preserve"> Statistics Department, Bangladesh Bank</t>
    </r>
  </si>
  <si>
    <t xml:space="preserve">ii) Claims on Resident Sector exclude BB &amp; ODCs    </t>
  </si>
  <si>
    <t xml:space="preserve">              E-BANKING &amp;  E-COMMERCE STATISTICS                   </t>
  </si>
  <si>
    <t xml:space="preserve">TABLE IIG (Contd.)</t>
  </si>
  <si>
    <t xml:space="preserve">                E-BANKING &amp; E-COMMERCE STATISTICS                   </t>
  </si>
  <si>
    <t xml:space="preserve">TABLE IIG (Concld.)</t>
  </si>
  <si>
    <t xml:space="preserve">      (Taka in crore)</t>
  </si>
  <si>
    <t xml:space="preserve">              (Taka in crore)</t>
  </si>
  <si>
    <t xml:space="preserve">Period /Cluster of Banks </t>
  </si>
  <si>
    <t xml:space="preserve">Cheque Clearing</t>
  </si>
  <si>
    <t xml:space="preserve">Electronic Fund Transfers (Outward)</t>
  </si>
  <si>
    <t xml:space="preserve">             Cards     Transactions                                                                                                                                                             </t>
  </si>
  <si>
    <t xml:space="preserve">Cards   Transactions</t>
  </si>
  <si>
    <t xml:space="preserve">Cards Transactions</t>
  </si>
  <si>
    <t xml:space="preserve">Number of Cards (net) (as on)</t>
  </si>
  <si>
    <t xml:space="preserve">Internet   Banking</t>
  </si>
  <si>
    <t xml:space="preserve">Mobile Banking</t>
  </si>
  <si>
    <t xml:space="preserve">Agent Banking</t>
  </si>
  <si>
    <t xml:space="preserve">No. of ATMs (in actual) (as on)</t>
  </si>
  <si>
    <t xml:space="preserve">No. of POS (in actual) (as on)</t>
  </si>
  <si>
    <t xml:space="preserve">Credit Cards</t>
  </si>
  <si>
    <t xml:space="preserve">Debit Cards</t>
  </si>
  <si>
    <t xml:space="preserve">Prepaid Cards Transactions</t>
  </si>
  <si>
    <t xml:space="preserve">Internationally Issued Cards Transactions                   </t>
  </si>
  <si>
    <t xml:space="preserve">Internationally Issued Cards Transactions</t>
  </si>
  <si>
    <t xml:space="preserve">MICR Clearing</t>
  </si>
  <si>
    <t xml:space="preserve">Non-MICR Clearing</t>
  </si>
  <si>
    <t xml:space="preserve"> Usage at  ATMs          &amp; CRM</t>
  </si>
  <si>
    <t xml:space="preserve">Usage at POS</t>
  </si>
  <si>
    <t xml:space="preserve">E-commerce</t>
  </si>
  <si>
    <t xml:space="preserve">Outstanding Credit (as on)</t>
  </si>
  <si>
    <t xml:space="preserve">Usage at ATMs &amp; CRM</t>
  </si>
  <si>
    <t xml:space="preserve">    E-Commerce          </t>
  </si>
  <si>
    <t xml:space="preserve">Prepaid Cards</t>
  </si>
  <si>
    <t xml:space="preserve">No. of Internet Banking Customers (as on)</t>
  </si>
  <si>
    <t xml:space="preserve">Internet Banking Transactions</t>
  </si>
  <si>
    <t xml:space="preserve">No. of Mobile Banking Agents (as on)</t>
  </si>
  <si>
    <t xml:space="preserve">Mobile Banking Transactions</t>
  </si>
  <si>
    <t xml:space="preserve">No. of Mobile Banking Subscribers (as on)</t>
  </si>
  <si>
    <t xml:space="preserve">No. of Agents (as on)</t>
  </si>
  <si>
    <t xml:space="preserve">Agent Banking Transactions</t>
  </si>
  <si>
    <t xml:space="preserve">No. of Agent Banking Subscribers (as on)</t>
  </si>
  <si>
    <t xml:space="preserve">Local Transac-tions  (Issuing)</t>
  </si>
  <si>
    <t xml:space="preserve">Abroad Transactions (Issuing)</t>
  </si>
  <si>
    <t xml:space="preserve">Local Transac-tions (Issuing)</t>
  </si>
  <si>
    <t xml:space="preserve">Abroad Transac-tions (Issuing)</t>
  </si>
  <si>
    <t xml:space="preserve">Local Transactions (Issuing)</t>
  </si>
  <si>
    <t xml:space="preserve">ATM &amp; CRM Transactions (Acquiring)</t>
  </si>
  <si>
    <t xml:space="preserve">POS Transactions (Acquiring)</t>
  </si>
  <si>
    <t xml:space="preserve">E-Commerce Transactions (Acquiring)</t>
  </si>
  <si>
    <t xml:space="preserve">No. of Transac-tions </t>
  </si>
  <si>
    <t xml:space="preserve">Amount </t>
  </si>
  <si>
    <t xml:space="preserve">No. of Transac-tions</t>
  </si>
  <si>
    <t xml:space="preserve">No. of Transactions</t>
  </si>
  <si>
    <t xml:space="preserve">No. of Transa-ctions</t>
  </si>
  <si>
    <t xml:space="preserve">Amount</t>
  </si>
  <si>
    <t xml:space="preserve">Number </t>
  </si>
  <si>
    <t xml:space="preserve">Number</t>
  </si>
  <si>
    <t xml:space="preserve">No. of Transacti-ons</t>
  </si>
  <si>
    <t xml:space="preserve">3=1+2</t>
  </si>
  <si>
    <t xml:space="preserve">11=5+6+7+8+9+10</t>
  </si>
  <si>
    <t xml:space="preserve">19=13+14+15+16+17+18</t>
  </si>
  <si>
    <t xml:space="preserve">25=22+23+24</t>
  </si>
  <si>
    <t xml:space="preserve">26=11+19+20+21+25</t>
  </si>
  <si>
    <t xml:space="preserve">30=27+28+29</t>
  </si>
  <si>
    <t xml:space="preserve">Jul-Sep</t>
  </si>
  <si>
    <t xml:space="preserve">SCBs</t>
  </si>
  <si>
    <t xml:space="preserve">SBs</t>
  </si>
  <si>
    <t xml:space="preserve">PCBs</t>
  </si>
  <si>
    <t xml:space="preserve">FCBs</t>
  </si>
  <si>
    <t xml:space="preserve">Oct-Dec</t>
  </si>
  <si>
    <t xml:space="preserve">Jan-Mar</t>
  </si>
  <si>
    <t xml:space="preserve">Apr-Jun</t>
  </si>
  <si>
    <t xml:space="preserve">Note: </t>
  </si>
  <si>
    <t xml:space="preserve">SCBs=State-Owned Commercial Banks;SBs= Specialized Banks; PCBs=Private Commercial Banks; FCBs=Foreign Commercial Banks </t>
  </si>
  <si>
    <t xml:space="preserve">MICR= Magnetic Ink Character Recognition; ATM = Automated Teller Machine; POS = Point of Sale,</t>
  </si>
  <si>
    <t xml:space="preserve">     Source: Statistics Department, Bangladesh Bank</t>
  </si>
  <si>
    <t xml:space="preserve">Source: Statistics Department, Bangladesh Bank   </t>
  </si>
  <si>
    <t xml:space="preserve">CRM = Cash Recycling Machine</t>
  </si>
  <si>
    <t xml:space="preserve">BALANCE OF</t>
  </si>
  <si>
    <t xml:space="preserve">PAYMENTS</t>
  </si>
  <si>
    <t xml:space="preserve">TABLE-III A (Contd.) </t>
  </si>
  <si>
    <t xml:space="preserve">BALANCE   OF   PAYMENTS</t>
  </si>
  <si>
    <t xml:space="preserve">TABLE-III A (Concld.)</t>
  </si>
  <si>
    <t xml:space="preserve">Goods</t>
  </si>
  <si>
    <t xml:space="preserve">Services</t>
  </si>
  <si>
    <t xml:space="preserve">Income / Primary Income</t>
  </si>
  <si>
    <t xml:space="preserve">Current Transfers (Net)/ Secondary Income (Net)</t>
  </si>
  <si>
    <t xml:space="preserve">Current            Account        Balance         </t>
  </si>
  <si>
    <t xml:space="preserve">Capital Account (Net)</t>
  </si>
  <si>
    <t xml:space="preserve"> Financial    Account  (Net)</t>
  </si>
  <si>
    <t xml:space="preserve">Net Errors &amp; Ommissions                                    </t>
  </si>
  <si>
    <t xml:space="preserve">Export        (f.o.b) </t>
  </si>
  <si>
    <t xml:space="preserve">Import        (f.o.b)</t>
  </si>
  <si>
    <t xml:space="preserve">Trade       Balance </t>
  </si>
  <si>
    <t xml:space="preserve">Receipts</t>
  </si>
  <si>
    <t xml:space="preserve">Payments</t>
  </si>
  <si>
    <t xml:space="preserve">Net             </t>
  </si>
  <si>
    <t xml:space="preserve">Net                 </t>
  </si>
  <si>
    <t xml:space="preserve">Official</t>
  </si>
  <si>
    <t xml:space="preserve">Total             </t>
  </si>
  <si>
    <t xml:space="preserve">Direct  Investment</t>
  </si>
  <si>
    <t xml:space="preserve">Portfolio  Investment</t>
  </si>
  <si>
    <t xml:space="preserve">Other Investment</t>
  </si>
  <si>
    <t xml:space="preserve">Reserve Assets</t>
  </si>
  <si>
    <t xml:space="preserve">Total                        </t>
  </si>
  <si>
    <t xml:space="preserve">3 = (1-2)</t>
  </si>
  <si>
    <t xml:space="preserve">6 = (4-5)</t>
  </si>
  <si>
    <t xml:space="preserve">9 = (7-8)</t>
  </si>
  <si>
    <t xml:space="preserve">12 = (10+11)</t>
  </si>
  <si>
    <t xml:space="preserve">13=(3+6+9+12)</t>
  </si>
  <si>
    <t xml:space="preserve">19=(15+16+17+18)</t>
  </si>
  <si>
    <t xml:space="preserve">2007-08</t>
  </si>
  <si>
    <t xml:space="preserve">2008-09</t>
  </si>
  <si>
    <t xml:space="preserve">2012-13*</t>
  </si>
  <si>
    <t xml:space="preserve">Jul- Sep</t>
  </si>
  <si>
    <t xml:space="preserve">Oct- Dec</t>
  </si>
  <si>
    <t xml:space="preserve">Jan- Mar</t>
  </si>
  <si>
    <t xml:space="preserve">Apr- Jun</t>
  </si>
  <si>
    <r>
      <rPr>
        <b val="true"/>
        <sz val="8"/>
        <rFont val="Times New Roman"/>
        <family val="1"/>
        <charset val="1"/>
      </rPr>
      <t xml:space="preserve">Note           : </t>
    </r>
    <r>
      <rPr>
        <sz val="8"/>
        <rFont val="Times New Roman"/>
        <family val="1"/>
        <charset val="1"/>
      </rPr>
      <t xml:space="preserve">     </t>
    </r>
  </si>
  <si>
    <t xml:space="preserve">1. Upto June'12 data was complied on the basis of IMFs' BPM5 &amp; From July'12, BPM6 has been implemented</t>
  </si>
  <si>
    <t xml:space="preserve">Statistics Department, Bangladesh Bank and EPB</t>
  </si>
  <si>
    <t xml:space="preserve">Note   : </t>
  </si>
  <si>
    <t xml:space="preserve">1. *As per BPM6, Net Errors &amp; Ommissions= -(Current Account Balance+Capital Account (Net) - Financial Account (Net))</t>
  </si>
  <si>
    <t xml:space="preserve">P = Provisional</t>
  </si>
  <si>
    <t xml:space="preserve">2. As per BPM5, Net Errors &amp; Ommissions= -(Current Account Balance+Capital Account (Net) + Financial Account (Net))</t>
  </si>
  <si>
    <t xml:space="preserve">FOREIGN DIRECT INVESTMENT (FDI) INFLOWS &amp; STOCKS BY COMPONENTS IN BANGLADESH</t>
  </si>
  <si>
    <t xml:space="preserve">TABLE-IIIB</t>
  </si>
  <si>
    <t xml:space="preserve">(In million US$)</t>
  </si>
  <si>
    <t xml:space="preserve">Inflows</t>
  </si>
  <si>
    <t xml:space="preserve">Stocks</t>
  </si>
  <si>
    <t xml:space="preserve">    Equity    Capital</t>
  </si>
  <si>
    <t xml:space="preserve">Reinvested  Earning</t>
  </si>
  <si>
    <t xml:space="preserve">Intra-company Loans</t>
  </si>
  <si>
    <t xml:space="preserve">Total               </t>
  </si>
  <si>
    <t xml:space="preserve">   Equity    Capital</t>
  </si>
  <si>
    <t xml:space="preserve">Reinvested Earning</t>
  </si>
  <si>
    <t xml:space="preserve">  Intra-company Loans</t>
  </si>
  <si>
    <t xml:space="preserve">Total                </t>
  </si>
  <si>
    <t xml:space="preserve">2006-07</t>
  </si>
  <si>
    <t xml:space="preserve">Jul-Dec</t>
  </si>
  <si>
    <t xml:space="preserve">Jan-Jun</t>
  </si>
  <si>
    <t xml:space="preserve">Note     : </t>
  </si>
  <si>
    <t xml:space="preserve">i)Data have been valued using the concept of the"Own Funds at Book Value(OFBV)",which may differ from market value of stocks</t>
  </si>
  <si>
    <t xml:space="preserve">ii)Inflow figures are recorded as during the period but stock figures are recorded as end period</t>
  </si>
  <si>
    <r>
      <rPr>
        <b val="true"/>
        <sz val="8"/>
        <rFont val="Times New Roman"/>
        <family val="1"/>
        <charset val="1"/>
      </rPr>
      <t xml:space="preserve">Source :</t>
    </r>
    <r>
      <rPr>
        <sz val="8"/>
        <rFont val="Times New Roman"/>
        <family val="1"/>
        <charset val="1"/>
      </rPr>
      <t xml:space="preserve"> </t>
    </r>
  </si>
  <si>
    <t xml:space="preserve"> </t>
  </si>
  <si>
    <t xml:space="preserve">FOREIGN</t>
  </si>
  <si>
    <t xml:space="preserve">TRADE</t>
  </si>
  <si>
    <t xml:space="preserve">TABLE- IV (Contd.)</t>
  </si>
  <si>
    <t xml:space="preserve">TABLE-IV (Concld.)</t>
  </si>
  <si>
    <t xml:space="preserve"> Period</t>
  </si>
  <si>
    <t xml:space="preserve">MERCHANDISE EXPORTS</t>
  </si>
  <si>
    <t xml:space="preserve">MERCHANDISE IMPORTS</t>
  </si>
  <si>
    <t xml:space="preserve">MERCHANDISE</t>
  </si>
  <si>
    <t xml:space="preserve">IMPORTS</t>
  </si>
  <si>
    <t xml:space="preserve">Balance   of Trade         </t>
  </si>
  <si>
    <t xml:space="preserve"> Raw Jute</t>
  </si>
  <si>
    <t xml:space="preserve">Jute goods (including Carpet)</t>
  </si>
  <si>
    <t xml:space="preserve">Tea</t>
  </si>
  <si>
    <t xml:space="preserve">   Lea-  ther</t>
  </si>
  <si>
    <t xml:space="preserve">Fish &amp; Shrimp</t>
  </si>
  <si>
    <t xml:space="preserve">Ready made Garments    (including   Knit Wear  &amp; Hosiery)</t>
  </si>
  <si>
    <t xml:space="preserve">Naptha, Furnace oil &amp; Bitumen</t>
  </si>
  <si>
    <t xml:space="preserve">News  Print</t>
  </si>
  <si>
    <t xml:space="preserve">Ferti-lizers</t>
  </si>
  <si>
    <t xml:space="preserve">Others (Inclu-ding EPZ)</t>
  </si>
  <si>
    <t xml:space="preserve">Total Exports     (1         through    10)</t>
  </si>
  <si>
    <t xml:space="preserve">Food grains</t>
  </si>
  <si>
    <t xml:space="preserve">Commodities  ( others than food grains )</t>
  </si>
  <si>
    <t xml:space="preserve">Commodities                                                                                                ( other than food grains )</t>
  </si>
  <si>
    <t xml:space="preserve">Rice</t>
  </si>
  <si>
    <t xml:space="preserve">Wheat</t>
  </si>
  <si>
    <t xml:space="preserve">Total           </t>
  </si>
  <si>
    <t xml:space="preserve">   Milk &amp;      Dairy  Products</t>
  </si>
  <si>
    <t xml:space="preserve">Spices</t>
  </si>
  <si>
    <t xml:space="preserve">Oil  seeds</t>
  </si>
  <si>
    <t xml:space="preserve">    Edible      oil</t>
  </si>
  <si>
    <t xml:space="preserve">  Pulses     (all sorts)</t>
  </si>
  <si>
    <t xml:space="preserve">Sugar</t>
  </si>
  <si>
    <t xml:space="preserve">Clinker</t>
  </si>
  <si>
    <t xml:space="preserve">Crude Petroleum</t>
  </si>
  <si>
    <t xml:space="preserve">Petro- leum Products</t>
  </si>
  <si>
    <t xml:space="preserve">Chemi-  cals</t>
  </si>
  <si>
    <t xml:space="preserve">Pharma-ceutical Products</t>
  </si>
  <si>
    <t xml:space="preserve">Dyeing &amp; Tanning Materials</t>
  </si>
  <si>
    <t xml:space="preserve">Plastic &amp; Rubber arti-cles thereof </t>
  </si>
  <si>
    <t xml:space="preserve">Cotton</t>
  </si>
  <si>
    <t xml:space="preserve">Yarn</t>
  </si>
  <si>
    <t xml:space="preserve">Textile &amp; articles thereof</t>
  </si>
  <si>
    <t xml:space="preserve">Staple fibres</t>
  </si>
  <si>
    <t xml:space="preserve">Iron  &amp; Steel</t>
  </si>
  <si>
    <t xml:space="preserve">Capital machinery</t>
  </si>
  <si>
    <t xml:space="preserve">Others (Including EPZ)</t>
  </si>
  <si>
    <t xml:space="preserve">Total   (15 through 35)</t>
  </si>
  <si>
    <t xml:space="preserve">Total     Imports        </t>
  </si>
  <si>
    <t xml:space="preserve">14=(12+13)</t>
  </si>
  <si>
    <t xml:space="preserve">37=(14+36)</t>
  </si>
  <si>
    <t xml:space="preserve">38=(11-37)</t>
  </si>
  <si>
    <t xml:space="preserve">August </t>
  </si>
  <si>
    <t xml:space="preserve">March </t>
  </si>
  <si>
    <t xml:space="preserve">     Note :</t>
  </si>
  <si>
    <t xml:space="preserve">Export data are on fob basis</t>
  </si>
  <si>
    <t xml:space="preserve">Note      :      </t>
  </si>
  <si>
    <t xml:space="preserve">Import data are on C&amp;F/CIF basis upto June 2014 and fob basis from July 2014 &amp; onwards                                                                                                       </t>
  </si>
  <si>
    <t xml:space="preserve">Statistics Department,   Bangladesh Bank      </t>
  </si>
  <si>
    <t xml:space="preserve">     Source :</t>
  </si>
  <si>
    <t xml:space="preserve">P= Provisional</t>
  </si>
  <si>
    <t xml:space="preserve">PRODUCTION OF MAJOR </t>
  </si>
  <si>
    <t xml:space="preserve">AGRICULTURAL COMMODITIES</t>
  </si>
  <si>
    <t xml:space="preserve">TABLE-V (Contd.)</t>
  </si>
  <si>
    <t xml:space="preserve">TABLE-V (Concld.)</t>
  </si>
  <si>
    <t xml:space="preserve">Aus Rice</t>
  </si>
  <si>
    <t xml:space="preserve">Aman Rice</t>
  </si>
  <si>
    <t xml:space="preserve">Boro Rice</t>
  </si>
  <si>
    <t xml:space="preserve">Sugar Cane</t>
  </si>
  <si>
    <t xml:space="preserve">Rape &amp; Mustard</t>
  </si>
  <si>
    <t xml:space="preserve">Moong</t>
  </si>
  <si>
    <t xml:space="preserve">Masur</t>
  </si>
  <si>
    <t xml:space="preserve">Tobacco</t>
  </si>
  <si>
    <t xml:space="preserve">Jute</t>
  </si>
  <si>
    <t xml:space="preserve">     Production   (in '000' Metric Tons)</t>
  </si>
  <si>
    <t xml:space="preserve">     Area         (in '000' acres)</t>
  </si>
  <si>
    <t xml:space="preserve">         Area       (in '000' acres)</t>
  </si>
  <si>
    <t xml:space="preserve">        Area       (in '000' acres)</t>
  </si>
  <si>
    <t xml:space="preserve">       Area           (in '000' acres)</t>
  </si>
  <si>
    <t xml:space="preserve">     Production   (in '000' Metric  Tons)</t>
  </si>
  <si>
    <t xml:space="preserve">1994-95</t>
  </si>
  <si>
    <t xml:space="preserve">1995-96</t>
  </si>
  <si>
    <t xml:space="preserve">1996-97</t>
  </si>
  <si>
    <t xml:space="preserve">1997-98</t>
  </si>
  <si>
    <t xml:space="preserve">1998-99</t>
  </si>
  <si>
    <t xml:space="preserve">...</t>
  </si>
  <si>
    <t xml:space="preserve">1999-00</t>
  </si>
  <si>
    <t xml:space="preserve">2000-01</t>
  </si>
  <si>
    <t xml:space="preserve">2001-02</t>
  </si>
  <si>
    <t xml:space="preserve">2002-03</t>
  </si>
  <si>
    <t xml:space="preserve">2003-04</t>
  </si>
  <si>
    <t xml:space="preserve">2004-05</t>
  </si>
  <si>
    <t xml:space="preserve">2005-06</t>
  </si>
  <si>
    <r>
      <rPr>
        <b val="true"/>
        <sz val="8"/>
        <rFont val="Times New Roman"/>
        <family val="1"/>
        <charset val="1"/>
      </rPr>
      <t xml:space="preserve">Source  :</t>
    </r>
    <r>
      <rPr>
        <sz val="8"/>
        <rFont val="Times New Roman"/>
        <family val="1"/>
        <charset val="1"/>
      </rPr>
      <t xml:space="preserve">  Bangladesh Bureau of Statistics</t>
    </r>
  </si>
  <si>
    <t xml:space="preserve">    --- = Not Available</t>
  </si>
  <si>
    <r>
      <rPr>
        <b val="true"/>
        <sz val="8"/>
        <color rgb="FF000000"/>
        <rFont val="Times New Roman"/>
        <family val="1"/>
        <charset val="1"/>
      </rPr>
      <t xml:space="preserve">Source : </t>
    </r>
    <r>
      <rPr>
        <sz val="8"/>
        <color rgb="FF000000"/>
        <rFont val="Times New Roman"/>
        <family val="1"/>
        <charset val="1"/>
      </rPr>
      <t xml:space="preserve"> Bangladesh Bureau of Statistics</t>
    </r>
  </si>
  <si>
    <t xml:space="preserve">INDUSTRIAL COMMODITIES</t>
  </si>
  <si>
    <t xml:space="preserve">TABLE-VI</t>
  </si>
  <si>
    <t xml:space="preserve">(Other than</t>
  </si>
  <si>
    <t xml:space="preserve"> jute goods)</t>
  </si>
  <si>
    <t xml:space="preserve">Cotton Yarn</t>
  </si>
  <si>
    <t xml:space="preserve">Cotton Cloth</t>
  </si>
  <si>
    <t xml:space="preserve">Paper</t>
  </si>
  <si>
    <t xml:space="preserve">Newsprint</t>
  </si>
  <si>
    <t xml:space="preserve">Cigarettes</t>
  </si>
  <si>
    <t xml:space="preserve">Oil      Products</t>
  </si>
  <si>
    <t xml:space="preserve">Food      Products</t>
  </si>
  <si>
    <t xml:space="preserve">Fertilizers</t>
  </si>
  <si>
    <t xml:space="preserve">Chemicals</t>
  </si>
  <si>
    <t xml:space="preserve">Glass       Sheets</t>
  </si>
  <si>
    <t xml:space="preserve">Iron &amp; Steel</t>
  </si>
  <si>
    <t xml:space="preserve">Matches</t>
  </si>
  <si>
    <t xml:space="preserve"> '000'          Bales</t>
  </si>
  <si>
    <t xml:space="preserve"> '000'          Metres </t>
  </si>
  <si>
    <t xml:space="preserve"> Metric      Tons</t>
  </si>
  <si>
    <t xml:space="preserve">  Lac            Sticks</t>
  </si>
  <si>
    <t xml:space="preserve">  Metric   Tons</t>
  </si>
  <si>
    <t xml:space="preserve"> Metric        Tons</t>
  </si>
  <si>
    <t xml:space="preserve"> Metric     Tons</t>
  </si>
  <si>
    <t xml:space="preserve">000'  sq. Metres</t>
  </si>
  <si>
    <t xml:space="preserve"> '000'        Gross Box</t>
  </si>
  <si>
    <t xml:space="preserve">Note :</t>
  </si>
  <si>
    <t xml:space="preserve">i) Oil Products = Soya bean + Vegetable Oil (Dalda) </t>
  </si>
  <si>
    <t xml:space="preserve">Source : </t>
  </si>
  <si>
    <t xml:space="preserve">i) BBS: Cotton Yarn, Cotton Cloth, Cigarettes, Oil Products, Food Products &amp; Matches</t>
  </si>
  <si>
    <t xml:space="preserve">ii) Fertilizer = Urea + Ammonium Sulphate + TSP + SSP + DAP </t>
  </si>
  <si>
    <t xml:space="preserve">ii) BCIC: Paper, Newsprint, Fertilizers, Chemicals &amp; Glass sheet</t>
  </si>
  <si>
    <t xml:space="preserve">                  </t>
  </si>
  <si>
    <t xml:space="preserve">iii) Chemicals = Caustic Soda + Liquid Chlorine + HCl + Bleaching Powder + DDT</t>
  </si>
  <si>
    <t xml:space="preserve">iii) BSFIC: Sugar</t>
  </si>
  <si>
    <t xml:space="preserve">               </t>
  </si>
  <si>
    <t xml:space="preserve">iv) Iron &amp; Steel = Steel Ingot + Billet 110/85 mm + Billet 50/85 mm + MS Plate (thin &amp; Heavy) + MS Rod &amp; Flat Bar</t>
  </si>
  <si>
    <t xml:space="preserve">iv) BSEC: Iron &amp; Steel</t>
  </si>
  <si>
    <t xml:space="preserve">                </t>
  </si>
  <si>
    <t xml:space="preserve">v) Food Products = Atta, Maida &amp; Suji</t>
  </si>
  <si>
    <t xml:space="preserve">… =  Not available</t>
  </si>
  <si>
    <t xml:space="preserve">CONSUMER PRICE INDEX &amp; </t>
  </si>
  <si>
    <t xml:space="preserve">INFLATION RATE IN BANGLADESH</t>
  </si>
  <si>
    <t xml:space="preserve">TABLE- VII </t>
  </si>
  <si>
    <t xml:space="preserve">CPI</t>
  </si>
  <si>
    <t xml:space="preserve">Inflation (General)</t>
  </si>
  <si>
    <t xml:space="preserve">Inflation (Food)</t>
  </si>
  <si>
    <t xml:space="preserve">Inflation (Non-food)</t>
  </si>
  <si>
    <t xml:space="preserve">CPI of Major Non-Food Items / Groups</t>
  </si>
  <si>
    <t xml:space="preserve">General</t>
  </si>
  <si>
    <t xml:space="preserve">Point -to- Point</t>
  </si>
  <si>
    <t xml:space="preserve">12- Month Average</t>
  </si>
  <si>
    <t xml:space="preserve">Food</t>
  </si>
  <si>
    <t xml:space="preserve">Non-Food</t>
  </si>
  <si>
    <t xml:space="preserve">Point -to-Point</t>
  </si>
  <si>
    <t xml:space="preserve">Clothing &amp; Footwear</t>
  </si>
  <si>
    <t xml:space="preserve">Gross rent, Fuel &amp; Lighting</t>
  </si>
  <si>
    <t xml:space="preserve">  Furniture, Furnishing   &amp; Others</t>
  </si>
  <si>
    <t xml:space="preserve">Medical care &amp; Health Expenses</t>
  </si>
  <si>
    <t xml:space="preserve">Transport &amp; Communi-cations</t>
  </si>
  <si>
    <t xml:space="preserve">Recreation, Entertain-ment, Education &amp; Cultural Services</t>
  </si>
  <si>
    <t xml:space="preserve">  Misc. Goods &amp; Services</t>
  </si>
  <si>
    <t xml:space="preserve">Weight</t>
  </si>
  <si>
    <t xml:space="preserve">End of period</t>
  </si>
  <si>
    <t xml:space="preserve">2016-17 </t>
  </si>
  <si>
    <t xml:space="preserve">July </t>
  </si>
  <si>
    <t xml:space="preserve">Note: Base :2005-06=100</t>
  </si>
  <si>
    <t xml:space="preserve">            </t>
  </si>
  <si>
    <r>
      <rPr>
        <b val="true"/>
        <sz val="7"/>
        <color rgb="FF000000"/>
        <rFont val="Times New Roman"/>
        <family val="1"/>
        <charset val="1"/>
      </rPr>
      <t xml:space="preserve">Source</t>
    </r>
    <r>
      <rPr>
        <sz val="7"/>
        <color rgb="FF000000"/>
        <rFont val="Times New Roman"/>
        <family val="1"/>
        <charset val="1"/>
      </rPr>
      <t xml:space="preserve">: Bangladesh Bureau of Statistics</t>
    </r>
  </si>
  <si>
    <t xml:space="preserve">AVERAGE PRICES OF </t>
  </si>
  <si>
    <t xml:space="preserve">SELECTED COMMODITIES</t>
  </si>
  <si>
    <t xml:space="preserve">TABLE-VIII</t>
  </si>
  <si>
    <t xml:space="preserve">Market price (f.o.b.) of Raw Jute of Narayangonj</t>
  </si>
  <si>
    <t xml:space="preserve">Retail Market Price of Dhaka City</t>
  </si>
  <si>
    <t xml:space="preserve">Export of Tea                 (Average Quality)                      (Tk per kg)</t>
  </si>
  <si>
    <t xml:space="preserve">Hides &amp; Skins (wholesale)</t>
  </si>
  <si>
    <t xml:space="preserve">White Middle           (Kutcha bales)                (Tk per 100 kg) </t>
  </si>
  <si>
    <t xml:space="preserve">Bangla white A           (Pucca  bales)              (Tk per 182.25 kg)</t>
  </si>
  <si>
    <t xml:space="preserve">Aman Rice               (Medium)                     (Tk per kg)</t>
  </si>
  <si>
    <t xml:space="preserve">Gold (Guinea)        (Tk per 10 gms.) </t>
  </si>
  <si>
    <t xml:space="preserve">Cow Hides Raw                     (Tk per piece)</t>
  </si>
  <si>
    <t xml:space="preserve">Goat Skins                           (Tk per piece)</t>
  </si>
  <si>
    <r>
      <rPr>
        <b val="true"/>
        <sz val="8"/>
        <rFont val="Times New Roman"/>
        <family val="1"/>
        <charset val="1"/>
      </rPr>
      <t xml:space="preserve">Source</t>
    </r>
    <r>
      <rPr>
        <sz val="10"/>
        <rFont val="Arial"/>
        <family val="1"/>
        <charset val="1"/>
      </rPr>
      <t xml:space="preserve">: </t>
    </r>
  </si>
  <si>
    <t xml:space="preserve">1. Bangladesh Jute Association</t>
  </si>
  <si>
    <t xml:space="preserve">              2. Department of Agricultural Marketing</t>
  </si>
  <si>
    <t xml:space="preserve">... = Not Available</t>
  </si>
  <si>
    <t xml:space="preserve">              3. Bangladesh Bureau of Statistics</t>
  </si>
  <si>
    <t xml:space="preserve">              4. Bangladesh Tea Board</t>
  </si>
  <si>
    <t xml:space="preserve">GROSS DOMESTIC PRODUCT OF </t>
  </si>
  <si>
    <t xml:space="preserve">BANGLADESH AT CURRENT MARKET PRICE</t>
  </si>
  <si>
    <t xml:space="preserve">TABLE-IXA</t>
  </si>
  <si>
    <t xml:space="preserve">Agricul-ture &amp; Forestry</t>
  </si>
  <si>
    <t xml:space="preserve">Fishing</t>
  </si>
  <si>
    <t xml:space="preserve">Mining &amp; Quarry-ing</t>
  </si>
  <si>
    <t xml:space="preserve">Manufa-cturing</t>
  </si>
  <si>
    <t xml:space="preserve">Electri-city         Gas &amp; Water Supply</t>
  </si>
  <si>
    <t xml:space="preserve">Constr-uctions</t>
  </si>
  <si>
    <t xml:space="preserve">Whole-sale      &amp; Retail Trade</t>
  </si>
  <si>
    <t xml:space="preserve">Hotel &amp; Restau-rants</t>
  </si>
  <si>
    <t xml:space="preserve">Transport, Storage &amp; Commu-nication</t>
  </si>
  <si>
    <t xml:space="preserve">Finan-cial     Inter-medi-ations</t>
  </si>
  <si>
    <t xml:space="preserve">Real Estate, Renting &amp; Business Activities</t>
  </si>
  <si>
    <t xml:space="preserve">Public Adminis-tration     &amp; Defence</t>
  </si>
  <si>
    <t xml:space="preserve">Educa-tion</t>
  </si>
  <si>
    <t xml:space="preserve">Health &amp;      Social Works</t>
  </si>
  <si>
    <t xml:space="preserve">Commu-nity, Social &amp; Personal Services</t>
  </si>
  <si>
    <t xml:space="preserve">GDP at Current Producer Price     (1 to 15)</t>
  </si>
  <si>
    <t xml:space="preserve">Import Duty</t>
  </si>
  <si>
    <t xml:space="preserve">GDP at Current Market Price (16+17)</t>
  </si>
  <si>
    <t xml:space="preserve">Net Primary Income from Abroad</t>
  </si>
  <si>
    <t xml:space="preserve">Gross National Income (GNI) (18+19)</t>
  </si>
  <si>
    <t xml:space="preserve">70124</t>
  </si>
  <si>
    <t xml:space="preserve">17783</t>
  </si>
  <si>
    <t xml:space="preserve">5322</t>
  </si>
  <si>
    <t xml:space="preserve">81178</t>
  </si>
  <si>
    <t xml:space="preserve">5590</t>
  </si>
  <si>
    <t xml:space="preserve">37543</t>
  </si>
  <si>
    <t xml:space="preserve">66011</t>
  </si>
  <si>
    <t xml:space="preserve">3289</t>
  </si>
  <si>
    <t xml:space="preserve">48908</t>
  </si>
  <si>
    <t xml:space="preserve">7744</t>
  </si>
  <si>
    <t xml:space="preserve">34929</t>
  </si>
  <si>
    <t xml:space="preserve">12743</t>
  </si>
  <si>
    <t xml:space="preserve">11776</t>
  </si>
  <si>
    <t xml:space="preserve">10307</t>
  </si>
  <si>
    <t xml:space="preserve">43568</t>
  </si>
  <si>
    <t xml:space="preserve">15663</t>
  </si>
  <si>
    <t xml:space="preserve">472477</t>
  </si>
  <si>
    <t xml:space="preserve">35276</t>
  </si>
  <si>
    <t xml:space="preserve">80202</t>
  </si>
  <si>
    <t xml:space="preserve">19790</t>
  </si>
  <si>
    <t xml:space="preserve">6152</t>
  </si>
  <si>
    <t xml:space="preserve">93901</t>
  </si>
  <si>
    <t xml:space="preserve">6070</t>
  </si>
  <si>
    <t xml:space="preserve">43854</t>
  </si>
  <si>
    <t xml:space="preserve">78220</t>
  </si>
  <si>
    <t xml:space="preserve">3889</t>
  </si>
  <si>
    <t xml:space="preserve">56907</t>
  </si>
  <si>
    <t xml:space="preserve">8955</t>
  </si>
  <si>
    <t xml:space="preserve">38058</t>
  </si>
  <si>
    <t xml:space="preserve">14427</t>
  </si>
  <si>
    <t xml:space="preserve">13532</t>
  </si>
  <si>
    <t xml:space="preserve">11819</t>
  </si>
  <si>
    <t xml:space="preserve">50200</t>
  </si>
  <si>
    <t xml:space="preserve">545822</t>
  </si>
  <si>
    <t xml:space="preserve">100588</t>
  </si>
  <si>
    <t xml:space="preserve">24223</t>
  </si>
  <si>
    <t xml:space="preserve">8114</t>
  </si>
  <si>
    <t xml:space="preserve">120108</t>
  </si>
  <si>
    <t xml:space="preserve">7195</t>
  </si>
  <si>
    <t xml:space="preserve">55658</t>
  </si>
  <si>
    <t xml:space="preserve">100295</t>
  </si>
  <si>
    <t xml:space="preserve">5150</t>
  </si>
  <si>
    <t xml:space="preserve">71880</t>
  </si>
  <si>
    <t xml:space="preserve">12300</t>
  </si>
  <si>
    <t xml:space="preserve">64604</t>
  </si>
  <si>
    <t xml:space="preserve">72514</t>
  </si>
  <si>
    <t xml:space="preserve">2005-06*</t>
  </si>
  <si>
    <r>
      <rPr>
        <sz val="8"/>
        <rFont val="Times New Roman"/>
        <family val="1"/>
        <charset val="1"/>
      </rPr>
      <t xml:space="preserve">2019-20</t>
    </r>
    <r>
      <rPr>
        <vertAlign val="superscript"/>
        <sz val="8"/>
        <rFont val="Times New Roman"/>
        <family val="1"/>
        <charset val="1"/>
      </rPr>
      <t xml:space="preserve">p</t>
    </r>
  </si>
  <si>
    <r>
      <rPr>
        <b val="true"/>
        <sz val="8"/>
        <color rgb="FF000000"/>
        <rFont val="Times New Roman"/>
        <family val="1"/>
        <charset val="1"/>
      </rPr>
      <t xml:space="preserve">Note       :</t>
    </r>
    <r>
      <rPr>
        <sz val="8"/>
        <color rgb="FF000000"/>
        <rFont val="Times New Roman"/>
        <family val="1"/>
        <charset val="1"/>
      </rPr>
      <t xml:space="preserve"> </t>
    </r>
  </si>
  <si>
    <t xml:space="preserve">Figures within the parentheses indicate the percentage of sectoral share to total GDP at current market price</t>
  </si>
  <si>
    <r>
      <rPr>
        <b val="true"/>
        <sz val="8"/>
        <color rgb="FF000000"/>
        <rFont val="Times New Roman"/>
        <family val="1"/>
        <charset val="1"/>
      </rPr>
      <t xml:space="preserve">Source   :</t>
    </r>
    <r>
      <rPr>
        <sz val="8"/>
        <color rgb="FF000000"/>
        <rFont val="Times New Roman"/>
        <family val="1"/>
        <charset val="1"/>
      </rPr>
      <t xml:space="preserve">   </t>
    </r>
  </si>
  <si>
    <t xml:space="preserve">Bangladesh Bureau of Statistics</t>
  </si>
  <si>
    <t xml:space="preserve"> *= New base Year 2005-06</t>
  </si>
  <si>
    <t xml:space="preserve">p=provisional</t>
  </si>
  <si>
    <t xml:space="preserve">BANGLADESH AT CONSTANT MARKET PRICE</t>
  </si>
  <si>
    <t xml:space="preserve">TABLE-IXB</t>
  </si>
  <si>
    <t xml:space="preserve">(Base:1995-96</t>
  </si>
  <si>
    <t xml:space="preserve">=100 &amp; new base 2005-06=100)</t>
  </si>
  <si>
    <t xml:space="preserve">Electri-city      Gas &amp; Water Supply</t>
  </si>
  <si>
    <t xml:space="preserve">Whole-sale     &amp; Retail Trade</t>
  </si>
  <si>
    <t xml:space="preserve">GDP at Constant Producer Price     (1 to 15)</t>
  </si>
  <si>
    <t xml:space="preserve">GDP at Constant Market Price (16+17)</t>
  </si>
  <si>
    <t xml:space="preserve">Figures within the parentheses indicate the percentage of sectoral share to total GDP at constant market price</t>
  </si>
  <si>
    <r>
      <rPr>
        <b val="true"/>
        <sz val="8"/>
        <color rgb="FF000000"/>
        <rFont val="Times New Roman"/>
        <family val="1"/>
        <charset val="1"/>
      </rPr>
      <t xml:space="preserve">Source   :</t>
    </r>
    <r>
      <rPr>
        <sz val="8"/>
        <color rgb="FF000000"/>
        <rFont val="Times New Roman"/>
        <family val="1"/>
        <charset val="1"/>
      </rPr>
      <t xml:space="preserve"> </t>
    </r>
  </si>
  <si>
    <t xml:space="preserve">*= New base year 2005-06</t>
  </si>
  <si>
    <t xml:space="preserve">KEY INDICATORS OF </t>
  </si>
  <si>
    <t xml:space="preserve">NATIONAL ACCOUNTS</t>
  </si>
  <si>
    <t xml:space="preserve">TABLE-IXC</t>
  </si>
  <si>
    <t xml:space="preserve">(Taka in crore)         </t>
  </si>
  <si>
    <t xml:space="preserve">GDP at Current Market Price</t>
  </si>
  <si>
    <t xml:space="preserve">GNI at Current Market Price</t>
  </si>
  <si>
    <t xml:space="preserve">Net  Current Transfer from Abroad</t>
  </si>
  <si>
    <t xml:space="preserve">Gross Disposable National  Income at Current Market Price</t>
  </si>
  <si>
    <t xml:space="preserve">Total Consum-ption at Current Market Price</t>
  </si>
  <si>
    <t xml:space="preserve">Total Consum-ption as % of GDP at Current Market Price</t>
  </si>
  <si>
    <t xml:space="preserve">Gross Domestic Savings at Current Market Price</t>
  </si>
  <si>
    <t xml:space="preserve">Gross National Savings at  Current Market Price</t>
  </si>
  <si>
    <t xml:space="preserve">National Savings as % of GDP at Current Market Price</t>
  </si>
  <si>
    <t xml:space="preserve">Total       Investments at Current Market Price</t>
  </si>
  <si>
    <t xml:space="preserve">Total Invest-ments as    % of GDP at Current Market Price</t>
  </si>
  <si>
    <t xml:space="preserve">GDP at Constant Market Price</t>
  </si>
  <si>
    <t xml:space="preserve">GNI at Constant Market Price</t>
  </si>
  <si>
    <t xml:space="preserve">Annual Growth    of GDP at Current Market Price %</t>
  </si>
  <si>
    <t xml:space="preserve">Annual Growth     of GDP at Constant Market Price %</t>
  </si>
  <si>
    <t xml:space="preserve">GDP Deflator</t>
  </si>
  <si>
    <t xml:space="preserve">Total Population (in Crore)</t>
  </si>
  <si>
    <t xml:space="preserve">Per Capita (Amount in unit)</t>
  </si>
  <si>
    <t xml:space="preserve">Income at Current Market Price</t>
  </si>
  <si>
    <t xml:space="preserve">Income at Constant Market Price</t>
  </si>
  <si>
    <t xml:space="preserve">82.00</t>
  </si>
  <si>
    <t xml:space="preserve">(46988)</t>
  </si>
  <si>
    <t xml:space="preserve">(48626)</t>
  </si>
  <si>
    <t xml:space="preserve">(433)</t>
  </si>
  <si>
    <t xml:space="preserve">(49060)</t>
  </si>
  <si>
    <t xml:space="preserve">(38532)</t>
  </si>
  <si>
    <t xml:space="preserve">(8456)</t>
  </si>
  <si>
    <t xml:space="preserve">(10528)</t>
  </si>
  <si>
    <t xml:space="preserve">(10848)</t>
  </si>
  <si>
    <t xml:space="preserve">(362)</t>
  </si>
  <si>
    <t xml:space="preserve">(374)</t>
  </si>
  <si>
    <t xml:space="preserve">273201</t>
  </si>
  <si>
    <t xml:space="preserve">285744</t>
  </si>
  <si>
    <t xml:space="preserve">1890</t>
  </si>
  <si>
    <t xml:space="preserve">287634</t>
  </si>
  <si>
    <t xml:space="preserve">223596</t>
  </si>
  <si>
    <t xml:space="preserve">81.84</t>
  </si>
  <si>
    <t xml:space="preserve">49605</t>
  </si>
  <si>
    <t xml:space="preserve">64038</t>
  </si>
  <si>
    <t xml:space="preserve">22.44</t>
  </si>
  <si>
    <t xml:space="preserve">63239</t>
  </si>
  <si>
    <t xml:space="preserve">21713</t>
  </si>
  <si>
    <t xml:space="preserve">(47571)</t>
  </si>
  <si>
    <t xml:space="preserve">(49755)</t>
  </si>
  <si>
    <t xml:space="preserve">(329)</t>
  </si>
  <si>
    <t xml:space="preserve">(50048)</t>
  </si>
  <si>
    <t xml:space="preserve">(38934)</t>
  </si>
  <si>
    <t xml:space="preserve">(8637)</t>
  </si>
  <si>
    <t xml:space="preserve">(11151)</t>
  </si>
  <si>
    <t xml:space="preserve">(11011)</t>
  </si>
  <si>
    <t xml:space="preserve">(361)</t>
  </si>
  <si>
    <t xml:space="preserve">(378)</t>
  </si>
  <si>
    <t xml:space="preserve">300580</t>
  </si>
  <si>
    <t xml:space="preserve">(51914)</t>
  </si>
  <si>
    <t xml:space="preserve">(54778)</t>
  </si>
  <si>
    <t xml:space="preserve">(373)</t>
  </si>
  <si>
    <t xml:space="preserve">(55151)</t>
  </si>
  <si>
    <t xml:space="preserve">(42458)</t>
  </si>
  <si>
    <t xml:space="preserve">(9456)</t>
  </si>
  <si>
    <t xml:space="preserve">(12633)</t>
  </si>
  <si>
    <t xml:space="preserve">(12151)</t>
  </si>
  <si>
    <t xml:space="preserve">(389)</t>
  </si>
  <si>
    <t xml:space="preserve">(407)</t>
  </si>
  <si>
    <t xml:space="preserve">332973</t>
  </si>
  <si>
    <t xml:space="preserve">(56493)</t>
  </si>
  <si>
    <t xml:space="preserve">(59472)</t>
  </si>
  <si>
    <t xml:space="preserve">(422)</t>
  </si>
  <si>
    <t xml:space="preserve">(59832)</t>
  </si>
  <si>
    <t xml:space="preserve">(45458)</t>
  </si>
  <si>
    <t xml:space="preserve">(11036)</t>
  </si>
  <si>
    <t xml:space="preserve">(14374)</t>
  </si>
  <si>
    <t xml:space="preserve">(13572)</t>
  </si>
  <si>
    <t xml:space="preserve">(421)</t>
  </si>
  <si>
    <t xml:space="preserve">(440)</t>
  </si>
  <si>
    <t xml:space="preserve">90924</t>
  </si>
  <si>
    <t xml:space="preserve">13.70</t>
  </si>
  <si>
    <t xml:space="preserve">(60386)</t>
  </si>
  <si>
    <t xml:space="preserve">(63469)</t>
  </si>
  <si>
    <t xml:space="preserve">(437)</t>
  </si>
  <si>
    <t xml:space="preserve">(63906)</t>
  </si>
  <si>
    <t xml:space="preserve">(48300)</t>
  </si>
  <si>
    <t xml:space="preserve">(12086)</t>
  </si>
  <si>
    <t xml:space="preserve">(15606)</t>
  </si>
  <si>
    <t xml:space="preserve">(14811)</t>
  </si>
  <si>
    <t xml:space="preserve">(441)</t>
  </si>
  <si>
    <t xml:space="preserve">(463)</t>
  </si>
  <si>
    <t xml:space="preserve">446588</t>
  </si>
  <si>
    <t xml:space="preserve">6.63</t>
  </si>
  <si>
    <t xml:space="preserve">(61975)</t>
  </si>
  <si>
    <t xml:space="preserve">(66031)</t>
  </si>
  <si>
    <t xml:space="preserve">(546)</t>
  </si>
  <si>
    <t xml:space="preserve">(66575)</t>
  </si>
  <si>
    <t xml:space="preserve">(49426)</t>
  </si>
  <si>
    <t xml:space="preserve">(12549)</t>
  </si>
  <si>
    <t xml:space="preserve">(17149)</t>
  </si>
  <si>
    <t xml:space="preserve">(15277)</t>
  </si>
  <si>
    <t xml:space="preserve">(447)</t>
  </si>
  <si>
    <t xml:space="preserve">(476)</t>
  </si>
  <si>
    <t xml:space="preserve">507752</t>
  </si>
  <si>
    <t xml:space="preserve">3988</t>
  </si>
  <si>
    <t xml:space="preserve">511741</t>
  </si>
  <si>
    <t xml:space="preserve">376317</t>
  </si>
  <si>
    <t xml:space="preserve">79.65</t>
  </si>
  <si>
    <t xml:space="preserve">96160</t>
  </si>
  <si>
    <t xml:space="preserve">135424</t>
  </si>
  <si>
    <t xml:space="preserve">28.66</t>
  </si>
  <si>
    <t xml:space="preserve"> 115590</t>
  </si>
  <si>
    <t xml:space="preserve">24.46</t>
  </si>
  <si>
    <t xml:space="preserve">302971</t>
  </si>
  <si>
    <t xml:space="preserve">325591</t>
  </si>
  <si>
    <t xml:space="preserve">13.65</t>
  </si>
  <si>
    <t xml:space="preserve">6.43</t>
  </si>
  <si>
    <t xml:space="preserve">156</t>
  </si>
  <si>
    <t xml:space="preserve">33607</t>
  </si>
  <si>
    <t xml:space="preserve">21550</t>
  </si>
  <si>
    <t xml:space="preserve">36116</t>
  </si>
  <si>
    <t xml:space="preserve">23159</t>
  </si>
  <si>
    <t xml:space="preserve">(68445)</t>
  </si>
  <si>
    <t xml:space="preserve">(73555)</t>
  </si>
  <si>
    <t xml:space="preserve">(578)</t>
  </si>
  <si>
    <t xml:space="preserve">(74133)</t>
  </si>
  <si>
    <t xml:space="preserve">(54515)</t>
  </si>
  <si>
    <t xml:space="preserve">(13930)</t>
  </si>
  <si>
    <t xml:space="preserve">(19618)</t>
  </si>
  <si>
    <t xml:space="preserve">(16745)</t>
  </si>
  <si>
    <t xml:space="preserve">(487)</t>
  </si>
  <si>
    <t xml:space="preserve">(523)</t>
  </si>
  <si>
    <t xml:space="preserve">5671</t>
  </si>
  <si>
    <t xml:space="preserve">599883</t>
  </si>
  <si>
    <t xml:space="preserve">434971</t>
  </si>
  <si>
    <t xml:space="preserve">79.69</t>
  </si>
  <si>
    <t xml:space="preserve">110851</t>
  </si>
  <si>
    <t xml:space="preserve">164912</t>
  </si>
  <si>
    <t xml:space="preserve">30.21</t>
  </si>
  <si>
    <t xml:space="preserve">132132</t>
  </si>
  <si>
    <t xml:space="preserve">24.21</t>
  </si>
  <si>
    <t xml:space="preserve">321726</t>
  </si>
  <si>
    <t xml:space="preserve">15.52</t>
  </si>
  <si>
    <t xml:space="preserve">6.19</t>
  </si>
  <si>
    <t xml:space="preserve">170</t>
  </si>
  <si>
    <t xml:space="preserve">14.24</t>
  </si>
  <si>
    <t xml:space="preserve">22593</t>
  </si>
  <si>
    <t xml:space="preserve">14.42</t>
  </si>
  <si>
    <t xml:space="preserve">360845</t>
  </si>
  <si>
    <t xml:space="preserve">394419</t>
  </si>
  <si>
    <t xml:space="preserve">12.94</t>
  </si>
  <si>
    <t xml:space="preserve">6.07</t>
  </si>
  <si>
    <t xml:space="preserve">192</t>
  </si>
  <si>
    <t xml:space="preserve">14.61</t>
  </si>
  <si>
    <t xml:space="preserve">47536</t>
  </si>
  <si>
    <t xml:space="preserve">24705</t>
  </si>
  <si>
    <t xml:space="preserve">51959</t>
  </si>
  <si>
    <t xml:space="preserve">27003</t>
  </si>
  <si>
    <t xml:space="preserve">385050</t>
  </si>
  <si>
    <t xml:space="preserve">420097</t>
  </si>
  <si>
    <t xml:space="preserve">14.75</t>
  </si>
  <si>
    <t xml:space="preserve">6.71</t>
  </si>
  <si>
    <t xml:space="preserve">207</t>
  </si>
  <si>
    <t xml:space="preserve">14.97</t>
  </si>
  <si>
    <t xml:space="preserve">25721</t>
  </si>
  <si>
    <t xml:space="preserve">28072</t>
  </si>
  <si>
    <t xml:space="preserve">448839</t>
  </si>
  <si>
    <t xml:space="preserve">15.24</t>
  </si>
  <si>
    <t xml:space="preserve">6.23</t>
  </si>
  <si>
    <t xml:space="preserve">225</t>
  </si>
  <si>
    <t xml:space="preserve">15.16</t>
  </si>
  <si>
    <t xml:space="preserve">26982</t>
  </si>
  <si>
    <t xml:space="preserve">29607</t>
  </si>
  <si>
    <t xml:space="preserve">482337</t>
  </si>
  <si>
    <t xml:space="preserve">509545</t>
  </si>
  <si>
    <t xml:space="preserve">6.67</t>
  </si>
  <si>
    <t xml:space="preserve">13.98</t>
  </si>
  <si>
    <t xml:space="preserve">34502</t>
  </si>
  <si>
    <t xml:space="preserve">36448</t>
  </si>
  <si>
    <t xml:space="preserve">516383</t>
  </si>
  <si>
    <t xml:space="preserve">549505</t>
  </si>
  <si>
    <t xml:space="preserve">13.99</t>
  </si>
  <si>
    <t xml:space="preserve">7.06</t>
  </si>
  <si>
    <t xml:space="preserve">14.18</t>
  </si>
  <si>
    <t xml:space="preserve">36416</t>
  </si>
  <si>
    <t xml:space="preserve">38753</t>
  </si>
  <si>
    <t xml:space="preserve">547437</t>
  </si>
  <si>
    <t xml:space="preserve">589547</t>
  </si>
  <si>
    <t xml:space="preserve">14.35</t>
  </si>
  <si>
    <t xml:space="preserve">6.01</t>
  </si>
  <si>
    <t xml:space="preserve">14.38</t>
  </si>
  <si>
    <t xml:space="preserve">38069</t>
  </si>
  <si>
    <t xml:space="preserve">41000</t>
  </si>
  <si>
    <t xml:space="preserve">575056</t>
  </si>
  <si>
    <t xml:space="preserve">620614</t>
  </si>
  <si>
    <t xml:space="preserve">12.15</t>
  </si>
  <si>
    <t xml:space="preserve">5.05</t>
  </si>
  <si>
    <t xml:space="preserve">14.58</t>
  </si>
  <si>
    <t xml:space="preserve">39441</t>
  </si>
  <si>
    <t xml:space="preserve">42569</t>
  </si>
  <si>
    <t xml:space="preserve">607097</t>
  </si>
  <si>
    <t xml:space="preserve">656241</t>
  </si>
  <si>
    <t xml:space="preserve">13.11</t>
  </si>
  <si>
    <t xml:space="preserve">5.57</t>
  </si>
  <si>
    <t xml:space="preserve">14.78</t>
  </si>
  <si>
    <t xml:space="preserve">41076</t>
  </si>
  <si>
    <t xml:space="preserve">44403</t>
  </si>
  <si>
    <t xml:space="preserve">646342</t>
  </si>
  <si>
    <t xml:space="preserve">697469</t>
  </si>
  <si>
    <t xml:space="preserve">14.83</t>
  </si>
  <si>
    <t xml:space="preserve">6.46</t>
  </si>
  <si>
    <t xml:space="preserve">46610</t>
  </si>
  <si>
    <t xml:space="preserve">688493</t>
  </si>
  <si>
    <t xml:space="preserve">746761</t>
  </si>
  <si>
    <t xml:space="preserve">15.22</t>
  </si>
  <si>
    <t xml:space="preserve">6.52</t>
  </si>
  <si>
    <t xml:space="preserve">49265</t>
  </si>
  <si>
    <t xml:space="preserve">729897</t>
  </si>
  <si>
    <t xml:space="preserve">788602</t>
  </si>
  <si>
    <t xml:space="preserve">13.62</t>
  </si>
  <si>
    <t xml:space="preserve">15.37</t>
  </si>
  <si>
    <t xml:space="preserve">51311</t>
  </si>
  <si>
    <t xml:space="preserve">774136</t>
  </si>
  <si>
    <t xml:space="preserve">12.07</t>
  </si>
  <si>
    <t xml:space="preserve">6.06</t>
  </si>
  <si>
    <t xml:space="preserve">15.58</t>
  </si>
  <si>
    <t xml:space="preserve">53013</t>
  </si>
  <si>
    <t xml:space="preserve">824862</t>
  </si>
  <si>
    <t xml:space="preserve">878410</t>
  </si>
  <si>
    <t xml:space="preserve">12.81</t>
  </si>
  <si>
    <t xml:space="preserve">6.55</t>
  </si>
  <si>
    <t xml:space="preserve">15.79</t>
  </si>
  <si>
    <t xml:space="preserve">55631</t>
  </si>
  <si>
    <r>
      <rPr>
        <b val="true"/>
        <sz val="8"/>
        <rFont val="Times New Roman"/>
        <family val="1"/>
        <charset val="1"/>
      </rPr>
      <t xml:space="preserve">Note</t>
    </r>
    <r>
      <rPr>
        <sz val="8"/>
        <rFont val="Times New Roman"/>
        <family val="1"/>
        <charset val="1"/>
      </rPr>
      <t xml:space="preserve">     : Figures within parentheses represent million US dollar</t>
    </r>
  </si>
  <si>
    <r>
      <rPr>
        <b val="true"/>
        <sz val="8"/>
        <rFont val="Times New Roman"/>
        <family val="1"/>
        <charset val="1"/>
      </rPr>
      <t xml:space="preserve">Source</t>
    </r>
    <r>
      <rPr>
        <sz val="8"/>
        <rFont val="Times New Roman"/>
        <family val="1"/>
        <charset val="1"/>
      </rPr>
      <t xml:space="preserve"> : Bangladesh Bureau of Statistics</t>
    </r>
  </si>
  <si>
    <t xml:space="preserve">   *= New base year 2005-06</t>
  </si>
  <si>
    <t xml:space="preserve">INDEX NUMBER OF ORDINARY SHARE PRICES, TURN OVER, ISSUED CAPITAL &amp; </t>
  </si>
  <si>
    <t xml:space="preserve">TOTAL NUMBER OF COMPANIES LISTED WITH THE DHAKA STOCK EXCHANGE LTD</t>
  </si>
  <si>
    <t xml:space="preserve">TABLE-X</t>
  </si>
  <si>
    <t xml:space="preserve">End of        Period</t>
  </si>
  <si>
    <r>
      <rPr>
        <sz val="9"/>
        <rFont val="Times New Roman"/>
        <family val="1"/>
        <charset val="1"/>
      </rPr>
      <t xml:space="preserve">General Index/ DSE Broad Index</t>
    </r>
    <r>
      <rPr>
        <vertAlign val="superscript"/>
        <sz val="9"/>
        <rFont val="Times New Roman"/>
        <family val="1"/>
        <charset val="1"/>
      </rPr>
      <t xml:space="preserve">1</t>
    </r>
  </si>
  <si>
    <t xml:space="preserve">      Turn Over  (Tk in crore)                                        </t>
  </si>
  <si>
    <t xml:space="preserve">    Total Issued          Capital  (Tk in crore)</t>
  </si>
  <si>
    <t xml:space="preserve">Total No. of Companies</t>
  </si>
  <si>
    <t xml:space="preserve">  End of          Period</t>
  </si>
  <si>
    <t xml:space="preserve"> DSE Broad                   Index</t>
  </si>
  <si>
    <t xml:space="preserve">      Turn Over            (Tk in crore)                                        </t>
  </si>
  <si>
    <t xml:space="preserve"> Total No. of Companies</t>
  </si>
  <si>
    <t xml:space="preserve">Note:                   1. DSE Broad Index has been introduced instead of General Index from August 2013</t>
  </si>
  <si>
    <r>
      <rPr>
        <b val="true"/>
        <sz val="8"/>
        <rFont val="Times New Roman"/>
        <family val="1"/>
        <charset val="1"/>
      </rPr>
      <t xml:space="preserve">Source</t>
    </r>
    <r>
      <rPr>
        <sz val="8"/>
        <rFont val="Times New Roman"/>
        <family val="1"/>
        <charset val="1"/>
      </rPr>
      <t xml:space="preserve">    </t>
    </r>
    <r>
      <rPr>
        <b val="true"/>
        <sz val="8"/>
        <rFont val="Times New Roman"/>
        <family val="1"/>
        <charset val="1"/>
      </rPr>
      <t xml:space="preserve">: </t>
    </r>
    <r>
      <rPr>
        <sz val="8"/>
        <rFont val="Times New Roman"/>
        <family val="1"/>
        <charset val="1"/>
      </rPr>
      <t xml:space="preserve">           Dhaka Stock Exchange Ltd (DSE)</t>
    </r>
  </si>
  <si>
    <t xml:space="preserve">…= Not Available</t>
  </si>
  <si>
    <t xml:space="preserve">MARKET CAPITALISATION (VALUE) OF ORDINARY SHARES OF COMPANIES </t>
  </si>
  <si>
    <t xml:space="preserve">LISTED WITH THE DHAKA STOCK EXCHANGE LTD</t>
  </si>
  <si>
    <t xml:space="preserve">TABLE-XI</t>
  </si>
  <si>
    <t xml:space="preserve">(Taka in Crore)</t>
  </si>
  <si>
    <t xml:space="preserve">COMPANY /SECTOR                                                                                                                                             GROUPS</t>
  </si>
  <si>
    <t xml:space="preserve">Banks</t>
  </si>
  <si>
    <t xml:space="preserve">Financial Institutions</t>
  </si>
  <si>
    <t xml:space="preserve">Mutual Funds</t>
  </si>
  <si>
    <t xml:space="preserve">Engineering </t>
  </si>
  <si>
    <t xml:space="preserve">Food &amp; Allied Products</t>
  </si>
  <si>
    <t xml:space="preserve">Fuel &amp; Power</t>
  </si>
  <si>
    <t xml:space="preserve">Jute Industries</t>
  </si>
  <si>
    <t xml:space="preserve">Textile Industries</t>
  </si>
  <si>
    <t xml:space="preserve">Pharmaceu-ticals &amp; Chemicals</t>
  </si>
  <si>
    <t xml:space="preserve">Paper &amp; Printing</t>
  </si>
  <si>
    <t xml:space="preserve">Services &amp; Real Estate</t>
  </si>
  <si>
    <t xml:space="preserve">Cement Industries</t>
  </si>
  <si>
    <t xml:space="preserve">Insurance</t>
  </si>
  <si>
    <t xml:space="preserve">Telecomm-unication</t>
  </si>
  <si>
    <t xml:space="preserve">Miscella-neous </t>
  </si>
  <si>
    <t xml:space="preserve">Total Market Capitalisation</t>
  </si>
  <si>
    <t xml:space="preserve">Banks have been subdivided into banks and financial institutions &amp; Investment has been renamed as mutual fund from January'10</t>
  </si>
  <si>
    <r>
      <rPr>
        <b val="true"/>
        <sz val="7"/>
        <rFont val="Times New Roman"/>
        <family val="1"/>
        <charset val="1"/>
      </rPr>
      <t xml:space="preserve">Note     :      </t>
    </r>
    <r>
      <rPr>
        <sz val="7"/>
        <rFont val="Times New Roman"/>
        <family val="1"/>
        <charset val="1"/>
      </rPr>
      <t xml:space="preserve">Miscellaneous includes IT-Sector, Tannery, Ceramic, Travel &amp; Corporate bond </t>
    </r>
  </si>
  <si>
    <t xml:space="preserve">Dhaka Stock Exchange Ltd (DSE)</t>
  </si>
  <si>
    <t xml:space="preserve">INTEREST RATE STRUCTURE OF </t>
  </si>
  <si>
    <t xml:space="preserve">GOVERNMENT SECURITIES / BONDS </t>
  </si>
  <si>
    <t xml:space="preserve">TABLE-XIIA (Contd.)</t>
  </si>
  <si>
    <t xml:space="preserve">INTEREST RATE STRUCTURE OF</t>
  </si>
  <si>
    <t xml:space="preserve"> GOVERNMENT SECURITIES/BONDS</t>
  </si>
  <si>
    <t xml:space="preserve">GOVERNMENT SECURITIES/BONDS </t>
  </si>
  <si>
    <t xml:space="preserve">GOVERNMENT SECURITIES/BONDS</t>
  </si>
  <si>
    <t xml:space="preserve">TABLE-XIIA (Concld.)</t>
  </si>
  <si>
    <t xml:space="preserve">Category of Instruments</t>
  </si>
  <si>
    <t xml:space="preserve">Effective Date</t>
  </si>
  <si>
    <t xml:space="preserve">Rate of Interest After Maturity  (%)</t>
  </si>
  <si>
    <t xml:space="preserve">Date/ Period of Maturity</t>
  </si>
  <si>
    <t xml:space="preserve">Mode of Payments</t>
  </si>
  <si>
    <t xml:space="preserve">   Effective   Date</t>
  </si>
  <si>
    <t xml:space="preserve">Rate of Interest After Maturity (%)</t>
  </si>
  <si>
    <t xml:space="preserve">Effective Date</t>
  </si>
  <si>
    <t xml:space="preserve">Principal</t>
  </si>
  <si>
    <t xml:space="preserve">Interest</t>
  </si>
  <si>
    <t xml:space="preserve">a)</t>
  </si>
  <si>
    <t xml:space="preserve">I</t>
  </si>
  <si>
    <t xml:space="preserve">2-year (BD)Govt. Treasury Bond </t>
  </si>
  <si>
    <t xml:space="preserve">08.08.18</t>
  </si>
  <si>
    <t xml:space="preserve">08.08.20</t>
  </si>
  <si>
    <t xml:space="preserve">After Maturity</t>
  </si>
  <si>
    <t xml:space="preserve">Half Yearly</t>
  </si>
  <si>
    <t xml:space="preserve">XXXV</t>
  </si>
  <si>
    <t xml:space="preserve">5-year  (BD) Govt. Treasury Bond </t>
  </si>
  <si>
    <t xml:space="preserve">13.03.19</t>
  </si>
  <si>
    <t xml:space="preserve">13.03.24</t>
  </si>
  <si>
    <t xml:space="preserve">10-year (BD) Govt. Treasury Bond</t>
  </si>
  <si>
    <t xml:space="preserve">17.07.13</t>
  </si>
  <si>
    <t xml:space="preserve">17.07.23</t>
  </si>
  <si>
    <t xml:space="preserve">XCI</t>
  </si>
  <si>
    <t xml:space="preserve">10 years (Sonali Bank) SPTB</t>
  </si>
  <si>
    <t xml:space="preserve">29.06.13</t>
  </si>
  <si>
    <t xml:space="preserve">29.06.23</t>
  </si>
  <si>
    <t xml:space="preserve">XLVIII</t>
  </si>
  <si>
    <t xml:space="preserve">15 year (BD) Govt.  Treasury Bond</t>
  </si>
  <si>
    <t xml:space="preserve">18.01.12</t>
  </si>
  <si>
    <t xml:space="preserve">18.01.27</t>
  </si>
  <si>
    <t xml:space="preserve">CIV</t>
  </si>
  <si>
    <t xml:space="preserve">15-year (BD) Govt.  Treasury Bond</t>
  </si>
  <si>
    <t xml:space="preserve">24.01.18</t>
  </si>
  <si>
    <t xml:space="preserve">24.01.33</t>
  </si>
  <si>
    <t xml:space="preserve">XXXIII</t>
  </si>
  <si>
    <t xml:space="preserve">20 year  (BD) Govt. Treasury Bond</t>
  </si>
  <si>
    <t xml:space="preserve">25.08.10</t>
  </si>
  <si>
    <t xml:space="preserve">25.08.30</t>
  </si>
  <si>
    <t xml:space="preserve">LXXXIX</t>
  </si>
  <si>
    <t xml:space="preserve">20-year  (BD) Govt. Treasury Bond</t>
  </si>
  <si>
    <t xml:space="preserve">25.11.15</t>
  </si>
  <si>
    <t xml:space="preserve">25.11.35</t>
  </si>
  <si>
    <t xml:space="preserve">II</t>
  </si>
  <si>
    <t xml:space="preserve">05.09.18</t>
  </si>
  <si>
    <t xml:space="preserve">05.09.20</t>
  </si>
  <si>
    <t xml:space="preserve">XXXVI</t>
  </si>
  <si>
    <t xml:space="preserve">10.04.19</t>
  </si>
  <si>
    <t xml:space="preserve">10.04.24</t>
  </si>
  <si>
    <t xml:space="preserve">21.08.13</t>
  </si>
  <si>
    <t xml:space="preserve">21.08.23</t>
  </si>
  <si>
    <t xml:space="preserve">XCII</t>
  </si>
  <si>
    <t xml:space="preserve">11-year (BJMC)(Sonali Bank) T. Bond</t>
  </si>
  <si>
    <t xml:space="preserve">23.10.11</t>
  </si>
  <si>
    <t xml:space="preserve">23.10.23</t>
  </si>
  <si>
    <t xml:space="preserve">XLIX</t>
  </si>
  <si>
    <t xml:space="preserve">22.02.12</t>
  </si>
  <si>
    <t xml:space="preserve">22.02.27</t>
  </si>
  <si>
    <t xml:space="preserve">CV</t>
  </si>
  <si>
    <t xml:space="preserve">28.03.18</t>
  </si>
  <si>
    <t xml:space="preserve">28.03.33</t>
  </si>
  <si>
    <t xml:space="preserve">XXXIV</t>
  </si>
  <si>
    <t xml:space="preserve">29.09.10</t>
  </si>
  <si>
    <t xml:space="preserve">29.09.30</t>
  </si>
  <si>
    <t xml:space="preserve">XC</t>
  </si>
  <si>
    <t xml:space="preserve">27.01.16</t>
  </si>
  <si>
    <t xml:space="preserve">27.01.36</t>
  </si>
  <si>
    <t xml:space="preserve">III</t>
  </si>
  <si>
    <t xml:space="preserve">07.11.18</t>
  </si>
  <si>
    <t xml:space="preserve">07.11.20</t>
  </si>
  <si>
    <t xml:space="preserve">XXXVII</t>
  </si>
  <si>
    <t xml:space="preserve">15.05.19</t>
  </si>
  <si>
    <t xml:space="preserve">15.05.24</t>
  </si>
  <si>
    <t xml:space="preserve">20.11.13</t>
  </si>
  <si>
    <t xml:space="preserve">20.11.23</t>
  </si>
  <si>
    <t xml:space="preserve">XCIII</t>
  </si>
  <si>
    <t xml:space="preserve">11-year (BJMC) (Janata Bank)T. Bond</t>
  </si>
  <si>
    <t xml:space="preserve">L</t>
  </si>
  <si>
    <t xml:space="preserve">21.03.12</t>
  </si>
  <si>
    <t xml:space="preserve">21.03.27</t>
  </si>
  <si>
    <t xml:space="preserve">CVI</t>
  </si>
  <si>
    <t xml:space="preserve">25.04.18</t>
  </si>
  <si>
    <t xml:space="preserve">25.04.33</t>
  </si>
  <si>
    <t xml:space="preserve">27.10.10</t>
  </si>
  <si>
    <t xml:space="preserve">27.10.30</t>
  </si>
  <si>
    <t xml:space="preserve">24.02.16</t>
  </si>
  <si>
    <t xml:space="preserve">24.02.36</t>
  </si>
  <si>
    <t xml:space="preserve">05.12.18</t>
  </si>
  <si>
    <t xml:space="preserve">05.12.20</t>
  </si>
  <si>
    <t xml:space="preserve">XXXVIII</t>
  </si>
  <si>
    <t xml:space="preserve">12.06.19</t>
  </si>
  <si>
    <t xml:space="preserve">12.06.24</t>
  </si>
  <si>
    <t xml:space="preserve">19.03.14</t>
  </si>
  <si>
    <t xml:space="preserve">19.03.24</t>
  </si>
  <si>
    <t xml:space="preserve">XCIV</t>
  </si>
  <si>
    <t xml:space="preserve">11-year (BJMC) (Agrani Bank) T. Bond</t>
  </si>
  <si>
    <t xml:space="preserve">LI</t>
  </si>
  <si>
    <t xml:space="preserve">18.04.12</t>
  </si>
  <si>
    <t xml:space="preserve">18.04.27</t>
  </si>
  <si>
    <t xml:space="preserve">CVII</t>
  </si>
  <si>
    <t xml:space="preserve">30.05.18</t>
  </si>
  <si>
    <t xml:space="preserve">30.05.33</t>
  </si>
  <si>
    <t xml:space="preserve">24.11.10</t>
  </si>
  <si>
    <t xml:space="preserve">24.11.30</t>
  </si>
  <si>
    <t xml:space="preserve">23.03.16</t>
  </si>
  <si>
    <t xml:space="preserve">23.03.36</t>
  </si>
  <si>
    <t xml:space="preserve">02.01.19</t>
  </si>
  <si>
    <t xml:space="preserve">02.01.21</t>
  </si>
  <si>
    <t xml:space="preserve">XXXIX</t>
  </si>
  <si>
    <t xml:space="preserve">10.07.19</t>
  </si>
  <si>
    <t xml:space="preserve">10.07.24</t>
  </si>
  <si>
    <t xml:space="preserve">16.07.14</t>
  </si>
  <si>
    <t xml:space="preserve">16.07.24</t>
  </si>
  <si>
    <t xml:space="preserve">XCV</t>
  </si>
  <si>
    <t xml:space="preserve">13 year (BPC) Govt. Special Treasury Bond</t>
  </si>
  <si>
    <t xml:space="preserve">25.09.07</t>
  </si>
  <si>
    <t xml:space="preserve">25.09.20</t>
  </si>
  <si>
    <t xml:space="preserve">LII</t>
  </si>
  <si>
    <t xml:space="preserve">23.05.12</t>
  </si>
  <si>
    <t xml:space="preserve">23.05.27</t>
  </si>
  <si>
    <t xml:space="preserve">CVIII</t>
  </si>
  <si>
    <t xml:space="preserve">27.06.18</t>
  </si>
  <si>
    <t xml:space="preserve">27.06.33</t>
  </si>
  <si>
    <t xml:space="preserve">29.12.10</t>
  </si>
  <si>
    <t xml:space="preserve">29.12.30</t>
  </si>
  <si>
    <t xml:space="preserve">27.04.16</t>
  </si>
  <si>
    <t xml:space="preserve">27.04.36</t>
  </si>
  <si>
    <t xml:space="preserve">06.02.19</t>
  </si>
  <si>
    <t xml:space="preserve">06.02.21</t>
  </si>
  <si>
    <t xml:space="preserve">XL</t>
  </si>
  <si>
    <t xml:space="preserve">07.08.19</t>
  </si>
  <si>
    <t xml:space="preserve">07.08.24</t>
  </si>
  <si>
    <t xml:space="preserve">19.11.14</t>
  </si>
  <si>
    <t xml:space="preserve">19.11.24</t>
  </si>
  <si>
    <t xml:space="preserve">XCVI</t>
  </si>
  <si>
    <t xml:space="preserve">13-year (BJMC) (Sonali Bank)T. Bond</t>
  </si>
  <si>
    <t xml:space="preserve">23.10.24</t>
  </si>
  <si>
    <t xml:space="preserve">LIII</t>
  </si>
  <si>
    <t xml:space="preserve">20.06.12</t>
  </si>
  <si>
    <t xml:space="preserve">20.06.27</t>
  </si>
  <si>
    <t xml:space="preserve">CIX</t>
  </si>
  <si>
    <t xml:space="preserve">25.07.18</t>
  </si>
  <si>
    <t xml:space="preserve">25.07.33</t>
  </si>
  <si>
    <t xml:space="preserve">26.01.11</t>
  </si>
  <si>
    <t xml:space="preserve">26.01.31</t>
  </si>
  <si>
    <t xml:space="preserve">25.05.16</t>
  </si>
  <si>
    <t xml:space="preserve">25.05.36</t>
  </si>
  <si>
    <t xml:space="preserve">06.03.19</t>
  </si>
  <si>
    <t xml:space="preserve">06.03.21</t>
  </si>
  <si>
    <t xml:space="preserve">XLI</t>
  </si>
  <si>
    <t xml:space="preserve">11.09.19</t>
  </si>
  <si>
    <t xml:space="preserve">11.09.24</t>
  </si>
  <si>
    <t xml:space="preserve">22.04.15</t>
  </si>
  <si>
    <t xml:space="preserve">22.04.25</t>
  </si>
  <si>
    <t xml:space="preserve">XCVII</t>
  </si>
  <si>
    <t xml:space="preserve">13-year (BJMC) (Janata Bank) T. Bond</t>
  </si>
  <si>
    <t xml:space="preserve">LIV</t>
  </si>
  <si>
    <t xml:space="preserve">18.07.12</t>
  </si>
  <si>
    <t xml:space="preserve">18.07.27</t>
  </si>
  <si>
    <t xml:space="preserve">CX</t>
  </si>
  <si>
    <t xml:space="preserve">26.09.18</t>
  </si>
  <si>
    <t xml:space="preserve">26.09.33</t>
  </si>
  <si>
    <t xml:space="preserve">23.02.11</t>
  </si>
  <si>
    <t xml:space="preserve">23.02.31</t>
  </si>
  <si>
    <t xml:space="preserve">29.06.16</t>
  </si>
  <si>
    <t xml:space="preserve">29.06.36</t>
  </si>
  <si>
    <t xml:space="preserve">03.04.19</t>
  </si>
  <si>
    <t xml:space="preserve">03.04.21</t>
  </si>
  <si>
    <t xml:space="preserve">XLII</t>
  </si>
  <si>
    <t xml:space="preserve">09.10.19</t>
  </si>
  <si>
    <t xml:space="preserve">09.10.24</t>
  </si>
  <si>
    <t xml:space="preserve">22.07.15</t>
  </si>
  <si>
    <t xml:space="preserve">22.07.25</t>
  </si>
  <si>
    <t xml:space="preserve">XCVIII</t>
  </si>
  <si>
    <t xml:space="preserve">13-year (BJMC) (Agrani Bank) T. Bond</t>
  </si>
  <si>
    <t xml:space="preserve">LV</t>
  </si>
  <si>
    <t xml:space="preserve">19.09.12</t>
  </si>
  <si>
    <t xml:space="preserve">19.09.27</t>
  </si>
  <si>
    <t xml:space="preserve">CXI</t>
  </si>
  <si>
    <t xml:space="preserve">28.11.18</t>
  </si>
  <si>
    <t xml:space="preserve">28.11.33</t>
  </si>
  <si>
    <t xml:space="preserve">23.03.11</t>
  </si>
  <si>
    <t xml:space="preserve">23.03.31</t>
  </si>
  <si>
    <t xml:space="preserve">27.07.16</t>
  </si>
  <si>
    <t xml:space="preserve">27.07.36</t>
  </si>
  <si>
    <t xml:space="preserve">IX</t>
  </si>
  <si>
    <t xml:space="preserve">08.05.19</t>
  </si>
  <si>
    <t xml:space="preserve">08.05.21</t>
  </si>
  <si>
    <t xml:space="preserve">XLIII</t>
  </si>
  <si>
    <t xml:space="preserve">13.11.19</t>
  </si>
  <si>
    <t xml:space="preserve">13.11.24</t>
  </si>
  <si>
    <t xml:space="preserve">16.09.15</t>
  </si>
  <si>
    <t xml:space="preserve">16.09.25</t>
  </si>
  <si>
    <t xml:space="preserve">XCIX</t>
  </si>
  <si>
    <t xml:space="preserve">14 year (BPC) Govt. Special Treasury Bond</t>
  </si>
  <si>
    <t xml:space="preserve">25.09.21</t>
  </si>
  <si>
    <t xml:space="preserve">LVI</t>
  </si>
  <si>
    <t xml:space="preserve">17.10.12</t>
  </si>
  <si>
    <t xml:space="preserve">17.10.27</t>
  </si>
  <si>
    <t xml:space="preserve">CXII</t>
  </si>
  <si>
    <t xml:space="preserve">26.12.18</t>
  </si>
  <si>
    <t xml:space="preserve">26.12.33</t>
  </si>
  <si>
    <t xml:space="preserve">27.04.11</t>
  </si>
  <si>
    <t xml:space="preserve">27.04.31</t>
  </si>
  <si>
    <t xml:space="preserve">28.09.16</t>
  </si>
  <si>
    <t xml:space="preserve">28.09.36</t>
  </si>
  <si>
    <t xml:space="preserve">12.06.21</t>
  </si>
  <si>
    <t xml:space="preserve">XLIV</t>
  </si>
  <si>
    <t xml:space="preserve">11.12.19</t>
  </si>
  <si>
    <t xml:space="preserve">11.12.24</t>
  </si>
  <si>
    <t xml:space="preserve">18.11.15</t>
  </si>
  <si>
    <t xml:space="preserve">18.11.25</t>
  </si>
  <si>
    <t xml:space="preserve">d)</t>
  </si>
  <si>
    <t xml:space="preserve">12.09.07</t>
  </si>
  <si>
    <t xml:space="preserve">12.09.22</t>
  </si>
  <si>
    <t xml:space="preserve">LVII</t>
  </si>
  <si>
    <t xml:space="preserve">21.11.12</t>
  </si>
  <si>
    <t xml:space="preserve">21.11.27</t>
  </si>
  <si>
    <t xml:space="preserve">CXIII</t>
  </si>
  <si>
    <t xml:space="preserve">23.01.19</t>
  </si>
  <si>
    <t xml:space="preserve">23.01.34</t>
  </si>
  <si>
    <t xml:space="preserve">25.05.11</t>
  </si>
  <si>
    <t xml:space="preserve">25.05.31</t>
  </si>
  <si>
    <t xml:space="preserve">26.10.16</t>
  </si>
  <si>
    <t xml:space="preserve">26.10.36</t>
  </si>
  <si>
    <t xml:space="preserve">03.07.19</t>
  </si>
  <si>
    <t xml:space="preserve">03.07.21</t>
  </si>
  <si>
    <t xml:space="preserve">XLV</t>
  </si>
  <si>
    <t xml:space="preserve">15.01.20</t>
  </si>
  <si>
    <t xml:space="preserve">15.01.25</t>
  </si>
  <si>
    <t xml:space="preserve">17.12.15</t>
  </si>
  <si>
    <t xml:space="preserve">17.12.25</t>
  </si>
  <si>
    <t xml:space="preserve">25.09.22</t>
  </si>
  <si>
    <t xml:space="preserve">LVIII</t>
  </si>
  <si>
    <t xml:space="preserve">19.12.12</t>
  </si>
  <si>
    <t xml:space="preserve">19.12.27</t>
  </si>
  <si>
    <t xml:space="preserve">CXIV</t>
  </si>
  <si>
    <t xml:space="preserve">27.03.19</t>
  </si>
  <si>
    <t xml:space="preserve">27.03.34</t>
  </si>
  <si>
    <t xml:space="preserve">29.06.11</t>
  </si>
  <si>
    <t xml:space="preserve">29.06.31</t>
  </si>
  <si>
    <t xml:space="preserve">23.11.16</t>
  </si>
  <si>
    <t xml:space="preserve">23.11.36</t>
  </si>
  <si>
    <t xml:space="preserve">XII</t>
  </si>
  <si>
    <t xml:space="preserve">07.08.21</t>
  </si>
  <si>
    <t xml:space="preserve">XLVI</t>
  </si>
  <si>
    <t xml:space="preserve">12.02.20</t>
  </si>
  <si>
    <t xml:space="preserve">12.02.25</t>
  </si>
  <si>
    <t xml:space="preserve">20.01.16</t>
  </si>
  <si>
    <t xml:space="preserve">20.01.26</t>
  </si>
  <si>
    <t xml:space="preserve">11.10.07</t>
  </si>
  <si>
    <t xml:space="preserve">11.10.22</t>
  </si>
  <si>
    <t xml:space="preserve">LIX</t>
  </si>
  <si>
    <t xml:space="preserve">16.01.13</t>
  </si>
  <si>
    <t xml:space="preserve">16.01.28</t>
  </si>
  <si>
    <t xml:space="preserve">CXV</t>
  </si>
  <si>
    <t xml:space="preserve">24.04.19</t>
  </si>
  <si>
    <t xml:space="preserve">24.04.34</t>
  </si>
  <si>
    <t xml:space="preserve">27.07.11</t>
  </si>
  <si>
    <t xml:space="preserve">27.07.31</t>
  </si>
  <si>
    <t xml:space="preserve">C</t>
  </si>
  <si>
    <t xml:space="preserve">28.12.16</t>
  </si>
  <si>
    <t xml:space="preserve">28.12.36</t>
  </si>
  <si>
    <t xml:space="preserve">04.09.19</t>
  </si>
  <si>
    <t xml:space="preserve">04.09.21</t>
  </si>
  <si>
    <t xml:space="preserve">XLVII</t>
  </si>
  <si>
    <t xml:space="preserve">10.06.20</t>
  </si>
  <si>
    <t xml:space="preserve">10.06.25</t>
  </si>
  <si>
    <t xml:space="preserve">17.02.16</t>
  </si>
  <si>
    <t xml:space="preserve">17.02.26</t>
  </si>
  <si>
    <t xml:space="preserve">15 year (BPC) Govt. Special Treasury Bond</t>
  </si>
  <si>
    <t xml:space="preserve">14.11.07</t>
  </si>
  <si>
    <t xml:space="preserve">14.11.22</t>
  </si>
  <si>
    <t xml:space="preserve">LX</t>
  </si>
  <si>
    <t xml:space="preserve">20.02.13</t>
  </si>
  <si>
    <t xml:space="preserve">20.02.28</t>
  </si>
  <si>
    <t xml:space="preserve">CXVI</t>
  </si>
  <si>
    <t xml:space="preserve">29.05.19</t>
  </si>
  <si>
    <t xml:space="preserve">29.05.34</t>
  </si>
  <si>
    <t xml:space="preserve">24.08.11</t>
  </si>
  <si>
    <t xml:space="preserve"> 24.08.31</t>
  </si>
  <si>
    <t xml:space="preserve">CI</t>
  </si>
  <si>
    <t xml:space="preserve">25.01.17</t>
  </si>
  <si>
    <t xml:space="preserve">25.01.37</t>
  </si>
  <si>
    <t xml:space="preserve">02.10.19</t>
  </si>
  <si>
    <t xml:space="preserve">02.10.21</t>
  </si>
  <si>
    <t xml:space="preserve">15.07.20</t>
  </si>
  <si>
    <t xml:space="preserve">15.07.25</t>
  </si>
  <si>
    <t xml:space="preserve">16.03.16</t>
  </si>
  <si>
    <t xml:space="preserve">16.03.26</t>
  </si>
  <si>
    <t xml:space="preserve">12.12.07</t>
  </si>
  <si>
    <t xml:space="preserve">12.12.22</t>
  </si>
  <si>
    <t xml:space="preserve">LXI</t>
  </si>
  <si>
    <t xml:space="preserve">20.03.13</t>
  </si>
  <si>
    <t xml:space="preserve">20.03.28</t>
  </si>
  <si>
    <t xml:space="preserve">CXVII</t>
  </si>
  <si>
    <t xml:space="preserve">26.06.19</t>
  </si>
  <si>
    <t xml:space="preserve">26.06.34</t>
  </si>
  <si>
    <t xml:space="preserve">28.09.11</t>
  </si>
  <si>
    <t xml:space="preserve"> 28.09.31</t>
  </si>
  <si>
    <t xml:space="preserve">CII</t>
  </si>
  <si>
    <t xml:space="preserve">01.03.17</t>
  </si>
  <si>
    <t xml:space="preserve">01.03.37</t>
  </si>
  <si>
    <t xml:space="preserve">06.11.19</t>
  </si>
  <si>
    <t xml:space="preserve">06.11.21</t>
  </si>
  <si>
    <t xml:space="preserve">8 years (Agrani Bank) SPTB</t>
  </si>
  <si>
    <t xml:space="preserve">29.06.21</t>
  </si>
  <si>
    <t xml:space="preserve">20.04.16</t>
  </si>
  <si>
    <t xml:space="preserve">20.04.26</t>
  </si>
  <si>
    <t xml:space="preserve">09.01.08</t>
  </si>
  <si>
    <t xml:space="preserve">09.01.23</t>
  </si>
  <si>
    <t xml:space="preserve">LXII</t>
  </si>
  <si>
    <t xml:space="preserve">17.04.13</t>
  </si>
  <si>
    <t xml:space="preserve">17.04.28</t>
  </si>
  <si>
    <t xml:space="preserve">CXVIII</t>
  </si>
  <si>
    <t xml:space="preserve">24.07.19</t>
  </si>
  <si>
    <t xml:space="preserve">24.07.34</t>
  </si>
  <si>
    <t xml:space="preserve">26.10.11</t>
  </si>
  <si>
    <t xml:space="preserve"> 26.10.31</t>
  </si>
  <si>
    <t xml:space="preserve">CIII</t>
  </si>
  <si>
    <t xml:space="preserve">22.06.17</t>
  </si>
  <si>
    <t xml:space="preserve">22.06.37</t>
  </si>
  <si>
    <t xml:space="preserve">04.12.19</t>
  </si>
  <si>
    <t xml:space="preserve">04.12.21</t>
  </si>
  <si>
    <t xml:space="preserve">8 years (Janata Bank) SPTB</t>
  </si>
  <si>
    <t xml:space="preserve">18.05.16</t>
  </si>
  <si>
    <t xml:space="preserve">18.05.26</t>
  </si>
  <si>
    <t xml:space="preserve">13.02.08</t>
  </si>
  <si>
    <t xml:space="preserve">13.02.23</t>
  </si>
  <si>
    <t xml:space="preserve">LXIII</t>
  </si>
  <si>
    <t xml:space="preserve">22.05.13</t>
  </si>
  <si>
    <t xml:space="preserve">22.05.28</t>
  </si>
  <si>
    <t xml:space="preserve">CXIX</t>
  </si>
  <si>
    <t xml:space="preserve">28.08.19</t>
  </si>
  <si>
    <t xml:space="preserve">28.08.34</t>
  </si>
  <si>
    <t xml:space="preserve">23.11.11</t>
  </si>
  <si>
    <t xml:space="preserve">23.11.31</t>
  </si>
  <si>
    <t xml:space="preserve">26.09.17</t>
  </si>
  <si>
    <t xml:space="preserve">26.09.37</t>
  </si>
  <si>
    <t xml:space="preserve">08.01.20</t>
  </si>
  <si>
    <t xml:space="preserve">08.01.22</t>
  </si>
  <si>
    <t xml:space="preserve">8 years (Sonali Bank) SPTB</t>
  </si>
  <si>
    <t xml:space="preserve">22.06.16</t>
  </si>
  <si>
    <t xml:space="preserve">22.06.26</t>
  </si>
  <si>
    <t xml:space="preserve">09.04.08</t>
  </si>
  <si>
    <t xml:space="preserve">09.04.23</t>
  </si>
  <si>
    <t xml:space="preserve">LXIV</t>
  </si>
  <si>
    <t xml:space="preserve">19.06.13</t>
  </si>
  <si>
    <t xml:space="preserve">19.06.28</t>
  </si>
  <si>
    <t xml:space="preserve">CXX</t>
  </si>
  <si>
    <t xml:space="preserve">25.09.19</t>
  </si>
  <si>
    <t xml:space="preserve">25.09.34</t>
  </si>
  <si>
    <t xml:space="preserve">28.12.11</t>
  </si>
  <si>
    <t xml:space="preserve"> 28.12.31</t>
  </si>
  <si>
    <t xml:space="preserve">27.12.17</t>
  </si>
  <si>
    <t xml:space="preserve">27.12.37</t>
  </si>
  <si>
    <t xml:space="preserve">05.02.20</t>
  </si>
  <si>
    <t xml:space="preserve">05.02.22</t>
  </si>
  <si>
    <t xml:space="preserve">9-year  (BJMC)(Sonali Bank) T. Bond </t>
  </si>
  <si>
    <t xml:space="preserve">23.10.20</t>
  </si>
  <si>
    <t xml:space="preserve">20.07.16</t>
  </si>
  <si>
    <t xml:space="preserve">20.07.26</t>
  </si>
  <si>
    <t xml:space="preserve">14.05.08</t>
  </si>
  <si>
    <t xml:space="preserve">14.05.23</t>
  </si>
  <si>
    <t xml:space="preserve">LXV</t>
  </si>
  <si>
    <t xml:space="preserve">  24.07.13</t>
  </si>
  <si>
    <t xml:space="preserve">  24.07.28</t>
  </si>
  <si>
    <t xml:space="preserve">CXXI</t>
  </si>
  <si>
    <t xml:space="preserve">23.10.19</t>
  </si>
  <si>
    <t xml:space="preserve">23.10.34</t>
  </si>
  <si>
    <t xml:space="preserve"> 25.01.12</t>
  </si>
  <si>
    <t xml:space="preserve"> 25.01.32</t>
  </si>
  <si>
    <t xml:space="preserve">24.01.38</t>
  </si>
  <si>
    <t xml:space="preserve">04.03.20</t>
  </si>
  <si>
    <t xml:space="preserve">04.03.22</t>
  </si>
  <si>
    <t xml:space="preserve">9-year  (BJMC) (Janata Bank) T. Bond </t>
  </si>
  <si>
    <t xml:space="preserve">17.08.16</t>
  </si>
  <si>
    <t xml:space="preserve">17.08.26</t>
  </si>
  <si>
    <t xml:space="preserve">11.06.08</t>
  </si>
  <si>
    <t xml:space="preserve">11.06.23</t>
  </si>
  <si>
    <t xml:space="preserve">LXVI</t>
  </si>
  <si>
    <t xml:space="preserve">  29.08.13</t>
  </si>
  <si>
    <t xml:space="preserve"> 29.08.28</t>
  </si>
  <si>
    <t xml:space="preserve">CXXII</t>
  </si>
  <si>
    <t xml:space="preserve">27.11.19</t>
  </si>
  <si>
    <t xml:space="preserve">27.11.34</t>
  </si>
  <si>
    <t xml:space="preserve"> 29.02.12</t>
  </si>
  <si>
    <t xml:space="preserve"> 29.02.32</t>
  </si>
  <si>
    <t xml:space="preserve">28.03.38</t>
  </si>
  <si>
    <t xml:space="preserve">03.06.20</t>
  </si>
  <si>
    <t xml:space="preserve">03.06.22</t>
  </si>
  <si>
    <t xml:space="preserve">9-year  (BJMC)(Agrani Bank) T. Bond</t>
  </si>
  <si>
    <t xml:space="preserve">29.09.16</t>
  </si>
  <si>
    <t xml:space="preserve">21.09.26</t>
  </si>
  <si>
    <t xml:space="preserve">09.07.08</t>
  </si>
  <si>
    <t xml:space="preserve">09.07.23</t>
  </si>
  <si>
    <t xml:space="preserve">LXVII</t>
  </si>
  <si>
    <t xml:space="preserve">  25.09.13</t>
  </si>
  <si>
    <t xml:space="preserve">  25.09.28</t>
  </si>
  <si>
    <t xml:space="preserve">CXXIII</t>
  </si>
  <si>
    <t xml:space="preserve">26.12.19</t>
  </si>
  <si>
    <t xml:space="preserve">26.12.34</t>
  </si>
  <si>
    <t xml:space="preserve"> 28.03.12</t>
  </si>
  <si>
    <t xml:space="preserve"> 28.03.32</t>
  </si>
  <si>
    <t xml:space="preserve">25.04.38</t>
  </si>
  <si>
    <t xml:space="preserve">08.07.20</t>
  </si>
  <si>
    <t xml:space="preserve">08.07.22</t>
  </si>
  <si>
    <t xml:space="preserve">c)</t>
  </si>
  <si>
    <t xml:space="preserve">04.08.10</t>
  </si>
  <si>
    <t xml:space="preserve">04.08.20</t>
  </si>
  <si>
    <t xml:space="preserve">19.10.16</t>
  </si>
  <si>
    <t xml:space="preserve">19.10.26</t>
  </si>
  <si>
    <t xml:space="preserve">13.08.08</t>
  </si>
  <si>
    <t xml:space="preserve">13.08.23</t>
  </si>
  <si>
    <t xml:space="preserve">LXVIII</t>
  </si>
  <si>
    <t xml:space="preserve">  23.10.13</t>
  </si>
  <si>
    <t xml:space="preserve"> 23.10.28</t>
  </si>
  <si>
    <t xml:space="preserve">CXXIV</t>
  </si>
  <si>
    <t xml:space="preserve">29.01.20</t>
  </si>
  <si>
    <t xml:space="preserve">29.01.35</t>
  </si>
  <si>
    <t xml:space="preserve"> 25.04.12</t>
  </si>
  <si>
    <t xml:space="preserve"> 25.04.32</t>
  </si>
  <si>
    <t xml:space="preserve">30.05.38</t>
  </si>
  <si>
    <t xml:space="preserve">3-year (BD)Govt. F.R. Treasury Bond </t>
  </si>
  <si>
    <t xml:space="preserve">25.03.19</t>
  </si>
  <si>
    <t xml:space="preserve">25.03.22</t>
  </si>
  <si>
    <t xml:space="preserve">Quarterly</t>
  </si>
  <si>
    <t xml:space="preserve">08.09.10</t>
  </si>
  <si>
    <t xml:space="preserve">08.09.20</t>
  </si>
  <si>
    <t xml:space="preserve">16.11.16</t>
  </si>
  <si>
    <t xml:space="preserve">16.11.26</t>
  </si>
  <si>
    <t xml:space="preserve">10.09.08</t>
  </si>
  <si>
    <t xml:space="preserve">10.09.23</t>
  </si>
  <si>
    <t xml:space="preserve">LXIX</t>
  </si>
  <si>
    <t xml:space="preserve">  27.11.13</t>
  </si>
  <si>
    <t xml:space="preserve"> 27.11.28</t>
  </si>
  <si>
    <t xml:space="preserve">CXXV</t>
  </si>
  <si>
    <t xml:space="preserve">26.02.20</t>
  </si>
  <si>
    <t xml:space="preserve">26.02.35</t>
  </si>
  <si>
    <t xml:space="preserve"> 30.05.12</t>
  </si>
  <si>
    <t xml:space="preserve"> 30.05.32</t>
  </si>
  <si>
    <t xml:space="preserve">27.06.38</t>
  </si>
  <si>
    <t xml:space="preserve">b)</t>
  </si>
  <si>
    <t xml:space="preserve">12.08.15</t>
  </si>
  <si>
    <t xml:space="preserve">12.08.20</t>
  </si>
  <si>
    <t xml:space="preserve">06.10.10</t>
  </si>
  <si>
    <t xml:space="preserve">06.10.20</t>
  </si>
  <si>
    <t xml:space="preserve">21.12.16</t>
  </si>
  <si>
    <t xml:space="preserve">21.12.26</t>
  </si>
  <si>
    <t xml:space="preserve">15.10.08</t>
  </si>
  <si>
    <t xml:space="preserve">15.10.23</t>
  </si>
  <si>
    <t xml:space="preserve">LXX</t>
  </si>
  <si>
    <t xml:space="preserve">26.12.13</t>
  </si>
  <si>
    <t xml:space="preserve">26.12.28</t>
  </si>
  <si>
    <t xml:space="preserve">CXXVI</t>
  </si>
  <si>
    <t xml:space="preserve">24.06.20</t>
  </si>
  <si>
    <t xml:space="preserve">24.06.35</t>
  </si>
  <si>
    <t xml:space="preserve"> 27.06.12</t>
  </si>
  <si>
    <t xml:space="preserve"> 27.06.32</t>
  </si>
  <si>
    <t xml:space="preserve">25.07.38</t>
  </si>
  <si>
    <t xml:space="preserve">09.09.15</t>
  </si>
  <si>
    <t xml:space="preserve">09.09.20</t>
  </si>
  <si>
    <t xml:space="preserve">03.11.10</t>
  </si>
  <si>
    <t xml:space="preserve">03.11.20</t>
  </si>
  <si>
    <t xml:space="preserve">18.01.17</t>
  </si>
  <si>
    <t xml:space="preserve">12.11.08</t>
  </si>
  <si>
    <t xml:space="preserve">12.11.23</t>
  </si>
  <si>
    <t xml:space="preserve">LXXI</t>
  </si>
  <si>
    <t xml:space="preserve">29.01.14</t>
  </si>
  <si>
    <t xml:space="preserve">29.01.29</t>
  </si>
  <si>
    <t xml:space="preserve">29.07.20</t>
  </si>
  <si>
    <t xml:space="preserve">29.07.35</t>
  </si>
  <si>
    <t xml:space="preserve"> 25.07.12</t>
  </si>
  <si>
    <t xml:space="preserve"> 25.07.32</t>
  </si>
  <si>
    <t xml:space="preserve">26.09.38</t>
  </si>
  <si>
    <t xml:space="preserve">14.10.15</t>
  </si>
  <si>
    <t xml:space="preserve">14.10.20</t>
  </si>
  <si>
    <t xml:space="preserve">08.12.10</t>
  </si>
  <si>
    <t xml:space="preserve">08.12.20</t>
  </si>
  <si>
    <t xml:space="preserve">22.02.17</t>
  </si>
  <si>
    <t xml:space="preserve">14.01.09</t>
  </si>
  <si>
    <t xml:space="preserve">14.01.24</t>
  </si>
  <si>
    <t xml:space="preserve">LXXII</t>
  </si>
  <si>
    <t xml:space="preserve">26.02.14</t>
  </si>
  <si>
    <t xml:space="preserve">26.02.29</t>
  </si>
  <si>
    <t xml:space="preserve">e)</t>
  </si>
  <si>
    <t xml:space="preserve">26.09.07</t>
  </si>
  <si>
    <t xml:space="preserve">26.09.27</t>
  </si>
  <si>
    <t xml:space="preserve"> 29.08.12</t>
  </si>
  <si>
    <t xml:space="preserve"> 29.08.32</t>
  </si>
  <si>
    <t xml:space="preserve">28.11.38</t>
  </si>
  <si>
    <t xml:space="preserve">11.11.15</t>
  </si>
  <si>
    <t xml:space="preserve">11.11.20</t>
  </si>
  <si>
    <t xml:space="preserve">05.01.11</t>
  </si>
  <si>
    <t xml:space="preserve">05.01.21</t>
  </si>
  <si>
    <t xml:space="preserve">21.06.17</t>
  </si>
  <si>
    <t xml:space="preserve">21.06.27</t>
  </si>
  <si>
    <t xml:space="preserve">11.02.09</t>
  </si>
  <si>
    <t xml:space="preserve">11.02.24</t>
  </si>
  <si>
    <t xml:space="preserve">LXXIII</t>
  </si>
  <si>
    <t xml:space="preserve">27.03.14</t>
  </si>
  <si>
    <t xml:space="preserve">27.03.29</t>
  </si>
  <si>
    <t xml:space="preserve">24.10.07</t>
  </si>
  <si>
    <t xml:space="preserve">24.10.27</t>
  </si>
  <si>
    <t xml:space="preserve"> 26.09.12</t>
  </si>
  <si>
    <t xml:space="preserve"> 29.09.32</t>
  </si>
  <si>
    <t xml:space="preserve">16.12.38</t>
  </si>
  <si>
    <t xml:space="preserve">09.12.15</t>
  </si>
  <si>
    <t xml:space="preserve">09.12.20</t>
  </si>
  <si>
    <t xml:space="preserve">16.01.11</t>
  </si>
  <si>
    <t xml:space="preserve">Interest free</t>
  </si>
  <si>
    <t xml:space="preserve">16.01.21</t>
  </si>
  <si>
    <t xml:space="preserve">-</t>
  </si>
  <si>
    <t xml:space="preserve">19.07.17</t>
  </si>
  <si>
    <t xml:space="preserve">19.07.27</t>
  </si>
  <si>
    <t xml:space="preserve">11.03.09</t>
  </si>
  <si>
    <t xml:space="preserve">11.03.24</t>
  </si>
  <si>
    <t xml:space="preserve">LXXIV</t>
  </si>
  <si>
    <t xml:space="preserve">23.04.14</t>
  </si>
  <si>
    <t xml:space="preserve">23.04.29</t>
  </si>
  <si>
    <t xml:space="preserve">28.11.07</t>
  </si>
  <si>
    <t xml:space="preserve">28.11.27</t>
  </si>
  <si>
    <t xml:space="preserve"> 25.10.12</t>
  </si>
  <si>
    <t xml:space="preserve"> 25.10.32</t>
  </si>
  <si>
    <t xml:space="preserve">23.01.39</t>
  </si>
  <si>
    <t xml:space="preserve">13.01.16</t>
  </si>
  <si>
    <t xml:space="preserve">13.01.21</t>
  </si>
  <si>
    <t xml:space="preserve">BJMC &amp; BTMC special T. Bonds</t>
  </si>
  <si>
    <t xml:space="preserve">02.02.11</t>
  </si>
  <si>
    <t xml:space="preserve">02.02.21</t>
  </si>
  <si>
    <t xml:space="preserve">20.09.17</t>
  </si>
  <si>
    <t xml:space="preserve">20.09.27</t>
  </si>
  <si>
    <t xml:space="preserve">15.04.09</t>
  </si>
  <si>
    <t xml:space="preserve">15.04.24</t>
  </si>
  <si>
    <t xml:space="preserve">LXXV</t>
  </si>
  <si>
    <t xml:space="preserve">28.05.14</t>
  </si>
  <si>
    <t xml:space="preserve">28.05.29</t>
  </si>
  <si>
    <t xml:space="preserve">26.12.07</t>
  </si>
  <si>
    <t xml:space="preserve">26.12.27</t>
  </si>
  <si>
    <t xml:space="preserve"> 28.11.12</t>
  </si>
  <si>
    <t xml:space="preserve"> 28.11.32</t>
  </si>
  <si>
    <t xml:space="preserve">27.03.39</t>
  </si>
  <si>
    <t xml:space="preserve">10.02.16</t>
  </si>
  <si>
    <t xml:space="preserve">10.02.21</t>
  </si>
  <si>
    <t xml:space="preserve">02.03.11</t>
  </si>
  <si>
    <t xml:space="preserve">02.03.21</t>
  </si>
  <si>
    <t xml:space="preserve">18.10.17</t>
  </si>
  <si>
    <t xml:space="preserve">18.10.27</t>
  </si>
  <si>
    <t xml:space="preserve">13.05.09</t>
  </si>
  <si>
    <t xml:space="preserve">13.05.24</t>
  </si>
  <si>
    <t xml:space="preserve">LXXVI</t>
  </si>
  <si>
    <t xml:space="preserve">25.06.14</t>
  </si>
  <si>
    <t xml:space="preserve">25.06.29</t>
  </si>
  <si>
    <t xml:space="preserve">23.01.08</t>
  </si>
  <si>
    <t xml:space="preserve">23.01.28</t>
  </si>
  <si>
    <t xml:space="preserve"> 26.12.12</t>
  </si>
  <si>
    <t xml:space="preserve"> 26.12.32</t>
  </si>
  <si>
    <t xml:space="preserve">24.04.39</t>
  </si>
  <si>
    <t xml:space="preserve">09.03.16</t>
  </si>
  <si>
    <t xml:space="preserve">09.03.21</t>
  </si>
  <si>
    <t xml:space="preserve">06.04.11</t>
  </si>
  <si>
    <t xml:space="preserve">06.04.21</t>
  </si>
  <si>
    <t xml:space="preserve">20.12.17</t>
  </si>
  <si>
    <t xml:space="preserve">20.12.27</t>
  </si>
  <si>
    <t xml:space="preserve">10.06.09</t>
  </si>
  <si>
    <t xml:space="preserve">10.06.24</t>
  </si>
  <si>
    <t xml:space="preserve">LXXVII</t>
  </si>
  <si>
    <t xml:space="preserve">23.07.14</t>
  </si>
  <si>
    <t xml:space="preserve">23.07.29</t>
  </si>
  <si>
    <t xml:space="preserve">27.02.08</t>
  </si>
  <si>
    <t xml:space="preserve">27.02.28</t>
  </si>
  <si>
    <t xml:space="preserve"> 23.01.13</t>
  </si>
  <si>
    <t xml:space="preserve"> 23.01.33</t>
  </si>
  <si>
    <t xml:space="preserve">29.05.39</t>
  </si>
  <si>
    <t xml:space="preserve">13.04.16</t>
  </si>
  <si>
    <t xml:space="preserve">13.04.21</t>
  </si>
  <si>
    <t xml:space="preserve">04.05.11</t>
  </si>
  <si>
    <t xml:space="preserve">04.05.21</t>
  </si>
  <si>
    <t xml:space="preserve">17.01.18</t>
  </si>
  <si>
    <t xml:space="preserve">17.01.28</t>
  </si>
  <si>
    <t xml:space="preserve">15.07.09</t>
  </si>
  <si>
    <t xml:space="preserve">15.07.24</t>
  </si>
  <si>
    <t xml:space="preserve">LXXVIII</t>
  </si>
  <si>
    <t xml:space="preserve">27.08.14</t>
  </si>
  <si>
    <t xml:space="preserve">27.08.29</t>
  </si>
  <si>
    <t xml:space="preserve">27.03.08</t>
  </si>
  <si>
    <t xml:space="preserve">27.03.28</t>
  </si>
  <si>
    <t xml:space="preserve"> 27.02.13</t>
  </si>
  <si>
    <t xml:space="preserve"> 27.02.33</t>
  </si>
  <si>
    <t xml:space="preserve">26.06.39</t>
  </si>
  <si>
    <t xml:space="preserve">11.05.16</t>
  </si>
  <si>
    <t xml:space="preserve">11.05.21</t>
  </si>
  <si>
    <t xml:space="preserve">08.06.11</t>
  </si>
  <si>
    <t xml:space="preserve">08.06.21</t>
  </si>
  <si>
    <t xml:space="preserve">21.03.18</t>
  </si>
  <si>
    <t xml:space="preserve">21.03.28</t>
  </si>
  <si>
    <t xml:space="preserve">12.08.09</t>
  </si>
  <si>
    <t xml:space="preserve">12.08.24</t>
  </si>
  <si>
    <t xml:space="preserve">LXXIX</t>
  </si>
  <si>
    <t xml:space="preserve">24.09.14</t>
  </si>
  <si>
    <t xml:space="preserve">24.09.29</t>
  </si>
  <si>
    <t xml:space="preserve">23.04.08</t>
  </si>
  <si>
    <t xml:space="preserve">23.04.28</t>
  </si>
  <si>
    <t xml:space="preserve"> 27.03.13</t>
  </si>
  <si>
    <t xml:space="preserve"> 27.03.33</t>
  </si>
  <si>
    <t xml:space="preserve">24.07.39</t>
  </si>
  <si>
    <t xml:space="preserve">15.06.16</t>
  </si>
  <si>
    <t xml:space="preserve">15.06.21</t>
  </si>
  <si>
    <t xml:space="preserve">13.07.11</t>
  </si>
  <si>
    <t xml:space="preserve">13.07.21</t>
  </si>
  <si>
    <t xml:space="preserve">18.04.18</t>
  </si>
  <si>
    <t xml:space="preserve">18.04.28</t>
  </si>
  <si>
    <t xml:space="preserve">09.09.09</t>
  </si>
  <si>
    <t xml:space="preserve">09.09.24</t>
  </si>
  <si>
    <t xml:space="preserve">LXXX</t>
  </si>
  <si>
    <t xml:space="preserve">29.10.14</t>
  </si>
  <si>
    <t xml:space="preserve">29.10.29</t>
  </si>
  <si>
    <t xml:space="preserve">28.05.08</t>
  </si>
  <si>
    <t xml:space="preserve">28.05.28</t>
  </si>
  <si>
    <t xml:space="preserve"> 24.04.13</t>
  </si>
  <si>
    <t xml:space="preserve"> 24.04.33</t>
  </si>
  <si>
    <t xml:space="preserve">28.08.39</t>
  </si>
  <si>
    <t xml:space="preserve">13.07.16</t>
  </si>
  <si>
    <t xml:space="preserve">10.08.11</t>
  </si>
  <si>
    <t xml:space="preserve">10.08.21</t>
  </si>
  <si>
    <t xml:space="preserve">23.05.18</t>
  </si>
  <si>
    <t xml:space="preserve">23.05.28</t>
  </si>
  <si>
    <t xml:space="preserve">14.10.09</t>
  </si>
  <si>
    <t xml:space="preserve">14.10.24</t>
  </si>
  <si>
    <t xml:space="preserve">LXXXI</t>
  </si>
  <si>
    <t xml:space="preserve">26.11.14</t>
  </si>
  <si>
    <t xml:space="preserve">26.11.29</t>
  </si>
  <si>
    <t xml:space="preserve">25.06.08</t>
  </si>
  <si>
    <t xml:space="preserve">25.06.28</t>
  </si>
  <si>
    <t xml:space="preserve"> 29.05.13</t>
  </si>
  <si>
    <t xml:space="preserve"> 29.05.33</t>
  </si>
  <si>
    <t xml:space="preserve">25.09.39</t>
  </si>
  <si>
    <t xml:space="preserve">10.08.16</t>
  </si>
  <si>
    <t xml:space="preserve">14.09.11</t>
  </si>
  <si>
    <t xml:space="preserve">14.09.21</t>
  </si>
  <si>
    <t xml:space="preserve">20.06.18</t>
  </si>
  <si>
    <t xml:space="preserve">20.06.28</t>
  </si>
  <si>
    <t xml:space="preserve">09.12.09</t>
  </si>
  <si>
    <t xml:space="preserve">09.12.24</t>
  </si>
  <si>
    <t xml:space="preserve">LXXXII</t>
  </si>
  <si>
    <t xml:space="preserve">29.07.15</t>
  </si>
  <si>
    <t xml:space="preserve">29.07.30</t>
  </si>
  <si>
    <t xml:space="preserve">23.07.08</t>
  </si>
  <si>
    <t xml:space="preserve">23.07.28</t>
  </si>
  <si>
    <t xml:space="preserve"> 26.06.13</t>
  </si>
  <si>
    <t xml:space="preserve"> 26.06.33</t>
  </si>
  <si>
    <t xml:space="preserve">23.10.39</t>
  </si>
  <si>
    <t xml:space="preserve">13.10.16</t>
  </si>
  <si>
    <t xml:space="preserve">13.10.21</t>
  </si>
  <si>
    <t xml:space="preserve">12.10.11</t>
  </si>
  <si>
    <t xml:space="preserve">12.10.21</t>
  </si>
  <si>
    <t xml:space="preserve">18.07.18</t>
  </si>
  <si>
    <t xml:space="preserve">18.07.28</t>
  </si>
  <si>
    <t xml:space="preserve">13.01.10</t>
  </si>
  <si>
    <t xml:space="preserve">13.01.25</t>
  </si>
  <si>
    <t xml:space="preserve">LXXXIII</t>
  </si>
  <si>
    <t xml:space="preserve">26.08.15</t>
  </si>
  <si>
    <t xml:space="preserve">26.08.30</t>
  </si>
  <si>
    <t xml:space="preserve">27.08.08</t>
  </si>
  <si>
    <t xml:space="preserve">27.08.28</t>
  </si>
  <si>
    <t xml:space="preserve"> 24.07.13</t>
  </si>
  <si>
    <t xml:space="preserve"> 24.07.33</t>
  </si>
  <si>
    <t xml:space="preserve">27.11.39</t>
  </si>
  <si>
    <t xml:space="preserve">09.11.16</t>
  </si>
  <si>
    <t xml:space="preserve">09.11.21</t>
  </si>
  <si>
    <t xml:space="preserve">10.11.11</t>
  </si>
  <si>
    <t xml:space="preserve">10.11.21</t>
  </si>
  <si>
    <t xml:space="preserve">19.09.18</t>
  </si>
  <si>
    <t xml:space="preserve">19.09.28</t>
  </si>
  <si>
    <t xml:space="preserve">XXVIII</t>
  </si>
  <si>
    <t xml:space="preserve">10.02.10</t>
  </si>
  <si>
    <t xml:space="preserve">10.02.25</t>
  </si>
  <si>
    <t xml:space="preserve">LXXXIV</t>
  </si>
  <si>
    <t xml:space="preserve">23.09.15</t>
  </si>
  <si>
    <t xml:space="preserve">23.09.30</t>
  </si>
  <si>
    <t xml:space="preserve">24.09.08</t>
  </si>
  <si>
    <t xml:space="preserve">24.09.28</t>
  </si>
  <si>
    <t xml:space="preserve"> 29.08.13</t>
  </si>
  <si>
    <t xml:space="preserve"> 29.08.33</t>
  </si>
  <si>
    <t xml:space="preserve">26.12.39</t>
  </si>
  <si>
    <t xml:space="preserve">14.12.16</t>
  </si>
  <si>
    <t xml:space="preserve">14.12.21</t>
  </si>
  <si>
    <t xml:space="preserve">14.12.11</t>
  </si>
  <si>
    <t xml:space="preserve">22.11.18</t>
  </si>
  <si>
    <t xml:space="preserve">22.11.28</t>
  </si>
  <si>
    <t xml:space="preserve">XXIX</t>
  </si>
  <si>
    <t xml:space="preserve">10.03.10</t>
  </si>
  <si>
    <t xml:space="preserve">10.03.25</t>
  </si>
  <si>
    <t xml:space="preserve">LXXXV</t>
  </si>
  <si>
    <t xml:space="preserve">28.10.15</t>
  </si>
  <si>
    <t xml:space="preserve">28.10.30</t>
  </si>
  <si>
    <t xml:space="preserve">29.10.08</t>
  </si>
  <si>
    <t xml:space="preserve">29.10.28</t>
  </si>
  <si>
    <t xml:space="preserve"> 25.09.13</t>
  </si>
  <si>
    <t xml:space="preserve"> 25.09.33</t>
  </si>
  <si>
    <t xml:space="preserve">26.02.40</t>
  </si>
  <si>
    <t xml:space="preserve">11.01.17</t>
  </si>
  <si>
    <t xml:space="preserve">11.01.22</t>
  </si>
  <si>
    <t xml:space="preserve">11.01.12</t>
  </si>
  <si>
    <t xml:space="preserve">19.12.18</t>
  </si>
  <si>
    <t xml:space="preserve">19.12.28</t>
  </si>
  <si>
    <t xml:space="preserve">XXX</t>
  </si>
  <si>
    <t xml:space="preserve">15.04.10</t>
  </si>
  <si>
    <t xml:space="preserve">15.04.25</t>
  </si>
  <si>
    <t xml:space="preserve">LXXXVI</t>
  </si>
  <si>
    <t xml:space="preserve">25.11.30</t>
  </si>
  <si>
    <t xml:space="preserve">26.11.08</t>
  </si>
  <si>
    <t xml:space="preserve">26.11.28</t>
  </si>
  <si>
    <t xml:space="preserve"> 23.10.13</t>
  </si>
  <si>
    <t xml:space="preserve"> 23.10.33</t>
  </si>
  <si>
    <t xml:space="preserve">CXXVII</t>
  </si>
  <si>
    <t xml:space="preserve">24.06.40</t>
  </si>
  <si>
    <t xml:space="preserve">15.02.17</t>
  </si>
  <si>
    <t xml:space="preserve">15.02.12</t>
  </si>
  <si>
    <t xml:space="preserve">15.02.22</t>
  </si>
  <si>
    <t xml:space="preserve">16.01.19</t>
  </si>
  <si>
    <t xml:space="preserve">16.01.29</t>
  </si>
  <si>
    <t xml:space="preserve">XXXI</t>
  </si>
  <si>
    <t xml:space="preserve">12.05.10</t>
  </si>
  <si>
    <t xml:space="preserve">12.05.25</t>
  </si>
  <si>
    <t xml:space="preserve">LXXXVII</t>
  </si>
  <si>
    <t xml:space="preserve">27.01.31</t>
  </si>
  <si>
    <t xml:space="preserve">24.12.08</t>
  </si>
  <si>
    <t xml:space="preserve">24.12.28</t>
  </si>
  <si>
    <t xml:space="preserve"> 27.11.13</t>
  </si>
  <si>
    <t xml:space="preserve"> 27.11.33</t>
  </si>
  <si>
    <t xml:space="preserve">CXXVIII</t>
  </si>
  <si>
    <t xml:space="preserve">29.07.40</t>
  </si>
  <si>
    <t xml:space="preserve">14.06.17</t>
  </si>
  <si>
    <t xml:space="preserve">14.06.22</t>
  </si>
  <si>
    <t xml:space="preserve">14.03.12</t>
  </si>
  <si>
    <t xml:space="preserve">14.03.22</t>
  </si>
  <si>
    <t xml:space="preserve">20.03.19</t>
  </si>
  <si>
    <t xml:space="preserve">20.03.29</t>
  </si>
  <si>
    <t xml:space="preserve">XXXII</t>
  </si>
  <si>
    <t xml:space="preserve">09.06.10</t>
  </si>
  <si>
    <t xml:space="preserve">09.06.25</t>
  </si>
  <si>
    <t xml:space="preserve">LXXXVIII</t>
  </si>
  <si>
    <t xml:space="preserve">24.02.31</t>
  </si>
  <si>
    <t xml:space="preserve">28.01.09</t>
  </si>
  <si>
    <t xml:space="preserve">28.01.29</t>
  </si>
  <si>
    <t xml:space="preserve">12.07.17</t>
  </si>
  <si>
    <t xml:space="preserve">12.07.22</t>
  </si>
  <si>
    <t xml:space="preserve">11.04.12</t>
  </si>
  <si>
    <t xml:space="preserve">11.04.22</t>
  </si>
  <si>
    <t xml:space="preserve">17.04.19</t>
  </si>
  <si>
    <t xml:space="preserve">17.04.29</t>
  </si>
  <si>
    <t xml:space="preserve">11.08.10</t>
  </si>
  <si>
    <t xml:space="preserve">11.08.25</t>
  </si>
  <si>
    <t xml:space="preserve">25.02.09</t>
  </si>
  <si>
    <t xml:space="preserve">25.02.29</t>
  </si>
  <si>
    <t xml:space="preserve">29.01.34</t>
  </si>
  <si>
    <t xml:space="preserve">13.09.17</t>
  </si>
  <si>
    <t xml:space="preserve">13.09.22</t>
  </si>
  <si>
    <t xml:space="preserve">16.05.12</t>
  </si>
  <si>
    <t xml:space="preserve">16.05.22</t>
  </si>
  <si>
    <t xml:space="preserve">22.05.19</t>
  </si>
  <si>
    <t xml:space="preserve">22.05.29</t>
  </si>
  <si>
    <t xml:space="preserve">15.09.10</t>
  </si>
  <si>
    <t xml:space="preserve">15.09.25</t>
  </si>
  <si>
    <t xml:space="preserve">25.03.09</t>
  </si>
  <si>
    <t xml:space="preserve">25.03.29</t>
  </si>
  <si>
    <t xml:space="preserve">26.02.34</t>
  </si>
  <si>
    <t xml:space="preserve">11.10.17</t>
  </si>
  <si>
    <t xml:space="preserve">13.06.12</t>
  </si>
  <si>
    <t xml:space="preserve">13.06.22</t>
  </si>
  <si>
    <t xml:space="preserve">19.06.19</t>
  </si>
  <si>
    <t xml:space="preserve">19.06.29</t>
  </si>
  <si>
    <t xml:space="preserve">13.10.10</t>
  </si>
  <si>
    <t xml:space="preserve">13.10.25</t>
  </si>
  <si>
    <t xml:space="preserve">29.04.09</t>
  </si>
  <si>
    <t xml:space="preserve">29.04.29</t>
  </si>
  <si>
    <t xml:space="preserve">13.12.17</t>
  </si>
  <si>
    <t xml:space="preserve">13.12.22</t>
  </si>
  <si>
    <t xml:space="preserve">11.07.12</t>
  </si>
  <si>
    <t xml:space="preserve">11.07.22</t>
  </si>
  <si>
    <t xml:space="preserve">17.07.19</t>
  </si>
  <si>
    <t xml:space="preserve">17.07.29</t>
  </si>
  <si>
    <t xml:space="preserve">10.11.10</t>
  </si>
  <si>
    <t xml:space="preserve">10.11.25</t>
  </si>
  <si>
    <t xml:space="preserve">27.05.09</t>
  </si>
  <si>
    <t xml:space="preserve">27.05.29</t>
  </si>
  <si>
    <t xml:space="preserve">23.04.34</t>
  </si>
  <si>
    <t xml:space="preserve">10.01.18</t>
  </si>
  <si>
    <t xml:space="preserve">10.01.23</t>
  </si>
  <si>
    <t xml:space="preserve">22.08.12</t>
  </si>
  <si>
    <t xml:space="preserve">22.08.22</t>
  </si>
  <si>
    <t xml:space="preserve">21.08.19</t>
  </si>
  <si>
    <t xml:space="preserve">21.08.29</t>
  </si>
  <si>
    <t xml:space="preserve">15.12.10</t>
  </si>
  <si>
    <t xml:space="preserve">15.12.25</t>
  </si>
  <si>
    <t xml:space="preserve">24.06.09</t>
  </si>
  <si>
    <t xml:space="preserve">24.06.29</t>
  </si>
  <si>
    <t xml:space="preserve">28.05.34</t>
  </si>
  <si>
    <t xml:space="preserve">14.03.18</t>
  </si>
  <si>
    <t xml:space="preserve">14.03.23</t>
  </si>
  <si>
    <t xml:space="preserve">12.09.12</t>
  </si>
  <si>
    <t xml:space="preserve">18.09.19</t>
  </si>
  <si>
    <t xml:space="preserve">18.09.29</t>
  </si>
  <si>
    <t xml:space="preserve">09.02.11</t>
  </si>
  <si>
    <t xml:space="preserve">09.02.26</t>
  </si>
  <si>
    <t xml:space="preserve">24.08.16</t>
  </si>
  <si>
    <t xml:space="preserve">24.08.31</t>
  </si>
  <si>
    <t xml:space="preserve">29.07.09</t>
  </si>
  <si>
    <t xml:space="preserve">29.07.29</t>
  </si>
  <si>
    <t xml:space="preserve">25.06.34</t>
  </si>
  <si>
    <t xml:space="preserve">XXVl</t>
  </si>
  <si>
    <t xml:space="preserve">11.04.18</t>
  </si>
  <si>
    <t xml:space="preserve">11.04.23</t>
  </si>
  <si>
    <t xml:space="preserve">10.10.12</t>
  </si>
  <si>
    <t xml:space="preserve">10.10.22</t>
  </si>
  <si>
    <t xml:space="preserve">16.10.19</t>
  </si>
  <si>
    <t xml:space="preserve">16.10.29</t>
  </si>
  <si>
    <t xml:space="preserve">09.03.11</t>
  </si>
  <si>
    <t xml:space="preserve">09.03.26</t>
  </si>
  <si>
    <t xml:space="preserve">28.09.31</t>
  </si>
  <si>
    <t xml:space="preserve">26.08.09</t>
  </si>
  <si>
    <t xml:space="preserve">26.08.29</t>
  </si>
  <si>
    <t xml:space="preserve">23.07.34</t>
  </si>
  <si>
    <t xml:space="preserve">12.06.18</t>
  </si>
  <si>
    <t xml:space="preserve">12.06.23</t>
  </si>
  <si>
    <t xml:space="preserve">14.11.12</t>
  </si>
  <si>
    <t xml:space="preserve">20.11.19</t>
  </si>
  <si>
    <t xml:space="preserve">20.11.29</t>
  </si>
  <si>
    <t xml:space="preserve">13.04.11</t>
  </si>
  <si>
    <t xml:space="preserve">13.04.26</t>
  </si>
  <si>
    <t xml:space="preserve">26.10.31</t>
  </si>
  <si>
    <t xml:space="preserve">28.10.09</t>
  </si>
  <si>
    <t xml:space="preserve">28.10.29</t>
  </si>
  <si>
    <t xml:space="preserve">27.08.34</t>
  </si>
  <si>
    <t xml:space="preserve">11.07.18</t>
  </si>
  <si>
    <t xml:space="preserve">11.07.23</t>
  </si>
  <si>
    <t xml:space="preserve">12.12.12</t>
  </si>
  <si>
    <t xml:space="preserve">18.12.19</t>
  </si>
  <si>
    <t xml:space="preserve">18.12.29</t>
  </si>
  <si>
    <t xml:space="preserve">11.05.11</t>
  </si>
  <si>
    <t xml:space="preserve">11.05.26</t>
  </si>
  <si>
    <t xml:space="preserve">23.12.09</t>
  </si>
  <si>
    <t xml:space="preserve">23.12.29</t>
  </si>
  <si>
    <t xml:space="preserve">24.09.34</t>
  </si>
  <si>
    <t xml:space="preserve">16.08.18</t>
  </si>
  <si>
    <t xml:space="preserve">16.08.23</t>
  </si>
  <si>
    <t xml:space="preserve">09.01.13</t>
  </si>
  <si>
    <t xml:space="preserve">22.01.20</t>
  </si>
  <si>
    <t xml:space="preserve">22.01.30</t>
  </si>
  <si>
    <t xml:space="preserve">15.06.11</t>
  </si>
  <si>
    <t xml:space="preserve">15.06.26</t>
  </si>
  <si>
    <t xml:space="preserve">28.12.31</t>
  </si>
  <si>
    <t xml:space="preserve">24.02.10</t>
  </si>
  <si>
    <t xml:space="preserve">24.02.30</t>
  </si>
  <si>
    <t xml:space="preserve">29.10.34</t>
  </si>
  <si>
    <t xml:space="preserve">12.09.18</t>
  </si>
  <si>
    <t xml:space="preserve">12.09.23</t>
  </si>
  <si>
    <t xml:space="preserve">13.02.13</t>
  </si>
  <si>
    <t xml:space="preserve">19.02.20</t>
  </si>
  <si>
    <t xml:space="preserve">19.02.30</t>
  </si>
  <si>
    <t xml:space="preserve">17.08.11</t>
  </si>
  <si>
    <t xml:space="preserve">25.01.32</t>
  </si>
  <si>
    <t xml:space="preserve">24.03.10</t>
  </si>
  <si>
    <t xml:space="preserve">24.03.30</t>
  </si>
  <si>
    <t xml:space="preserve">26.11.34</t>
  </si>
  <si>
    <t xml:space="preserve">14.11.18</t>
  </si>
  <si>
    <t xml:space="preserve">14.11.23</t>
  </si>
  <si>
    <t xml:space="preserve">13.03.13</t>
  </si>
  <si>
    <t xml:space="preserve">13.03.23</t>
  </si>
  <si>
    <t xml:space="preserve">17.06.20</t>
  </si>
  <si>
    <t xml:space="preserve">17.06.30</t>
  </si>
  <si>
    <t xml:space="preserve">21.09.11</t>
  </si>
  <si>
    <t xml:space="preserve">01.03.32</t>
  </si>
  <si>
    <t xml:space="preserve">28.04.10</t>
  </si>
  <si>
    <t xml:space="preserve">28.04.30</t>
  </si>
  <si>
    <t xml:space="preserve">12.12.18</t>
  </si>
  <si>
    <t xml:space="preserve">12.12.23</t>
  </si>
  <si>
    <t xml:space="preserve">10.04.13</t>
  </si>
  <si>
    <t xml:space="preserve">10.04.23</t>
  </si>
  <si>
    <t xml:space="preserve">22.07.20</t>
  </si>
  <si>
    <t xml:space="preserve">19.10.11</t>
  </si>
  <si>
    <t xml:space="preserve">22.06.32</t>
  </si>
  <si>
    <t xml:space="preserve">26.05.10</t>
  </si>
  <si>
    <t xml:space="preserve">26.05.30</t>
  </si>
  <si>
    <t xml:space="preserve">26.08.35</t>
  </si>
  <si>
    <t xml:space="preserve">09.01.19</t>
  </si>
  <si>
    <t xml:space="preserve">09.01.24</t>
  </si>
  <si>
    <t xml:space="preserve">15.05.13</t>
  </si>
  <si>
    <t xml:space="preserve">15.05.23</t>
  </si>
  <si>
    <t xml:space="preserve">10 years (Agrani Bank) SPTB</t>
  </si>
  <si>
    <t xml:space="preserve">16.11.11</t>
  </si>
  <si>
    <t xml:space="preserve">26.09.32</t>
  </si>
  <si>
    <t xml:space="preserve">23.06.10</t>
  </si>
  <si>
    <t xml:space="preserve">23.06.30</t>
  </si>
  <si>
    <t xml:space="preserve">23.09.35</t>
  </si>
  <si>
    <t xml:space="preserve">13.02.19</t>
  </si>
  <si>
    <t xml:space="preserve">13.02.24</t>
  </si>
  <si>
    <t xml:space="preserve">12.06.13</t>
  </si>
  <si>
    <t xml:space="preserve">10 years (Janata Bank) SPTB</t>
  </si>
  <si>
    <t xml:space="preserve">21.12.11</t>
  </si>
  <si>
    <t xml:space="preserve">27.12.32</t>
  </si>
  <si>
    <t xml:space="preserve">29.07.10</t>
  </si>
  <si>
    <t xml:space="preserve">28.10.35</t>
  </si>
  <si>
    <t xml:space="preserve"> Debt Management Department, Bangladesh Bank</t>
  </si>
  <si>
    <t xml:space="preserve"> - = Nil</t>
  </si>
  <si>
    <t xml:space="preserve">          BANK RATE &amp; INTEREST RATE STRUCTURE OF POST OFFICE SAVINGS BANK, HOUSE  </t>
  </si>
  <si>
    <t xml:space="preserve">BUILDING FINANCE CORPORATION &amp; NATIONAL SAVINGS CERTIFICATES     </t>
  </si>
  <si>
    <t xml:space="preserve">                TABLE -XIIB</t>
  </si>
  <si>
    <t xml:space="preserve">Particulars</t>
  </si>
  <si>
    <t xml:space="preserve">With effect from 29.08.99</t>
  </si>
  <si>
    <t xml:space="preserve">With effect from 24.10.01</t>
  </si>
  <si>
    <t xml:space="preserve">With effect from 30.10.01</t>
  </si>
  <si>
    <t xml:space="preserve">    With effect from 01.11.02</t>
  </si>
  <si>
    <t xml:space="preserve">With effect from 08.11.03</t>
  </si>
  <si>
    <t xml:space="preserve">With effect from 17.07.04   </t>
  </si>
  <si>
    <t xml:space="preserve">With effect from 04.12.05   </t>
  </si>
  <si>
    <t xml:space="preserve">With effect from 01.07.06  </t>
  </si>
  <si>
    <t xml:space="preserve">With effect from 13.06.07  </t>
  </si>
  <si>
    <t xml:space="preserve">With effect from 01.07.10  </t>
  </si>
  <si>
    <t xml:space="preserve">  With effect from 01.07.11  </t>
  </si>
  <si>
    <t xml:space="preserve">With effect from 01.03.12</t>
  </si>
  <si>
    <t xml:space="preserve">With effect from 01.07.12  </t>
  </si>
  <si>
    <t xml:space="preserve">With effect from 23.05.15  </t>
  </si>
  <si>
    <t xml:space="preserve">With effect from 13.02.20  </t>
  </si>
  <si>
    <t xml:space="preserve">With effect from 16.03.20 </t>
  </si>
  <si>
    <t xml:space="preserve">With effect from 29.07.20  &amp; onwards</t>
  </si>
  <si>
    <t xml:space="preserve">A.</t>
  </si>
  <si>
    <t xml:space="preserve">Bank Rate</t>
  </si>
  <si>
    <t xml:space="preserve">B.</t>
  </si>
  <si>
    <t xml:space="preserve">Interest Rates on Deposits with Directorate of National Savings</t>
  </si>
  <si>
    <t xml:space="preserve">  1) Post Office Savings Deposits</t>
  </si>
  <si>
    <t xml:space="preserve">a) Ordinary Account</t>
  </si>
  <si>
    <t xml:space="preserve">b) Fixed Deposit Account (Interest after maturity)</t>
  </si>
  <si>
    <t xml:space="preserve">i) For one year</t>
  </si>
  <si>
    <t xml:space="preserve">ii) For two years</t>
  </si>
  <si>
    <t xml:space="preserve">iii) For three years</t>
  </si>
  <si>
    <t xml:space="preserve">13.24*</t>
  </si>
  <si>
    <t xml:space="preserve">11.28*</t>
  </si>
  <si>
    <t xml:space="preserve">6.00*</t>
  </si>
  <si>
    <t xml:space="preserve">c) Fixed Deposit Account (Interest after 6 months)</t>
  </si>
  <si>
    <t xml:space="preserve">  2) Interest Rates on National Savings Certificates</t>
  </si>
  <si>
    <t xml:space="preserve">i) Tin Mas Antar Munafa Vittik Sanchayapatra</t>
  </si>
  <si>
    <t xml:space="preserve">12.59**</t>
  </si>
  <si>
    <t xml:space="preserve">11.04**</t>
  </si>
  <si>
    <t xml:space="preserve">ii) 5-year  Bangladesh Sanchayapatra</t>
  </si>
  <si>
    <t xml:space="preserve">13.19***</t>
  </si>
  <si>
    <t xml:space="preserve">11.28***</t>
  </si>
  <si>
    <t xml:space="preserve">iii) 5-year  Pensioner Sanchaya Patra after 3-month interest</t>
  </si>
  <si>
    <t xml:space="preserve">---</t>
  </si>
  <si>
    <t xml:space="preserve">11.76***</t>
  </si>
  <si>
    <t xml:space="preserve">iv) 5-year  Paribar Sanchayapatra after monthly interest</t>
  </si>
  <si>
    <t xml:space="preserve">13.45****</t>
  </si>
  <si>
    <t xml:space="preserve">11.52****</t>
  </si>
  <si>
    <r>
      <rPr>
        <b val="true"/>
        <sz val="9"/>
        <color rgb="FF000000"/>
        <rFont val="Times New Roman"/>
        <family val="1"/>
        <charset val="1"/>
      </rPr>
      <t xml:space="preserve">  3) 5 years Wage Earners Development Bond</t>
    </r>
    <r>
      <rPr>
        <b val="true"/>
        <vertAlign val="superscript"/>
        <sz val="9"/>
        <color rgb="FF000000"/>
        <rFont val="Times New Roman"/>
        <family val="1"/>
        <charset val="1"/>
      </rPr>
      <t xml:space="preserve"> 1</t>
    </r>
  </si>
  <si>
    <t xml:space="preserve">i) Before six months from the date of issue</t>
  </si>
  <si>
    <t xml:space="preserve"> No interest</t>
  </si>
  <si>
    <t xml:space="preserve">ii) On completion of six months but before one year</t>
  </si>
  <si>
    <t xml:space="preserve">iii) On completion of one year but before 1½ year</t>
  </si>
  <si>
    <t xml:space="preserve">iv) On completion of 1½ years but before two year</t>
  </si>
  <si>
    <t xml:space="preserve">v) On completion of two years and thereafter</t>
  </si>
  <si>
    <t xml:space="preserve">vi) On completion of five years and thereafter </t>
  </si>
  <si>
    <t xml:space="preserve">11.80*****</t>
  </si>
  <si>
    <t xml:space="preserve">12.00*****</t>
  </si>
  <si>
    <r>
      <rPr>
        <b val="true"/>
        <sz val="8"/>
        <color rgb="FF000000"/>
        <rFont val="Arial Narrow"/>
        <family val="2"/>
        <charset val="1"/>
      </rPr>
      <t xml:space="preserve">  4) 3 years USD Premium Bond</t>
    </r>
    <r>
      <rPr>
        <b val="true"/>
        <vertAlign val="superscript"/>
        <sz val="8"/>
        <color rgb="FF000000"/>
        <rFont val="Arial Narrow"/>
        <family val="2"/>
        <charset val="1"/>
      </rPr>
      <t xml:space="preserve"> </t>
    </r>
    <r>
      <rPr>
        <b val="true"/>
        <sz val="8"/>
        <color rgb="FF000000"/>
        <rFont val="Arial Narrow"/>
        <family val="2"/>
        <charset val="1"/>
      </rPr>
      <t xml:space="preserve">for non-resident Bangladeshi </t>
    </r>
    <r>
      <rPr>
        <b val="true"/>
        <vertAlign val="superscript"/>
        <sz val="8"/>
        <color rgb="FF000000"/>
        <rFont val="Arial Narrow"/>
        <family val="2"/>
        <charset val="1"/>
      </rPr>
      <t xml:space="preserve">2</t>
    </r>
  </si>
  <si>
    <t xml:space="preserve">i) Within one year from the date of issue </t>
  </si>
  <si>
    <t xml:space="preserve">No interest</t>
  </si>
  <si>
    <t xml:space="preserve">ii) After completion of one year but within two years</t>
  </si>
  <si>
    <t xml:space="preserve">iii) After completion of two years but within three years</t>
  </si>
  <si>
    <t xml:space="preserve">iv) After completion of three years</t>
  </si>
  <si>
    <r>
      <rPr>
        <b val="true"/>
        <sz val="8.5"/>
        <color rgb="FF000000"/>
        <rFont val="Arial Narrow"/>
        <family val="2"/>
        <charset val="1"/>
      </rPr>
      <t xml:space="preserve">  5) 3 years USD Investment Bond for non-resident Bangladeshi </t>
    </r>
    <r>
      <rPr>
        <b val="true"/>
        <vertAlign val="superscript"/>
        <sz val="8.5"/>
        <color rgb="FF000000"/>
        <rFont val="Arial Narrow"/>
        <family val="2"/>
        <charset val="1"/>
      </rPr>
      <t xml:space="preserve">3</t>
    </r>
  </si>
  <si>
    <t xml:space="preserve">No interest </t>
  </si>
  <si>
    <t xml:space="preserve">C.</t>
  </si>
  <si>
    <t xml:space="preserve">Interest Rates on Construction Loans Provided by House Building Finance Corporation</t>
  </si>
  <si>
    <t xml:space="preserve">a) Dhaka and Chittagong Metropolitan Cities</t>
  </si>
  <si>
    <t xml:space="preserve">i)  Loan upto Tk. 15 lacs</t>
  </si>
  <si>
    <t xml:space="preserve">ii)  Loan above Tk. 15 lacs</t>
  </si>
  <si>
    <t xml:space="preserve">b) Other Divisional/District Head Quarters.</t>
  </si>
  <si>
    <t xml:space="preserve">1. Both interest &amp; principal amount are payable in BDT</t>
  </si>
  <si>
    <t xml:space="preserve">* including 0.84 %  social security premium (SSP) &amp; will be payable on completion of 3 years</t>
  </si>
  <si>
    <t xml:space="preserve">2. Interest is payable in BDT &amp; principal amount will be paid either in  USD or BDT as per option of the bond holder</t>
  </si>
  <si>
    <t xml:space="preserve">** including 0.79 %  social security premium (SSP) &amp; will be payable on completion of 3 years</t>
  </si>
  <si>
    <t xml:space="preserve">3. Both interest &amp; principal amount are payable in USD</t>
  </si>
  <si>
    <t xml:space="preserve">*** including 0.99 %  social security premium (SSP) &amp; will be payable on completion of 5 years</t>
  </si>
  <si>
    <t xml:space="preserve"> --- = Not applicable</t>
  </si>
  <si>
    <t xml:space="preserve">**** including 1.25 %  social security premium (SSP) &amp; will be payable on completion of 5 years</t>
  </si>
  <si>
    <t xml:space="preserve">***** including 0.80 %  social security premium (SSP) &amp; will be payable on completion of 5 years</t>
  </si>
  <si>
    <t xml:space="preserve">BANK WISE ANNOUNCED INTEREST RATE STRUCTURE </t>
  </si>
  <si>
    <t xml:space="preserve">IN BANGLADESH (EXCEPT ISLAMIC BANKS), June 2020</t>
  </si>
  <si>
    <t xml:space="preserve">TABLE-XIII (Contd.)</t>
  </si>
  <si>
    <t xml:space="preserve">                                                                  BANK WISE ANNOUNCED INTEREST RATE STRUCTURE </t>
  </si>
  <si>
    <t xml:space="preserve">                      BANK WISE ANNOUNCED INTEREST RATE STRUCTURE </t>
  </si>
  <si>
    <t xml:space="preserve">TABLE-XIII (Concld.)</t>
  </si>
  <si>
    <t xml:space="preserve">(Percent per annum)</t>
  </si>
  <si>
    <t xml:space="preserve">Interest Rates on</t>
  </si>
  <si>
    <t xml:space="preserve">State Owned Commercial Banks</t>
  </si>
  <si>
    <t xml:space="preserve">Specialised Banks</t>
  </si>
  <si>
    <t xml:space="preserve">Private Banks</t>
  </si>
  <si>
    <t xml:space="preserve">Private                                                                                                                                          Banks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</si>
  <si>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Private                                                                                                                                 Banks</t>
  </si>
  <si>
    <t xml:space="preserve">Foreign                                                                                                                              Banks</t>
  </si>
  <si>
    <t xml:space="preserve">Sonali
Bank</t>
  </si>
  <si>
    <t xml:space="preserve">Agrani
Bank</t>
  </si>
  <si>
    <t xml:space="preserve">Janata
Bank</t>
  </si>
  <si>
    <t xml:space="preserve">Rupali
Bank</t>
  </si>
  <si>
    <t xml:space="preserve">BASIC
Bank</t>
  </si>
  <si>
    <t xml:space="preserve">BDBL</t>
  </si>
  <si>
    <t xml:space="preserve">BKB</t>
  </si>
  <si>
    <t xml:space="preserve">RAKUB</t>
  </si>
  <si>
    <t xml:space="preserve">The City
Bank</t>
  </si>
  <si>
    <t xml:space="preserve">UCBL</t>
  </si>
  <si>
    <t xml:space="preserve">AB
Bank</t>
  </si>
  <si>
    <t xml:space="preserve">IFIC
Bank</t>
  </si>
  <si>
    <t xml:space="preserve">National
Bank</t>
  </si>
  <si>
    <t xml:space="preserve">Uttara
Bank</t>
  </si>
  <si>
    <t xml:space="preserve">Pubali
Bank</t>
  </si>
  <si>
    <t xml:space="preserve">Eastern
Bank</t>
  </si>
  <si>
    <t xml:space="preserve">NCCBL</t>
  </si>
  <si>
    <t xml:space="preserve">Dhaka
Bank</t>
  </si>
  <si>
    <t xml:space="preserve">Southeast
Bank</t>
  </si>
  <si>
    <t xml:space="preserve">BCBL</t>
  </si>
  <si>
    <t xml:space="preserve">Prime
Bank</t>
  </si>
  <si>
    <t xml:space="preserve">Dutch-Bangla
Bank</t>
  </si>
  <si>
    <t xml:space="preserve">Modhumoti
Bank</t>
  </si>
  <si>
    <t xml:space="preserve">NRB Global
Bank</t>
  </si>
  <si>
    <t xml:space="preserve">SBAC
Bank</t>
  </si>
  <si>
    <t xml:space="preserve">Padma
Bank</t>
  </si>
  <si>
    <t xml:space="preserve">Mercantile
Bank</t>
  </si>
  <si>
    <t xml:space="preserve">One
Bank</t>
  </si>
  <si>
    <t xml:space="preserve">Premier
Bank</t>
  </si>
  <si>
    <t xml:space="preserve">Trust
Bank</t>
  </si>
  <si>
    <t xml:space="preserve">BRAC
Bank</t>
  </si>
  <si>
    <t xml:space="preserve">Standard
Bank</t>
  </si>
  <si>
    <t xml:space="preserve">Meghna
Bank</t>
  </si>
  <si>
    <t xml:space="preserve">Midland
Bank</t>
  </si>
  <si>
    <t xml:space="preserve">NRB
Bank</t>
  </si>
  <si>
    <t xml:space="preserve">NRB Comm.
Bank</t>
  </si>
  <si>
    <t xml:space="preserve">Mutual
Trust Bank</t>
  </si>
  <si>
    <t xml:space="preserve">Bank Asia</t>
  </si>
  <si>
    <t xml:space="preserve">Jamuna
Bank</t>
  </si>
  <si>
    <t xml:space="preserve">Shimanto
Bank</t>
  </si>
  <si>
    <t xml:space="preserve">Commercail Bank
of Ceylon</t>
  </si>
  <si>
    <t xml:space="preserve">Standard
Chartered Bank</t>
  </si>
  <si>
    <t xml:space="preserve">State Bank
of India</t>
  </si>
  <si>
    <t xml:space="preserve">Habib Bank</t>
  </si>
  <si>
    <t xml:space="preserve">National Bank
of Pakistan</t>
  </si>
  <si>
    <t xml:space="preserve">Citi Bank NA</t>
  </si>
  <si>
    <t xml:space="preserve">Woori Bank</t>
  </si>
  <si>
    <t xml:space="preserve">HSBC</t>
  </si>
  <si>
    <t xml:space="preserve">Savings Deposits:</t>
  </si>
  <si>
    <t xml:space="preserve">3.50</t>
  </si>
  <si>
    <t xml:space="preserve">3.50-3.75</t>
  </si>
  <si>
    <t xml:space="preserve">3.00-3.50</t>
  </si>
  <si>
    <t xml:space="preserve">4.00</t>
  </si>
  <si>
    <t xml:space="preserve">4.50</t>
  </si>
  <si>
    <t xml:space="preserve">3.00-6.00</t>
  </si>
  <si>
    <t xml:space="preserve">3.00</t>
  </si>
  <si>
    <t xml:space="preserve">2.00-3.00</t>
  </si>
  <si>
    <t xml:space="preserve">2.50-3.25</t>
  </si>
  <si>
    <t xml:space="preserve">3.25-3.50</t>
  </si>
  <si>
    <t xml:space="preserve">1.50-5.75</t>
  </si>
  <si>
    <t xml:space="preserve">0.50-4.00</t>
  </si>
  <si>
    <t xml:space="preserve">2.00-5.00</t>
  </si>
  <si>
    <t xml:space="preserve">3.50-5.00</t>
  </si>
  <si>
    <t xml:space="preserve">3.30-6.00</t>
  </si>
  <si>
    <t xml:space="preserve">2.00-6.00</t>
  </si>
  <si>
    <t xml:space="preserve">3.00-4.50</t>
  </si>
  <si>
    <t xml:space="preserve">3.50-4.75</t>
  </si>
  <si>
    <t xml:space="preserve">3.50-5.50</t>
  </si>
  <si>
    <t xml:space="preserve">3.00-8.50</t>
  </si>
  <si>
    <t xml:space="preserve">0.10-5.00</t>
  </si>
  <si>
    <t xml:space="preserve">0.40</t>
  </si>
  <si>
    <t xml:space="preserve">0.50-6.00</t>
  </si>
  <si>
    <t xml:space="preserve">Special Notice Deposits (SND):</t>
  </si>
  <si>
    <t xml:space="preserve">    </t>
  </si>
  <si>
    <t xml:space="preserve">i)</t>
  </si>
  <si>
    <t xml:space="preserve"> &lt; 1.00 crore</t>
  </si>
  <si>
    <t xml:space="preserve">3.75</t>
  </si>
  <si>
    <t xml:space="preserve">2.50</t>
  </si>
  <si>
    <t xml:space="preserve">1.00</t>
  </si>
  <si>
    <t xml:space="preserve">2.00</t>
  </si>
  <si>
    <t xml:space="preserve">3.25</t>
  </si>
  <si>
    <t xml:space="preserve">1.50</t>
  </si>
  <si>
    <t xml:space="preserve">0.75</t>
  </si>
  <si>
    <t xml:space="preserve">0.10</t>
  </si>
  <si>
    <t xml:space="preserve">ii)</t>
  </si>
  <si>
    <t xml:space="preserve">1.00 crore but  &lt; 25.00 crore</t>
  </si>
  <si>
    <t xml:space="preserve">4.25</t>
  </si>
  <si>
    <t xml:space="preserve">2.75</t>
  </si>
  <si>
    <t xml:space="preserve">1.65</t>
  </si>
  <si>
    <t xml:space="preserve">5.00</t>
  </si>
  <si>
    <t xml:space="preserve">0.20</t>
  </si>
  <si>
    <t xml:space="preserve">0.90</t>
  </si>
  <si>
    <t xml:space="preserve">iii)</t>
  </si>
  <si>
    <t xml:space="preserve">25.00 crore but  &lt; 50.00 crore</t>
  </si>
  <si>
    <t xml:space="preserve">1.75</t>
  </si>
  <si>
    <t xml:space="preserve">5.50</t>
  </si>
  <si>
    <t xml:space="preserve">6.00</t>
  </si>
  <si>
    <t xml:space="preserve">2.25</t>
  </si>
  <si>
    <t xml:space="preserve">1.25</t>
  </si>
  <si>
    <t xml:space="preserve">0.30</t>
  </si>
  <si>
    <t xml:space="preserve">iv)</t>
  </si>
  <si>
    <t xml:space="preserve">50.00 crore but  &lt; 100.00 crore</t>
  </si>
  <si>
    <t xml:space="preserve">4.75</t>
  </si>
  <si>
    <t xml:space="preserve">1.90</t>
  </si>
  <si>
    <t xml:space="preserve">5.75</t>
  </si>
  <si>
    <t xml:space="preserve">v)</t>
  </si>
  <si>
    <t xml:space="preserve">100.00 crore &amp; above</t>
  </si>
  <si>
    <t xml:space="preserve">7.00</t>
  </si>
  <si>
    <t xml:space="preserve">Fixed Deposits:</t>
  </si>
  <si>
    <t xml:space="preserve">3 months but &lt;6 months</t>
  </si>
  <si>
    <t xml:space="preserve">5.25-6.00</t>
  </si>
  <si>
    <t xml:space="preserve">5.25-5.50</t>
  </si>
  <si>
    <t xml:space="preserve">4.50-5.50</t>
  </si>
  <si>
    <t xml:space="preserve">4.00-5.00</t>
  </si>
  <si>
    <t xml:space="preserve">4.00-6.00</t>
  </si>
  <si>
    <t xml:space="preserve">6.00-6.25</t>
  </si>
  <si>
    <t xml:space="preserve">5.50-5.75</t>
  </si>
  <si>
    <t xml:space="preserve">6.00-7.00</t>
  </si>
  <si>
    <t xml:space="preserve">5.50-8.50</t>
  </si>
  <si>
    <t xml:space="preserve">6.00-6.50</t>
  </si>
  <si>
    <t xml:space="preserve">6.00-7.50</t>
  </si>
  <si>
    <t xml:space="preserve">5.50-6.00</t>
  </si>
  <si>
    <t xml:space="preserve">2.00-9.00</t>
  </si>
  <si>
    <t xml:space="preserve">6.25-7.50</t>
  </si>
  <si>
    <t xml:space="preserve">3.40-4.75</t>
  </si>
  <si>
    <t xml:space="preserve">5.00-6.00</t>
  </si>
  <si>
    <t xml:space="preserve">6 months but &lt; 1 year</t>
  </si>
  <si>
    <t xml:space="preserve">5.85</t>
  </si>
  <si>
    <t xml:space="preserve">3.50-4.00</t>
  </si>
  <si>
    <t xml:space="preserve">6.50-7.00</t>
  </si>
  <si>
    <t xml:space="preserve">4.50-6.00</t>
  </si>
  <si>
    <t xml:space="preserve">6.00-8.00</t>
  </si>
  <si>
    <t xml:space="preserve">4.00-5.75</t>
  </si>
  <si>
    <t xml:space="preserve">2.25-9.00</t>
  </si>
  <si>
    <t xml:space="preserve">7.00-7.75</t>
  </si>
  <si>
    <t xml:space="preserve">1.00-6.00</t>
  </si>
  <si>
    <t xml:space="preserve">1 year but&lt; 2 years</t>
  </si>
  <si>
    <t xml:space="preserve">5.75-7.00</t>
  </si>
  <si>
    <t xml:space="preserve">5.75-6.00</t>
  </si>
  <si>
    <t xml:space="preserve">7.00-8.00</t>
  </si>
  <si>
    <t xml:space="preserve">6.00-6.75</t>
  </si>
  <si>
    <t xml:space="preserve">4.00-4.50</t>
  </si>
  <si>
    <t xml:space="preserve">6.25-8.00</t>
  </si>
  <si>
    <t xml:space="preserve">5.50-6.50</t>
  </si>
  <si>
    <t xml:space="preserve">3.00-9.00</t>
  </si>
  <si>
    <t xml:space="preserve">7.25-8.00</t>
  </si>
  <si>
    <t xml:space="preserve">2 years but &lt; 3 years</t>
  </si>
  <si>
    <t xml:space="preserve">6.50-8.00</t>
  </si>
  <si>
    <t xml:space="preserve">4.75-5.00</t>
  </si>
  <si>
    <t xml:space="preserve">3.50-6.00</t>
  </si>
  <si>
    <t xml:space="preserve">3 years &amp; above</t>
  </si>
  <si>
    <t xml:space="preserve">6.00-9.00</t>
  </si>
  <si>
    <t xml:space="preserve">4.75-8.00</t>
  </si>
  <si>
    <t xml:space="preserve">6.75-8.00</t>
  </si>
  <si>
    <t xml:space="preserve">Lending Rates: </t>
  </si>
  <si>
    <t xml:space="preserve">  </t>
  </si>
  <si>
    <t xml:space="preserve">Agriculture</t>
  </si>
  <si>
    <t xml:space="preserve">Sub-Category-1</t>
  </si>
  <si>
    <t xml:space="preserve">4.00-9.00</t>
  </si>
  <si>
    <t xml:space="preserve">9.00</t>
  </si>
  <si>
    <t xml:space="preserve">7.50-9.00</t>
  </si>
  <si>
    <t xml:space="preserve">8.00-9.00</t>
  </si>
  <si>
    <t xml:space="preserve">7.00-9.00</t>
  </si>
  <si>
    <t xml:space="preserve">Sub-Category-2</t>
  </si>
  <si>
    <t xml:space="preserve">Term Loan to Large &amp; Medium Scale Industry</t>
  </si>
  <si>
    <t xml:space="preserve">7.25-9.00</t>
  </si>
  <si>
    <t xml:space="preserve">Term Loan to Small Industry</t>
  </si>
  <si>
    <t xml:space="preserve">Working Capital to Industry</t>
  </si>
  <si>
    <t xml:space="preserve">Working Capital to Large &amp; Medium Scale Industry</t>
  </si>
  <si>
    <t xml:space="preserve">  Sub-Category-1</t>
  </si>
  <si>
    <t xml:space="preserve">  Sub-Category-2</t>
  </si>
  <si>
    <t xml:space="preserve">Working Capital to Small Industry</t>
  </si>
  <si>
    <t xml:space="preserve">Exports</t>
  </si>
  <si>
    <t xml:space="preserve">4.00-7.00</t>
  </si>
  <si>
    <t xml:space="preserve">6.75</t>
  </si>
  <si>
    <t xml:space="preserve">Trade Financing </t>
  </si>
  <si>
    <t xml:space="preserve">Housing Loan </t>
  </si>
  <si>
    <t xml:space="preserve">8.25-9.00</t>
  </si>
  <si>
    <t xml:space="preserve">8.50-9.00</t>
  </si>
  <si>
    <t xml:space="preserve">Consumer Credit </t>
  </si>
  <si>
    <t xml:space="preserve">13.00</t>
  </si>
  <si>
    <t xml:space="preserve">Others </t>
  </si>
  <si>
    <t xml:space="preserve">9.00-12.50</t>
  </si>
  <si>
    <t xml:space="preserve">5.00-9.00</t>
  </si>
  <si>
    <t xml:space="preserve">12.00</t>
  </si>
  <si>
    <t xml:space="preserve">10.00-18.00</t>
  </si>
  <si>
    <t xml:space="preserve">9.00-22.00</t>
  </si>
  <si>
    <t xml:space="preserve">12.50-15.50</t>
  </si>
  <si>
    <t xml:space="preserve">12.90</t>
  </si>
  <si>
    <t xml:space="preserve">17.50-20.50</t>
  </si>
  <si>
    <t xml:space="preserve">Source  :  Banking Regulation &amp; Policy Department, Bangladesh Bank                                                                                                                                  </t>
  </si>
  <si>
    <t xml:space="preserve">Source  :  Banking Regulation &amp; Policy Department, Bangladesh Bank                                                                                                                                 </t>
  </si>
  <si>
    <t xml:space="preserve">         - =Not applicable</t>
  </si>
  <si>
    <t xml:space="preserve">PROFIT RATE STRUCTURE OF THE ISLAMIC BANKS, 2018</t>
  </si>
  <si>
    <t xml:space="preserve">TABLE-XIV</t>
  </si>
  <si>
    <t xml:space="preserve">Nature of Deposits</t>
  </si>
  <si>
    <t xml:space="preserve">Islami Bank BD </t>
  </si>
  <si>
    <t xml:space="preserve">Al-Arafah  Islami Bank </t>
  </si>
  <si>
    <t xml:space="preserve">Social Islami Bank </t>
  </si>
  <si>
    <t xml:space="preserve">ICB Islamic Bank</t>
  </si>
  <si>
    <t xml:space="preserve">Shahjalal  Islami Bank</t>
  </si>
  <si>
    <t xml:space="preserve">Union Bank</t>
  </si>
  <si>
    <t xml:space="preserve">Bank Alfalah</t>
  </si>
  <si>
    <t xml:space="preserve">EXIM Bank</t>
  </si>
  <si>
    <t xml:space="preserve">First Security Islami Bank </t>
  </si>
  <si>
    <t xml:space="preserve">1)</t>
  </si>
  <si>
    <t xml:space="preserve">Mudaraba Savings Deposits</t>
  </si>
  <si>
    <t xml:space="preserve">2)</t>
  </si>
  <si>
    <t xml:space="preserve">Mudaraba Term Deposits</t>
  </si>
  <si>
    <t xml:space="preserve">3 years</t>
  </si>
  <si>
    <t xml:space="preserve">2 years</t>
  </si>
  <si>
    <t xml:space="preserve">1 year</t>
  </si>
  <si>
    <t xml:space="preserve">6 months</t>
  </si>
  <si>
    <t xml:space="preserve">3 months</t>
  </si>
  <si>
    <t xml:space="preserve">f)</t>
  </si>
  <si>
    <t xml:space="preserve">1 month</t>
  </si>
  <si>
    <t xml:space="preserve">3)</t>
  </si>
  <si>
    <t xml:space="preserve">Mudaraba Special Notice Deposits</t>
  </si>
  <si>
    <t xml:space="preserve">Monthly Term Savings Deposit</t>
  </si>
  <si>
    <t xml:space="preserve">Monthly Savings Investment Deposit</t>
  </si>
  <si>
    <t xml:space="preserve">Monthly Profit Based Deposits</t>
  </si>
  <si>
    <t xml:space="preserve">d)  Savings Bond (Islami Bond)</t>
  </si>
  <si>
    <t xml:space="preserve">5 years</t>
  </si>
  <si>
    <t xml:space="preserve">8 years</t>
  </si>
  <si>
    <t xml:space="preserve">e)     </t>
  </si>
  <si>
    <t xml:space="preserve">Benefit Scheme</t>
  </si>
  <si>
    <t xml:space="preserve">Double Benefit Scheme</t>
  </si>
  <si>
    <t xml:space="preserve">Triple Benefit Scheme</t>
  </si>
  <si>
    <t xml:space="preserve">f) </t>
  </si>
  <si>
    <t xml:space="preserve">Millionaire Scheme Deposit</t>
  </si>
  <si>
    <t xml:space="preserve"> i) </t>
  </si>
  <si>
    <t xml:space="preserve">12 years</t>
  </si>
  <si>
    <t xml:space="preserve"> ii) </t>
  </si>
  <si>
    <t xml:space="preserve">15 years</t>
  </si>
  <si>
    <t xml:space="preserve">iii) </t>
  </si>
  <si>
    <t xml:space="preserve">20 years</t>
  </si>
  <si>
    <t xml:space="preserve">iv) </t>
  </si>
  <si>
    <t xml:space="preserve">25 years</t>
  </si>
  <si>
    <t xml:space="preserve">g)  </t>
  </si>
  <si>
    <t xml:space="preserve">Mudaraba Special Deposit  Pension Scheme</t>
  </si>
  <si>
    <t xml:space="preserve">ii) </t>
  </si>
  <si>
    <t xml:space="preserve">10 years</t>
  </si>
  <si>
    <t xml:space="preserve">h) </t>
  </si>
  <si>
    <t xml:space="preserve">Mudaraba Education Deposit Scheme</t>
  </si>
  <si>
    <t xml:space="preserve">Mudaraba Steady Money</t>
  </si>
  <si>
    <t xml:space="preserve">j)</t>
  </si>
  <si>
    <t xml:space="preserve">Mudaraba Super Savings</t>
  </si>
  <si>
    <t xml:space="preserve">k)</t>
  </si>
  <si>
    <t xml:space="preserve">Mudaraba Multi Plus Savings</t>
  </si>
  <si>
    <t xml:space="preserve">l)</t>
  </si>
  <si>
    <t xml:space="preserve">Mudaraba Smart Saver Deposits</t>
  </si>
  <si>
    <t xml:space="preserve">m)</t>
  </si>
  <si>
    <t xml:space="preserve">Mudaraba Lakhopati Deposits Scheme</t>
  </si>
  <si>
    <t xml:space="preserve">n)</t>
  </si>
  <si>
    <t xml:space="preserve">Mudaraba Future Deposits Scheme</t>
  </si>
  <si>
    <t xml:space="preserve">o)</t>
  </si>
  <si>
    <t xml:space="preserve">Mudaraba Housing  Savings Scheme</t>
  </si>
  <si>
    <t xml:space="preserve">p)</t>
  </si>
  <si>
    <t xml:space="preserve">Children Savings Scheme</t>
  </si>
  <si>
    <t xml:space="preserve">q)</t>
  </si>
  <si>
    <t xml:space="preserve">Mudaraba Muhar Savings(10yrs.)</t>
  </si>
  <si>
    <t xml:space="preserve">r)</t>
  </si>
  <si>
    <t xml:space="preserve">Mudaraba Muhar Savings(5yrs.)</t>
  </si>
  <si>
    <t xml:space="preserve">s)</t>
  </si>
  <si>
    <t xml:space="preserve">Mudaraba Monthly Profit Deposit Scheme (5 yrs.)</t>
  </si>
  <si>
    <t xml:space="preserve">t)</t>
  </si>
  <si>
    <t xml:space="preserve">Mudaraba Monthly Profit Deposit Scheme (3 yrs.)</t>
  </si>
  <si>
    <t xml:space="preserve">u)</t>
  </si>
  <si>
    <t xml:space="preserve">Mudaraba Marriage Savings Scheme</t>
  </si>
  <si>
    <t xml:space="preserve">4)</t>
  </si>
  <si>
    <t xml:space="preserve">Mudaraba Short Term Deposits</t>
  </si>
  <si>
    <t xml:space="preserve">5)</t>
  </si>
  <si>
    <t xml:space="preserve">Mudaraba Hajj Savings Deposits :</t>
  </si>
  <si>
    <t xml:space="preserve">Hajj Deposit (Term)</t>
  </si>
  <si>
    <t xml:space="preserve">i)    1 to 10 years</t>
  </si>
  <si>
    <t xml:space="preserve">ii)  11 to 25  years</t>
  </si>
  <si>
    <t xml:space="preserve">iii)  One Time Hajj Deposits</t>
  </si>
  <si>
    <t xml:space="preserve">MMPDR / Hajj Deposit (Monthly)</t>
  </si>
  <si>
    <t xml:space="preserve">Cash Waqf.</t>
  </si>
  <si>
    <r>
      <rPr>
        <b val="true"/>
        <sz val="7"/>
        <color rgb="FF000000"/>
        <rFont val="Times New Roman"/>
        <family val="1"/>
        <charset val="1"/>
      </rPr>
      <t xml:space="preserve">Source :</t>
    </r>
    <r>
      <rPr>
        <sz val="7"/>
        <color rgb="FF000000"/>
        <rFont val="Times New Roman"/>
        <family val="1"/>
        <charset val="1"/>
      </rPr>
      <t xml:space="preserve"> Statistics Department, Bangladesh Bank</t>
    </r>
  </si>
  <si>
    <t xml:space="preserve">... =Not applicable</t>
  </si>
  <si>
    <t xml:space="preserve">RATES OF INTEREST ON NON-RESIDENT FOREIGN CURRENCY DEPOSIT (NFCD) ACCOUNT                                       STATE OWNED COMMERCIAL BANKS</t>
  </si>
  <si>
    <t xml:space="preserve">TABLE-XV (Contd.)</t>
  </si>
  <si>
    <t xml:space="preserve">RATES OF INTEREST ON NON-RESIDENT FOREIGN CURRENCY DEPOSIT (NFCD) ACCOUNT                             PRIVATE BANKS</t>
  </si>
  <si>
    <t xml:space="preserve">RATES OF INTEREST ON NON-RESIDENT FOREIGN CURRENCY DEPOSIT (NFCD) ACCOUNT                              FOREIGN BANKS</t>
  </si>
  <si>
    <t xml:space="preserve">TABLE-XV (Concld.)</t>
  </si>
  <si>
    <t xml:space="preserve">Maturity of Deposits</t>
  </si>
  <si>
    <t xml:space="preserve">US Dollar</t>
  </si>
  <si>
    <t xml:space="preserve">Pound Sterling</t>
  </si>
  <si>
    <t xml:space="preserve">Euro</t>
  </si>
  <si>
    <t xml:space="preserve">Source : </t>
  </si>
  <si>
    <t xml:space="preserve">Source :      </t>
  </si>
  <si>
    <t xml:space="preserve">           </t>
  </si>
  <si>
    <t xml:space="preserve">               </t>
  </si>
  <si>
    <t xml:space="preserve">MONTHLY AVERAGE CALL MONEY MARKET RATES (Weighted Average)</t>
  </si>
  <si>
    <t xml:space="preserve">TABLE-XVI</t>
  </si>
  <si>
    <t xml:space="preserve">Borrowing Rate</t>
  </si>
  <si>
    <t xml:space="preserve">Lending Rate</t>
  </si>
  <si>
    <t xml:space="preserve">Highest</t>
  </si>
  <si>
    <t xml:space="preserve">Lowest</t>
  </si>
  <si>
    <t xml:space="preserve">Average</t>
  </si>
  <si>
    <t xml:space="preserve">Source    :</t>
  </si>
  <si>
    <t xml:space="preserve">Debt Management Department, Bangladesh Bank</t>
  </si>
  <si>
    <t xml:space="preserve">         SOME INDICATORS OF INCOME, EXPENDITURE &amp; </t>
  </si>
  <si>
    <t xml:space="preserve">TABLE-XVII (Contd.) </t>
  </si>
  <si>
    <t xml:space="preserve">SOME INDICATORS OF INCOME, EXPENDITURE &amp; </t>
  </si>
  <si>
    <t xml:space="preserve">PROFITABILITY OF THE BANKING SECTOR</t>
  </si>
  <si>
    <t xml:space="preserve">SOME INDICATORS OF INCOME, EXPENDITURE &amp;</t>
  </si>
  <si>
    <t xml:space="preserve">TABLE-XVII (Concld.) </t>
  </si>
  <si>
    <t xml:space="preserve">   PROFITABILITY  OF THE BANKING SECTOR</t>
  </si>
  <si>
    <t xml:space="preserve">Commercial Banks</t>
  </si>
  <si>
    <t xml:space="preserve">Commercial                                                                    Banks</t>
  </si>
  <si>
    <t xml:space="preserve">Bangladesh Bank (Central Bank)</t>
  </si>
  <si>
    <t xml:space="preserve">Specialized Banks</t>
  </si>
  <si>
    <t xml:space="preserve">State Owned Banks</t>
  </si>
  <si>
    <t xml:space="preserve">Foreign Banks</t>
  </si>
  <si>
    <t xml:space="preserve">    Total   Income</t>
  </si>
  <si>
    <r>
      <rPr>
        <sz val="9"/>
        <color rgb="FF000000"/>
        <rFont val="Times New Roman"/>
        <family val="1"/>
        <charset val="1"/>
      </rPr>
      <t xml:space="preserve">Total Expenditure</t>
    </r>
    <r>
      <rPr>
        <sz val="8"/>
        <color rgb="FF000000"/>
        <rFont val="Times New Roman"/>
        <family val="1"/>
        <charset val="1"/>
      </rPr>
      <t xml:space="preserve">***</t>
    </r>
  </si>
  <si>
    <t xml:space="preserve">     Net      Profit</t>
  </si>
  <si>
    <t xml:space="preserve">Total Manpower</t>
  </si>
  <si>
    <t xml:space="preserve">    Total    Income</t>
  </si>
  <si>
    <t xml:space="preserve">Total Expenditure</t>
  </si>
  <si>
    <t xml:space="preserve">Net Profit After Tax</t>
  </si>
  <si>
    <t xml:space="preserve">     Total    Manpower</t>
  </si>
  <si>
    <t xml:space="preserve">Total Income</t>
  </si>
  <si>
    <t xml:space="preserve">    Total   Manpower</t>
  </si>
  <si>
    <t xml:space="preserve"> Net Profit After Tax</t>
  </si>
  <si>
    <t xml:space="preserve">Total   Manpower</t>
  </si>
  <si>
    <t xml:space="preserve">    Total       Income</t>
  </si>
  <si>
    <t xml:space="preserve">      Total          Manpower</t>
  </si>
  <si>
    <t xml:space="preserve">      Total Income</t>
  </si>
  <si>
    <t xml:space="preserve">  Net Profit After Tax</t>
  </si>
  <si>
    <t xml:space="preserve">     Total  Manpower</t>
  </si>
  <si>
    <t xml:space="preserve">1993-94</t>
  </si>
  <si>
    <t xml:space="preserve">2011-12*</t>
  </si>
  <si>
    <t xml:space="preserve">2012**</t>
  </si>
  <si>
    <t xml:space="preserve">Note: From period 2015 BDBL &amp; BASIC banks are treated as State Owned Banks</t>
  </si>
  <si>
    <t xml:space="preserve">Note:*From period 2011-12 the income,expenditure &amp; profitability of specialized banks(BKB &amp; RAKUB)are calculated on fiscal year basis </t>
  </si>
  <si>
    <t xml:space="preserve">** From period 2012 the income, expenditure &amp; profitability of specialized banks (BDBL &amp; BASIC) are calculated on calendar year basis </t>
  </si>
  <si>
    <t xml:space="preserve">***Total expenditure includes foreign currency revaluation (loss)                        …= Not applicable/available</t>
  </si>
  <si>
    <t xml:space="preserve">Source: Statistics Department, Bangladesh Bank</t>
  </si>
  <si>
    <t xml:space="preserve">NUMBER OF PERSONS LEFT FOR ABROAD ON EMPLOYMENT  &amp;  TOTAL WORKERS'  REMITTANCES</t>
  </si>
  <si>
    <t xml:space="preserve">TABLE-XVIII</t>
  </si>
  <si>
    <t xml:space="preserve">No. of Persons </t>
  </si>
  <si>
    <t xml:space="preserve">Remittances </t>
  </si>
  <si>
    <t xml:space="preserve">Million US $ </t>
  </si>
  <si>
    <t xml:space="preserve">Taka in Crore </t>
  </si>
  <si>
    <r>
      <rPr>
        <sz val="7.5"/>
        <color rgb="FF000000"/>
        <rFont val="Times New Roman"/>
        <family val="1"/>
        <charset val="1"/>
      </rPr>
      <t xml:space="preserve">June</t>
    </r>
    <r>
      <rPr>
        <b val="true"/>
        <vertAlign val="superscript"/>
        <sz val="7.5"/>
        <color rgb="FF000000"/>
        <rFont val="Times New Roman"/>
        <family val="1"/>
        <charset val="1"/>
      </rPr>
      <t xml:space="preserve">P</t>
    </r>
  </si>
  <si>
    <t xml:space="preserve">Note  : </t>
  </si>
  <si>
    <t xml:space="preserve">Six decimal places is used for conversion of US$ to Tk</t>
  </si>
  <si>
    <t xml:space="preserve">Source      : </t>
  </si>
  <si>
    <t xml:space="preserve">1)   Bureau of Manpower, Employment &amp; Training</t>
  </si>
  <si>
    <t xml:space="preserve">2)  Upto May, 2016 Foreign Exchange Policy Department &amp; From June, 2016 Statistics Department, Bangladesh Bank</t>
  </si>
  <si>
    <t xml:space="preserve">COUNTRY-WISE WORKERS' </t>
  </si>
  <si>
    <t xml:space="preserve">REMITTANCES </t>
  </si>
  <si>
    <t xml:space="preserve">TABLE-XIX</t>
  </si>
  <si>
    <t xml:space="preserve">Saudi Arabia</t>
  </si>
  <si>
    <t xml:space="preserve">UAE</t>
  </si>
  <si>
    <t xml:space="preserve">UK</t>
  </si>
  <si>
    <t xml:space="preserve">Kuwait</t>
  </si>
  <si>
    <t xml:space="preserve">USA</t>
  </si>
  <si>
    <t xml:space="preserve">Libya</t>
  </si>
  <si>
    <t xml:space="preserve">Qatar</t>
  </si>
  <si>
    <t xml:space="preserve">Oman</t>
  </si>
  <si>
    <t xml:space="preserve">Singapore</t>
  </si>
  <si>
    <t xml:space="preserve">Germany</t>
  </si>
  <si>
    <t xml:space="preserve">Bahrain</t>
  </si>
  <si>
    <t xml:space="preserve">Iran</t>
  </si>
  <si>
    <t xml:space="preserve">Japan</t>
  </si>
  <si>
    <t xml:space="preserve">Malaysia</t>
  </si>
  <si>
    <t xml:space="preserve">Australia</t>
  </si>
  <si>
    <t xml:space="preserve">Italy</t>
  </si>
  <si>
    <t xml:space="preserve">South Korea</t>
  </si>
  <si>
    <r>
      <rPr>
        <sz val="9"/>
        <rFont val="Times New Roman"/>
        <family val="1"/>
        <charset val="1"/>
      </rPr>
      <t xml:space="preserve">Hong Kong:    </t>
    </r>
    <r>
      <rPr>
        <sz val="8"/>
        <rFont val="Times New Roman"/>
        <family val="1"/>
        <charset val="1"/>
      </rPr>
      <t xml:space="preserve">SAR of China</t>
    </r>
  </si>
  <si>
    <t xml:space="preserve">Other Countries</t>
  </si>
  <si>
    <t xml:space="preserve">Source :   </t>
  </si>
  <si>
    <t xml:space="preserve">Upto May, 2016 Foreign Exchange Policy Department &amp; From June, 2016 Statistics Department, Bangladesh Bank</t>
  </si>
  <si>
    <t xml:space="preserve">EXCHANGE</t>
  </si>
  <si>
    <t xml:space="preserve">RATES</t>
  </si>
  <si>
    <t xml:space="preserve">TABLE-XX (Contd.)</t>
  </si>
  <si>
    <t xml:space="preserve">TABLE-XX (Concld.)</t>
  </si>
  <si>
    <t xml:space="preserve">(Taka per</t>
  </si>
  <si>
    <t xml:space="preserve">Currencies)</t>
  </si>
  <si>
    <t xml:space="preserve">Australian Dollar</t>
  </si>
  <si>
    <t xml:space="preserve">ACU Dollar</t>
  </si>
  <si>
    <t xml:space="preserve">Bahrain Dinar</t>
  </si>
  <si>
    <t xml:space="preserve">Canadian Dollar</t>
  </si>
  <si>
    <t xml:space="preserve">Chinese  Yuan</t>
  </si>
  <si>
    <t xml:space="preserve">Danish Krone</t>
  </si>
  <si>
    <t xml:space="preserve">EURO</t>
  </si>
  <si>
    <t xml:space="preserve">Hong Kong Dollar</t>
  </si>
  <si>
    <t xml:space="preserve">Indian Rupee</t>
  </si>
  <si>
    <t xml:space="preserve">Indonesian Rupiah</t>
  </si>
  <si>
    <t xml:space="preserve">Iranian Riyal</t>
  </si>
  <si>
    <t xml:space="preserve">Japanese Yen</t>
  </si>
  <si>
    <t xml:space="preserve">Kuwaiti Dinar</t>
  </si>
  <si>
    <t xml:space="preserve">Malaysian Ringgit</t>
  </si>
  <si>
    <t xml:space="preserve">Myanmar Kyat</t>
  </si>
  <si>
    <t xml:space="preserve">Nepalese Rupee</t>
  </si>
  <si>
    <t xml:space="preserve">New Zealand Dollar</t>
  </si>
  <si>
    <t xml:space="preserve">Norwegian Krone</t>
  </si>
  <si>
    <t xml:space="preserve">Omani Riyal</t>
  </si>
  <si>
    <t xml:space="preserve">Pakistani Rupee</t>
  </si>
  <si>
    <t xml:space="preserve">Philippines Peso</t>
  </si>
  <si>
    <t xml:space="preserve">Qatar Riyal</t>
  </si>
  <si>
    <t xml:space="preserve">Russian Ruble</t>
  </si>
  <si>
    <t xml:space="preserve">Saudi Arabian Riyal</t>
  </si>
  <si>
    <t xml:space="preserve">South Korean Won</t>
  </si>
  <si>
    <t xml:space="preserve">Singapore Dollar</t>
  </si>
  <si>
    <t xml:space="preserve">Swedish Krona</t>
  </si>
  <si>
    <t xml:space="preserve">Sri  Lankan Rupee</t>
  </si>
  <si>
    <t xml:space="preserve">Swiss Franc</t>
  </si>
  <si>
    <t xml:space="preserve">Syrian Pound</t>
  </si>
  <si>
    <t xml:space="preserve">SDR</t>
  </si>
  <si>
    <t xml:space="preserve">Thai Baht</t>
  </si>
  <si>
    <t xml:space="preserve">UAE Dirham</t>
  </si>
  <si>
    <t xml:space="preserve">UK Pound Sterling</t>
  </si>
  <si>
    <t xml:space="preserve">Period      Average</t>
  </si>
  <si>
    <t xml:space="preserve">End          Period</t>
  </si>
  <si>
    <t xml:space="preserve"> End                  Period</t>
  </si>
  <si>
    <t xml:space="preserve">Note      :          </t>
  </si>
  <si>
    <t xml:space="preserve">1. Exchange rates between Taka &amp; other foreign currencies (except USD) are based on their cross rates with US dollar</t>
  </si>
  <si>
    <t xml:space="preserve">Source   : </t>
  </si>
  <si>
    <t xml:space="preserve">From July'14 Myanmar Kyat has been changed due to floating exchange rate</t>
  </si>
  <si>
    <t xml:space="preserve">APPRECIATION / DEPRECIATION OF SELECTED </t>
  </si>
  <si>
    <t xml:space="preserve">CURRENCIES AGAINST US DOLLAR</t>
  </si>
  <si>
    <t xml:space="preserve">TABLE-XXI (Contd.)</t>
  </si>
  <si>
    <t xml:space="preserve">APPRECIATION / DEPRECIATION OF SELECTED</t>
  </si>
  <si>
    <t xml:space="preserve">TABLE-XXI (Concld.)</t>
  </si>
  <si>
    <t xml:space="preserve">(In Percent) </t>
  </si>
  <si>
    <t xml:space="preserve">  End of       Period</t>
  </si>
  <si>
    <t xml:space="preserve">Bangladeshi Taka</t>
  </si>
  <si>
    <t xml:space="preserve">Chinese Yuan</t>
  </si>
  <si>
    <t xml:space="preserve"> Danish Krone</t>
  </si>
  <si>
    <t xml:space="preserve"> Euro</t>
  </si>
  <si>
    <t xml:space="preserve"> Hongkong Dollar</t>
  </si>
  <si>
    <t xml:space="preserve">Indone-sian   Rupiah</t>
  </si>
  <si>
    <t xml:space="preserve">Japanese  Yen</t>
  </si>
  <si>
    <t xml:space="preserve">Kuwait Dinar</t>
  </si>
  <si>
    <t xml:space="preserve">Malay-sian Ringgit</t>
  </si>
  <si>
    <t xml:space="preserve">Myan-mar Kyat</t>
  </si>
  <si>
    <t xml:space="preserve">Pakistan Rupee</t>
  </si>
  <si>
    <t xml:space="preserve">      Qatar     Riyal</t>
  </si>
  <si>
    <t xml:space="preserve">Russian Rouble</t>
  </si>
  <si>
    <t xml:space="preserve">  Saudi    Riyal</t>
  </si>
  <si>
    <t xml:space="preserve">South Korean  Won</t>
  </si>
  <si>
    <t xml:space="preserve"> Singapore    Dollar</t>
  </si>
  <si>
    <t xml:space="preserve"> Swedish  Krona</t>
  </si>
  <si>
    <t xml:space="preserve">Sri Lankan Rupee</t>
  </si>
  <si>
    <t xml:space="preserve">     Swiss    Franc</t>
  </si>
  <si>
    <t xml:space="preserve">Thai  Baht</t>
  </si>
  <si>
    <t xml:space="preserve">UAE  Derham</t>
  </si>
  <si>
    <t xml:space="preserve">UK  Pound   Sterling</t>
  </si>
  <si>
    <t xml:space="preserve">(+) indicates appreciation while (-) indicates depreciation</t>
  </si>
  <si>
    <t xml:space="preserve">Source:</t>
  </si>
  <si>
    <t xml:space="preserve">Statistics Deparement, Bangladesh Bank</t>
  </si>
  <si>
    <t xml:space="preserve">SOME SELECTED COMMODITY PRICES </t>
  </si>
  <si>
    <t xml:space="preserve">AT INTERNATIONAL MARKET</t>
  </si>
  <si>
    <t xml:space="preserve">TABLE-XXII</t>
  </si>
  <si>
    <t xml:space="preserve">Items</t>
  </si>
  <si>
    <t xml:space="preserve">Gold (US $/ Troy Ounce)</t>
  </si>
  <si>
    <t xml:space="preserve">       Coal            (US $/MT)</t>
  </si>
  <si>
    <t xml:space="preserve">Iron Ore (US $ /MT)</t>
  </si>
  <si>
    <t xml:space="preserve">  Petroleum              (US$/ Barrel)</t>
  </si>
  <si>
    <t xml:space="preserve">Cotton (U.S. Cents/ pound)</t>
  </si>
  <si>
    <t xml:space="preserve">  Super        phosphate       (US $/ MT)</t>
  </si>
  <si>
    <t xml:space="preserve">   Urea        (US $/ MT)</t>
  </si>
  <si>
    <t xml:space="preserve"> Rice                 (US $/MT) </t>
  </si>
  <si>
    <t xml:space="preserve">Rice             (US $/MT)</t>
  </si>
  <si>
    <t xml:space="preserve">Wheat                                                   (US $/MT)</t>
  </si>
  <si>
    <t xml:space="preserve">Palm Oil                         (US $/MT)</t>
  </si>
  <si>
    <t xml:space="preserve">Soybean  (US $/ MT)</t>
  </si>
  <si>
    <t xml:space="preserve">Soya bean Oil     (US $ /MT)</t>
  </si>
  <si>
    <t xml:space="preserve">    Sugar                                              (US cents/pound)</t>
  </si>
  <si>
    <t xml:space="preserve">Country of Origin &amp; Market</t>
  </si>
  <si>
    <t xml:space="preserve">U.K. (London)</t>
  </si>
  <si>
    <t xml:space="preserve">China (CFR Tianjin Port)</t>
  </si>
  <si>
    <t xml:space="preserve">Dubai* Fateh</t>
  </si>
  <si>
    <t xml:space="preserve">U.K. @ Brent</t>
  </si>
  <si>
    <t xml:space="preserve">Liverpool  Index</t>
  </si>
  <si>
    <t xml:space="preserve">United States (US Gulf Ports)</t>
  </si>
  <si>
    <t xml:space="preserve">Ukraine</t>
  </si>
  <si>
    <t xml:space="preserve">Thailand (Bangkok)</t>
  </si>
  <si>
    <t xml:space="preserve">Thailand </t>
  </si>
  <si>
    <t xml:space="preserve">Australia </t>
  </si>
  <si>
    <t xml:space="preserve">United States (Kansas City)</t>
  </si>
  <si>
    <t xml:space="preserve">Argentina</t>
  </si>
  <si>
    <t xml:space="preserve">Malaysia (NW Europe)</t>
  </si>
  <si>
    <r>
      <rPr>
        <sz val="7"/>
        <color rgb="FF000000"/>
        <rFont val="Times New Roman"/>
        <family val="1"/>
        <charset val="1"/>
      </rPr>
      <t xml:space="preserve">United States </t>
    </r>
    <r>
      <rPr>
        <sz val="6"/>
        <color rgb="FF000000"/>
        <rFont val="Times New Roman"/>
        <family val="1"/>
        <charset val="1"/>
      </rPr>
      <t xml:space="preserve">(Rotterdam)</t>
    </r>
  </si>
  <si>
    <t xml:space="preserve">All Origins (Dutch Ports)</t>
  </si>
  <si>
    <t xml:space="preserve">E.U Import Price</t>
  </si>
  <si>
    <t xml:space="preserve">Free Market</t>
  </si>
  <si>
    <t xml:space="preserve">U.S. Import Price</t>
  </si>
  <si>
    <r>
      <rPr>
        <b val="true"/>
        <sz val="8"/>
        <color rgb="FF000000"/>
        <rFont val="Times New Roman"/>
        <family val="1"/>
        <charset val="1"/>
      </rPr>
      <t xml:space="preserve">Note:</t>
    </r>
    <r>
      <rPr>
        <sz val="8"/>
        <color rgb="FF000000"/>
        <rFont val="Times New Roman"/>
        <family val="1"/>
        <charset val="1"/>
      </rPr>
      <t xml:space="preserve">   </t>
    </r>
  </si>
  <si>
    <r>
      <rPr>
        <sz val="6.5"/>
        <color rgb="FF000000"/>
        <rFont val="Times New Roman"/>
        <family val="1"/>
        <charset val="1"/>
      </rPr>
      <t xml:space="preserve">* Dubai Mediam, Fateh 32</t>
    </r>
    <r>
      <rPr>
        <vertAlign val="superscript"/>
        <sz val="6.5"/>
        <color rgb="FF000000"/>
        <rFont val="Times New Roman"/>
        <family val="1"/>
        <charset val="1"/>
      </rPr>
      <t xml:space="preserve">o </t>
    </r>
    <r>
      <rPr>
        <sz val="6.5"/>
        <color rgb="FF000000"/>
        <rFont val="Times New Roman"/>
        <family val="1"/>
        <charset val="1"/>
      </rPr>
      <t xml:space="preserve">API, Spot, f.o.b. U.K.</t>
    </r>
  </si>
  <si>
    <r>
      <rPr>
        <sz val="6.5"/>
        <color rgb="FF000000"/>
        <rFont val="Times New Roman"/>
        <family val="1"/>
        <charset val="1"/>
      </rPr>
      <t xml:space="preserve"> @ United Kingdom Light, Brent 38</t>
    </r>
    <r>
      <rPr>
        <vertAlign val="superscript"/>
        <sz val="6.5"/>
        <color rgb="FF000000"/>
        <rFont val="Times New Roman"/>
        <family val="1"/>
        <charset val="1"/>
      </rPr>
      <t xml:space="preserve">o</t>
    </r>
    <r>
      <rPr>
        <sz val="6.5"/>
        <color rgb="FF000000"/>
        <rFont val="Times New Roman"/>
        <family val="1"/>
        <charset val="1"/>
      </rPr>
      <t xml:space="preserve"> API, Spot, f.o.b. U.K.</t>
    </r>
  </si>
  <si>
    <r>
      <rPr>
        <b val="true"/>
        <sz val="8"/>
        <color rgb="FF000000"/>
        <rFont val="Times New Roman"/>
        <family val="1"/>
        <charset val="1"/>
      </rPr>
      <t xml:space="preserve">Source:</t>
    </r>
    <r>
      <rPr>
        <sz val="8"/>
        <color rgb="FF000000"/>
        <rFont val="Times New Roman"/>
        <family val="1"/>
        <charset val="1"/>
      </rPr>
      <t xml:space="preserve"> </t>
    </r>
  </si>
  <si>
    <t xml:space="preserve">International Financial Statistics</t>
  </si>
  <si>
    <t xml:space="preserve">... = Not Available </t>
  </si>
  <si>
    <r>
      <rPr>
        <b val="true"/>
        <sz val="6.5"/>
        <rFont val="Times New Roman"/>
        <family val="1"/>
        <charset val="1"/>
      </rPr>
      <t xml:space="preserve">Note: </t>
    </r>
    <r>
      <rPr>
        <sz val="6.5"/>
        <rFont val="Times New Roman"/>
        <family val="1"/>
        <charset val="1"/>
      </rPr>
      <t xml:space="preserve">Data is discontinued from June'2017 due to dropping of IFS data</t>
    </r>
  </si>
  <si>
    <t xml:space="preserve">SELECTED TAX REVENUE RECEIPTS  </t>
  </si>
  <si>
    <t xml:space="preserve">OF THE GOVERNMENT UNDER NBR &amp; OTHERS</t>
  </si>
  <si>
    <t xml:space="preserve">TABLE-XXIII</t>
  </si>
  <si>
    <t xml:space="preserve">Tax Revenue Receipts (under NBR)</t>
  </si>
  <si>
    <t xml:space="preserve">Other Revenue Receipts</t>
  </si>
  <si>
    <t xml:space="preserve">   Customs     Duty</t>
  </si>
  <si>
    <t xml:space="preserve">Export Duty</t>
  </si>
  <si>
    <t xml:space="preserve">Excise         Duty</t>
  </si>
  <si>
    <t xml:space="preserve">     Income   Tax</t>
  </si>
  <si>
    <t xml:space="preserve">VAT</t>
  </si>
  <si>
    <t xml:space="preserve">Supplementary Tax</t>
  </si>
  <si>
    <t xml:space="preserve">Other          Taxes</t>
  </si>
  <si>
    <t xml:space="preserve">Total              Tax</t>
  </si>
  <si>
    <t xml:space="preserve">Land                 Revenue</t>
  </si>
  <si>
    <t xml:space="preserve"> Forest       Revenue</t>
  </si>
  <si>
    <t xml:space="preserve">Post Office Revenue</t>
  </si>
  <si>
    <t xml:space="preserve">Registration</t>
  </si>
  <si>
    <t xml:space="preserve">Domestic</t>
  </si>
  <si>
    <t xml:space="preserve">Import</t>
  </si>
  <si>
    <r>
      <rPr>
        <b val="true"/>
        <sz val="8"/>
        <color rgb="FF000000"/>
        <rFont val="Times New Roman"/>
        <family val="1"/>
        <charset val="1"/>
      </rPr>
      <t xml:space="preserve">2019-20</t>
    </r>
    <r>
      <rPr>
        <b val="true"/>
        <vertAlign val="superscript"/>
        <sz val="8"/>
        <color rgb="FF000000"/>
        <rFont val="Times New Roman"/>
        <family val="1"/>
        <charset val="1"/>
      </rPr>
      <t xml:space="preserve">P</t>
    </r>
  </si>
  <si>
    <r>
      <rPr>
        <b val="true"/>
        <sz val="8"/>
        <color rgb="FF000000"/>
        <rFont val="Times New Roman"/>
        <family val="1"/>
        <charset val="1"/>
      </rPr>
      <t xml:space="preserve">Source:</t>
    </r>
    <r>
      <rPr>
        <sz val="8"/>
        <color rgb="FF000000"/>
        <rFont val="Times New Roman"/>
        <family val="1"/>
        <charset val="1"/>
      </rPr>
      <t xml:space="preserve"> National Board of Revenue and Bangladesh Bureau of Statistics</t>
    </r>
  </si>
  <si>
    <t xml:space="preserve">             ... = Not available                    P = Provisional   </t>
  </si>
  <si>
    <t xml:space="preserve">CENTRAL BANK </t>
  </si>
  <si>
    <t xml:space="preserve">SURVEY</t>
  </si>
  <si>
    <t xml:space="preserve">TABLE-XXIV</t>
  </si>
  <si>
    <t xml:space="preserve">(Taka in Million)</t>
  </si>
  <si>
    <t xml:space="preserve">Claims on other Depository Corporations</t>
  </si>
  <si>
    <t xml:space="preserve">Claims on Central Govt.(net)</t>
  </si>
  <si>
    <t xml:space="preserve">Claims on Other Sectors</t>
  </si>
  <si>
    <t xml:space="preserve">Monetary Base</t>
  </si>
  <si>
    <t xml:space="preserve">Deposits excluded from Broad Money</t>
  </si>
  <si>
    <t xml:space="preserve">Securities  Other than Shares, excluded from Broad Money</t>
  </si>
  <si>
    <t xml:space="preserve">Loans</t>
  </si>
  <si>
    <t xml:space="preserve">Financial Derivatives</t>
  </si>
  <si>
    <t xml:space="preserve">Trade Credit &amp; advances</t>
  </si>
  <si>
    <t xml:space="preserve">Shares &amp; Other Equity</t>
  </si>
  <si>
    <t xml:space="preserve">Other items (net)</t>
  </si>
  <si>
    <t xml:space="preserve">Claims on Central Govt.</t>
  </si>
  <si>
    <t xml:space="preserve">Liabilities to Central Govt.</t>
  </si>
  <si>
    <t xml:space="preserve">Total             (3-4)</t>
  </si>
  <si>
    <t xml:space="preserve">Liabilities to other Depository Corporatio-ns</t>
  </si>
  <si>
    <t xml:space="preserve">Deposits included in Broad Money</t>
  </si>
  <si>
    <t xml:space="preserve">Securities Other than Shares, included in Broad money</t>
  </si>
  <si>
    <t xml:space="preserve">Total  (7+8+9+10)</t>
  </si>
  <si>
    <r>
      <rPr>
        <b val="true"/>
        <sz val="9"/>
        <color rgb="FF000000"/>
        <rFont val="Times New Roman"/>
        <family val="1"/>
        <charset val="1"/>
      </rPr>
      <t xml:space="preserve">2019-20</t>
    </r>
    <r>
      <rPr>
        <b val="true"/>
        <vertAlign val="superscript"/>
        <sz val="9"/>
        <color rgb="FF000000"/>
        <rFont val="Times New Roman"/>
        <family val="1"/>
        <charset val="1"/>
      </rPr>
      <t xml:space="preserve">P</t>
    </r>
  </si>
  <si>
    <t xml:space="preserve">DEPOSITORY</t>
  </si>
  <si>
    <t xml:space="preserve">CORPORATIONS SURVEY</t>
  </si>
  <si>
    <t xml:space="preserve">Table-XXV</t>
  </si>
  <si>
    <t xml:space="preserve">Taka in Million</t>
  </si>
  <si>
    <t xml:space="preserve">Domestic Claims</t>
  </si>
  <si>
    <t xml:space="preserve">Broad Money Liabilities</t>
  </si>
  <si>
    <t xml:space="preserve">Deposits Excluded from Broad Money</t>
  </si>
  <si>
    <t xml:space="preserve">Securities Other than Shares, excluded from Broad Money</t>
  </si>
  <si>
    <t xml:space="preserve">Trade Credit &amp; Advances</t>
  </si>
  <si>
    <t xml:space="preserve">Other Items (net)</t>
  </si>
  <si>
    <t xml:space="preserve">Net Claims on Central Govt.</t>
  </si>
  <si>
    <t xml:space="preserve">Claims on Other Sector</t>
  </si>
  <si>
    <t xml:space="preserve">Total  (2+3)</t>
  </si>
  <si>
    <t xml:space="preserve">Currency Outside Depository Corporations</t>
  </si>
  <si>
    <t xml:space="preserve">Transfe-rable Deposits</t>
  </si>
  <si>
    <t xml:space="preserve">Other Deposits</t>
  </si>
  <si>
    <t xml:space="preserve">Securities Other than Shares, Included in Broad Money</t>
  </si>
  <si>
    <t xml:space="preserve">Total   (5+6+7+8)</t>
  </si>
  <si>
    <t xml:space="preserve">IMPORTANT ECONOMIC INDICATORS OF BANGLADESH WITH SAARC COUNTRIES</t>
  </si>
  <si>
    <t xml:space="preserve">TABLE-XXVI</t>
  </si>
  <si>
    <t xml:space="preserve"> (Taka in Million)</t>
  </si>
  <si>
    <r>
      <rPr>
        <sz val="8"/>
        <rFont val="Times New Roman"/>
        <family val="1"/>
        <charset val="1"/>
      </rPr>
      <t xml:space="preserve">Export</t>
    </r>
    <r>
      <rPr>
        <vertAlign val="superscript"/>
        <sz val="8"/>
        <rFont val="Times New Roman"/>
        <family val="1"/>
        <charset val="1"/>
      </rPr>
      <t xml:space="preserve">*</t>
    </r>
  </si>
  <si>
    <t xml:space="preserve">Import**</t>
  </si>
  <si>
    <t xml:space="preserve">Service inflows</t>
  </si>
  <si>
    <t xml:space="preserve">Service outflows</t>
  </si>
  <si>
    <t xml:space="preserve">Wage Earners Remittance
</t>
  </si>
  <si>
    <t xml:space="preserve">FDI inflows(Net)</t>
  </si>
  <si>
    <t xml:space="preserve">Portfolio investment inflows</t>
  </si>
  <si>
    <r>
      <rPr>
        <b val="true"/>
        <sz val="8"/>
        <rFont val="Times New Roman"/>
        <family val="1"/>
        <charset val="1"/>
      </rPr>
      <t xml:space="preserve">2018-19</t>
    </r>
    <r>
      <rPr>
        <b val="true"/>
        <vertAlign val="superscript"/>
        <sz val="8"/>
        <rFont val="Times New Roman"/>
        <family val="1"/>
        <charset val="1"/>
      </rPr>
      <t xml:space="preserve">P</t>
    </r>
  </si>
  <si>
    <t xml:space="preserve">12.60</t>
  </si>
  <si>
    <t xml:space="preserve">Afganistan</t>
  </si>
  <si>
    <t xml:space="preserve">Bhutan</t>
  </si>
  <si>
    <t xml:space="preserve">India</t>
  </si>
  <si>
    <t xml:space="preserve">Maldives</t>
  </si>
  <si>
    <t xml:space="preserve">Nepal</t>
  </si>
  <si>
    <t xml:space="preserve">Pakistan</t>
  </si>
  <si>
    <t xml:space="preserve">Sri Lanka</t>
  </si>
  <si>
    <t xml:space="preserve">April-June</t>
  </si>
  <si>
    <t xml:space="preserve">P: Provisional</t>
  </si>
  <si>
    <t xml:space="preserve">* As per record of EPB (usually on fob basis)</t>
  </si>
  <si>
    <t xml:space="preserve">** Based on custom records calculated on c&amp;f basis</t>
  </si>
  <si>
    <t xml:space="preserve">1. Export Promotion Bureau (EPB) for Export Data   2. National Board of Revenue (NBR) for Import Data</t>
  </si>
  <si>
    <t xml:space="preserve">3. Statistics Department of Bangladesh Bank for Service Inflows, Service Outflows and Wage Earners Remittance Data</t>
  </si>
  <si>
    <t xml:space="preserve">                    IMPORTANT ECONOMIC INDICATORS OF SAARC COUNTRIES                   </t>
  </si>
  <si>
    <t xml:space="preserve">TABLE XXVII</t>
  </si>
  <si>
    <t xml:space="preserve">                                  (In Million US$)</t>
  </si>
  <si>
    <t xml:space="preserve">Export (f.o.b)</t>
  </si>
  <si>
    <t xml:space="preserve">Import (f.o.b)</t>
  </si>
  <si>
    <t xml:space="preserve">Bank credit to commercial sector</t>
  </si>
  <si>
    <t xml:space="preserve">FDI</t>
  </si>
  <si>
    <t xml:space="preserve">Foreign Exchange Reserve</t>
  </si>
  <si>
    <t xml:space="preserve">Inflation</t>
  </si>
  <si>
    <t xml:space="preserve">Exchange Rate (CY/$)</t>
  </si>
  <si>
    <r>
      <rPr>
        <b val="true"/>
        <sz val="8"/>
        <color rgb="FF000000"/>
        <rFont val="Times New Roman"/>
        <family val="1"/>
        <charset val="1"/>
      </rPr>
      <t xml:space="preserve">2018-19</t>
    </r>
    <r>
      <rPr>
        <b val="true"/>
        <vertAlign val="superscript"/>
        <sz val="8"/>
        <color rgb="FF000000"/>
        <rFont val="Times New Roman"/>
        <family val="1"/>
        <charset val="1"/>
      </rPr>
      <t xml:space="preserve">P</t>
    </r>
  </si>
  <si>
    <t xml:space="preserve">Afganistan </t>
  </si>
  <si>
    <t xml:space="preserve">..</t>
  </si>
  <si>
    <t xml:space="preserve">Bangladesh</t>
  </si>
  <si>
    <t xml:space="preserve">… = Not Available</t>
  </si>
  <si>
    <t xml:space="preserve">Appendix : </t>
  </si>
  <si>
    <t xml:space="preserve">Weights &amp; Measures</t>
  </si>
  <si>
    <t xml:space="preserve">1 Maund</t>
  </si>
  <si>
    <t xml:space="preserve">=</t>
  </si>
  <si>
    <t xml:space="preserve">37.324 Kgs.</t>
  </si>
  <si>
    <t xml:space="preserve">1 Bale</t>
  </si>
  <si>
    <t xml:space="preserve">180 Kgs.</t>
  </si>
  <si>
    <t xml:space="preserve">82.285 lbs.</t>
  </si>
  <si>
    <t xml:space="preserve">4.823 Mds.</t>
  </si>
  <si>
    <t xml:space="preserve">1 Seer</t>
  </si>
  <si>
    <t xml:space="preserve">0.933 Kg.</t>
  </si>
  <si>
    <t xml:space="preserve">1 Metric Ton</t>
  </si>
  <si>
    <t xml:space="preserve">1000 Kgs.</t>
  </si>
  <si>
    <t xml:space="preserve">26.792 Mds.</t>
  </si>
  <si>
    <t xml:space="preserve">1 Pound (lb)</t>
  </si>
  <si>
    <t xml:space="preserve">0.4536 Kg.</t>
  </si>
  <si>
    <t xml:space="preserve">1 Long Ton</t>
  </si>
  <si>
    <t xml:space="preserve">1016.05 Kgs.</t>
  </si>
  <si>
    <t xml:space="preserve">1 Tola</t>
  </si>
  <si>
    <t xml:space="preserve">11.66 gms.</t>
  </si>
  <si>
    <t xml:space="preserve">27.223 Mds.</t>
  </si>
  <si>
    <t xml:space="preserve">1 Metre</t>
  </si>
  <si>
    <t xml:space="preserve">39.37 Inches</t>
  </si>
  <si>
    <t xml:space="preserve">1 Ounce</t>
  </si>
  <si>
    <t xml:space="preserve">2.43 Tola</t>
  </si>
  <si>
    <t xml:space="preserve">3.2808 Ft.</t>
  </si>
  <si>
    <t xml:space="preserve">28.35 gms.</t>
  </si>
  <si>
    <t xml:space="preserve">1 Sq. Metre</t>
  </si>
  <si>
    <t xml:space="preserve">10.764 Sq. Ft.</t>
  </si>
  <si>
    <t xml:space="preserve">1 Troy ounce</t>
  </si>
  <si>
    <t xml:space="preserve">2.666 Tola</t>
  </si>
  <si>
    <t xml:space="preserve">1 Mile</t>
  </si>
  <si>
    <t xml:space="preserve">1.6093 Km.</t>
  </si>
  <si>
    <t xml:space="preserve">31.1034768 gms.</t>
  </si>
  <si>
    <t xml:space="preserve">1 Feet</t>
  </si>
  <si>
    <t xml:space="preserve">0.3048 Metre</t>
  </si>
  <si>
    <t xml:space="preserve">1 Quintal</t>
  </si>
  <si>
    <t xml:space="preserve">100 Kgs.</t>
  </si>
  <si>
    <t xml:space="preserve">1 Sq. Ft.</t>
  </si>
  <si>
    <t xml:space="preserve">0.0929 Sq. Metre</t>
  </si>
  <si>
    <t xml:space="preserve">220.5 lbs.</t>
  </si>
  <si>
    <t xml:space="preserve">1 Bigha</t>
  </si>
  <si>
    <t xml:space="preserve">0.3306 Acre</t>
  </si>
  <si>
    <t xml:space="preserve">2.679 Mds.</t>
  </si>
  <si>
    <t xml:space="preserve">1600 Sq. Yards</t>
  </si>
  <si>
    <t xml:space="preserve">0.1 Metric Ton</t>
  </si>
  <si>
    <t xml:space="preserve">1 Katha</t>
  </si>
  <si>
    <t xml:space="preserve">1.65 Decimal</t>
  </si>
  <si>
    <t xml:space="preserve">1 Litre</t>
  </si>
  <si>
    <t xml:space="preserve">0.22 Gallon</t>
  </si>
  <si>
    <t xml:space="preserve">720 Sq. Ft.</t>
  </si>
  <si>
    <t xml:space="preserve">1000 CC</t>
  </si>
  <si>
    <t xml:space="preserve">66.89 Sq. Metre</t>
  </si>
  <si>
    <t xml:space="preserve">0.027 Bushel</t>
  </si>
  <si>
    <t xml:space="preserve">1 Decimal</t>
  </si>
  <si>
    <t xml:space="preserve">435.6 Sq. Ft.</t>
  </si>
  <si>
    <t xml:space="preserve">1 Barrel</t>
  </si>
  <si>
    <t xml:space="preserve">34.9726 Gallon</t>
  </si>
  <si>
    <t xml:space="preserve">1 Acre</t>
  </si>
  <si>
    <t xml:space="preserve">0.405 Hectare</t>
  </si>
  <si>
    <t xml:space="preserve">0.125 M. T.</t>
  </si>
  <si>
    <t xml:space="preserve">4840 Sq. Yards</t>
  </si>
  <si>
    <t xml:space="preserve">4046.8468 Sq. Metre</t>
  </si>
  <si>
    <t xml:space="preserve">1 Crore</t>
  </si>
  <si>
    <t xml:space="preserve">10 Millions</t>
  </si>
  <si>
    <t xml:space="preserve">100 Decimals</t>
  </si>
  <si>
    <t xml:space="preserve">100 Lacs.</t>
  </si>
  <si>
    <t xml:space="preserve">0.01 Billion</t>
  </si>
  <si>
    <t xml:space="preserve">1 Hectare</t>
  </si>
  <si>
    <t xml:space="preserve">2.47 Acres</t>
  </si>
  <si>
    <r>
      <rPr>
        <sz val="9"/>
        <color rgb="FF000000"/>
        <rFont val="Times New Roman"/>
        <family val="1"/>
        <charset val="1"/>
      </rPr>
      <t xml:space="preserve">1(</t>
    </r>
    <r>
      <rPr>
        <vertAlign val="superscript"/>
        <sz val="9"/>
        <color rgb="FF000000"/>
        <rFont val="Times New Roman"/>
        <family val="1"/>
        <charset val="1"/>
      </rPr>
      <t xml:space="preserve">0</t>
    </r>
    <r>
      <rPr>
        <sz val="9"/>
        <color rgb="FF000000"/>
        <rFont val="Times New Roman"/>
        <family val="1"/>
        <charset val="1"/>
      </rPr>
      <t xml:space="preserve">F)</t>
    </r>
  </si>
  <si>
    <r>
      <rPr>
        <sz val="9"/>
        <color rgb="FF000000"/>
        <rFont val="Times New Roman"/>
        <family val="1"/>
        <charset val="1"/>
      </rPr>
      <t xml:space="preserve">1.8(</t>
    </r>
    <r>
      <rPr>
        <vertAlign val="superscript"/>
        <sz val="9"/>
        <color rgb="FF000000"/>
        <rFont val="Times New Roman"/>
        <family val="1"/>
        <charset val="1"/>
      </rPr>
      <t xml:space="preserve">0</t>
    </r>
    <r>
      <rPr>
        <sz val="9"/>
        <color rgb="FF000000"/>
        <rFont val="Times New Roman"/>
        <family val="1"/>
        <charset val="1"/>
      </rPr>
      <t xml:space="preserve">C) + 32</t>
    </r>
  </si>
  <si>
    <t xml:space="preserve">1 Megawatt</t>
  </si>
  <si>
    <t xml:space="preserve">1000 Kilo Watts.</t>
  </si>
  <si>
    <t xml:space="preserve">1 Bushel</t>
  </si>
  <si>
    <t xml:space="preserve">36.37 Litres</t>
  </si>
  <si>
    <t xml:space="preserve">Note : F &amp; C indicate Fahrenheit &amp; Celsius Scale Respectively</t>
  </si>
</sst>
</file>

<file path=xl/styles.xml><?xml version="1.0" encoding="utf-8"?>
<styleSheet xmlns="http://schemas.openxmlformats.org/spreadsheetml/2006/main">
  <numFmts count="28">
    <numFmt numFmtId="164" formatCode="General"/>
    <numFmt numFmtId="165" formatCode="_(* #,##0.00_);_(* \(#,##0.00\);_(* \-??_);_(@_)"/>
    <numFmt numFmtId="166" formatCode="&quot;B1&quot;mmm/yy"/>
    <numFmt numFmtId="167" formatCode="@"/>
    <numFmt numFmtId="168" formatCode="0.0"/>
    <numFmt numFmtId="169" formatCode="0.00"/>
    <numFmt numFmtId="170" formatCode="0"/>
    <numFmt numFmtId="171" formatCode="0.0000"/>
    <numFmt numFmtId="172" formatCode="0.000"/>
    <numFmt numFmtId="173" formatCode="General"/>
    <numFmt numFmtId="174" formatCode="0E+00"/>
    <numFmt numFmtId="175" formatCode="#,##0.00"/>
    <numFmt numFmtId="176" formatCode="\(0.00\)"/>
    <numFmt numFmtId="177" formatCode="0.0000000000000_);\(0.0000000000000\)"/>
    <numFmt numFmtId="178" formatCode="0.000000000000_);\(0.000000000000\)"/>
    <numFmt numFmtId="179" formatCode="#,##0.000000000000"/>
    <numFmt numFmtId="180" formatCode="#,##0"/>
    <numFmt numFmtId="181" formatCode="0_);\(0\)"/>
    <numFmt numFmtId="182" formatCode="00000"/>
    <numFmt numFmtId="183" formatCode="\(0\)"/>
    <numFmt numFmtId="184" formatCode="dd/mm/yyyy;@"/>
    <numFmt numFmtId="185" formatCode="0.00;[RED]0.00"/>
    <numFmt numFmtId="186" formatCode="0.00000000000"/>
    <numFmt numFmtId="187" formatCode="#,##0_);\(#,##0\)"/>
    <numFmt numFmtId="188" formatCode="[h]:mm:ss"/>
    <numFmt numFmtId="189" formatCode="#,##0.00_);\(#,##0.00\)"/>
    <numFmt numFmtId="190" formatCode="0.00%"/>
    <numFmt numFmtId="191" formatCode="_(* #,##0.000000_);_(* \(#,##0.000000\);_(* \-??_);_(@_)"/>
  </numFmts>
  <fonts count="152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9C0006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u val="single"/>
      <sz val="8"/>
      <color rgb="FF800080"/>
      <name val="Calibri"/>
      <family val="2"/>
      <charset val="1"/>
    </font>
    <font>
      <sz val="11"/>
      <color rgb="FF006100"/>
      <name val="Calibri"/>
      <family val="2"/>
      <charset val="1"/>
    </font>
    <font>
      <b val="true"/>
      <sz val="15"/>
      <color rgb="FF1F497D"/>
      <name val="Calibri"/>
      <family val="2"/>
      <charset val="1"/>
    </font>
    <font>
      <b val="true"/>
      <sz val="13"/>
      <color rgb="FF1F497D"/>
      <name val="Calibri"/>
      <family val="2"/>
      <charset val="1"/>
    </font>
    <font>
      <b val="true"/>
      <sz val="11"/>
      <color rgb="FF1F497D"/>
      <name val="Calibri"/>
      <family val="2"/>
      <charset val="1"/>
    </font>
    <font>
      <u val="single"/>
      <sz val="8"/>
      <color rgb="FF0000FF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A7D00"/>
      <name val="Calibri"/>
      <family val="2"/>
      <charset val="1"/>
    </font>
    <font>
      <sz val="11"/>
      <color rgb="FF9C6500"/>
      <name val="Calibri"/>
      <family val="2"/>
      <charset val="1"/>
    </font>
    <font>
      <sz val="10"/>
      <name val="Arial"/>
      <family val="2"/>
      <charset val="1"/>
    </font>
    <font>
      <b val="true"/>
      <sz val="11"/>
      <color rgb="FF3F3F3F"/>
      <name val="Calibri"/>
      <family val="2"/>
      <charset val="1"/>
    </font>
    <font>
      <b val="true"/>
      <sz val="18"/>
      <color rgb="FF1F497D"/>
      <name val="Cambria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6"/>
      <name val="Arial"/>
      <family val="2"/>
      <charset val="1"/>
    </font>
    <font>
      <sz val="16"/>
      <name val="Arial"/>
      <family val="2"/>
      <charset val="1"/>
    </font>
    <font>
      <sz val="11"/>
      <name val="Calibri"/>
      <family val="2"/>
      <charset val="1"/>
    </font>
    <font>
      <sz val="10"/>
      <name val="Sylfaen"/>
      <family val="1"/>
      <charset val="1"/>
    </font>
    <font>
      <sz val="16"/>
      <name val="Sylfaen"/>
      <family val="1"/>
      <charset val="1"/>
    </font>
    <font>
      <b val="true"/>
      <sz val="16"/>
      <name val="Sylfaen"/>
      <family val="1"/>
      <charset val="1"/>
    </font>
    <font>
      <sz val="12"/>
      <name val="Sylfaen"/>
      <family val="1"/>
      <charset val="1"/>
    </font>
    <font>
      <b val="true"/>
      <sz val="14"/>
      <name val="Sylfaen"/>
      <family val="1"/>
      <charset val="1"/>
    </font>
    <font>
      <b val="true"/>
      <sz val="13"/>
      <name val="Sylfaen"/>
      <family val="1"/>
      <charset val="1"/>
    </font>
    <font>
      <sz val="14"/>
      <name val="Sylfaen"/>
      <family val="1"/>
      <charset val="1"/>
    </font>
    <font>
      <b val="true"/>
      <sz val="10"/>
      <name val="Arial"/>
      <family val="2"/>
      <charset val="1"/>
    </font>
    <font>
      <b val="true"/>
      <sz val="36"/>
      <color rgb="FFFFFFFF"/>
      <name val="Arial Narrow"/>
      <family val="2"/>
      <charset val="1"/>
    </font>
    <font>
      <b val="true"/>
      <sz val="52"/>
      <color rgb="FFFFFFFF"/>
      <name val="Arial"/>
      <family val="2"/>
      <charset val="1"/>
    </font>
    <font>
      <sz val="13"/>
      <name val="Sylfaen"/>
      <family val="1"/>
      <charset val="1"/>
    </font>
    <font>
      <sz val="52"/>
      <name val="Arial"/>
      <family val="2"/>
      <charset val="1"/>
    </font>
    <font>
      <sz val="12"/>
      <name val="Times New Roman"/>
      <family val="1"/>
      <charset val="1"/>
    </font>
    <font>
      <u val="single"/>
      <sz val="10"/>
      <color rgb="FF0000FF"/>
      <name val="Arial"/>
      <family val="2"/>
      <charset val="1"/>
    </font>
    <font>
      <sz val="18"/>
      <name val="Sylfaen"/>
      <family val="1"/>
      <charset val="1"/>
    </font>
    <font>
      <b val="true"/>
      <sz val="12"/>
      <name val="Sylfaen"/>
      <family val="1"/>
      <charset val="1"/>
    </font>
    <font>
      <b val="true"/>
      <sz val="18"/>
      <name val="Sylfaen"/>
      <family val="1"/>
      <charset val="1"/>
    </font>
    <font>
      <sz val="22"/>
      <name val="Times New Roman"/>
      <family val="1"/>
      <charset val="1"/>
    </font>
    <font>
      <b val="true"/>
      <sz val="16"/>
      <color rgb="FFFFFFFF"/>
      <name val="Arial"/>
      <family val="2"/>
      <charset val="1"/>
    </font>
    <font>
      <sz val="11"/>
      <name val="Arial"/>
      <family val="2"/>
      <charset val="1"/>
    </font>
    <font>
      <b val="true"/>
      <sz val="18"/>
      <name val="Arial"/>
      <family val="2"/>
      <charset val="1"/>
    </font>
    <font>
      <b val="true"/>
      <sz val="18"/>
      <name val="Times New Roman"/>
      <family val="1"/>
      <charset val="1"/>
    </font>
    <font>
      <b val="true"/>
      <sz val="14"/>
      <name val="Times New Roman"/>
      <family val="1"/>
      <charset val="1"/>
    </font>
    <font>
      <sz val="9"/>
      <name val="Times New Roman"/>
      <family val="1"/>
      <charset val="1"/>
    </font>
    <font>
      <sz val="10"/>
      <name val="Times New Roman"/>
      <family val="1"/>
      <charset val="1"/>
    </font>
    <font>
      <b val="true"/>
      <sz val="13"/>
      <name val="Times New Roman"/>
      <family val="1"/>
      <charset val="1"/>
    </font>
    <font>
      <sz val="8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9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vertAlign val="superscript"/>
      <sz val="10"/>
      <name val="Times New Roman"/>
      <family val="1"/>
      <charset val="1"/>
    </font>
    <font>
      <b val="true"/>
      <sz val="7"/>
      <name val="Times New Roman"/>
      <family val="1"/>
      <charset val="1"/>
    </font>
    <font>
      <vertAlign val="superscript"/>
      <sz val="9"/>
      <name val="Times New Roman"/>
      <family val="1"/>
      <charset val="1"/>
    </font>
    <font>
      <sz val="7.5"/>
      <name val="Times New Roman"/>
      <family val="1"/>
      <charset val="1"/>
    </font>
    <font>
      <vertAlign val="superscript"/>
      <sz val="8"/>
      <name val="Times New Roman"/>
      <family val="1"/>
      <charset val="1"/>
    </font>
    <font>
      <sz val="8"/>
      <color rgb="FF000000"/>
      <name val="Times New Roman"/>
      <family val="1"/>
      <charset val="1"/>
    </font>
    <font>
      <b val="true"/>
      <sz val="20"/>
      <name val="Times New Roman"/>
      <family val="1"/>
      <charset val="1"/>
    </font>
    <font>
      <b val="true"/>
      <sz val="8"/>
      <name val="Times New Roman"/>
      <family val="1"/>
      <charset val="1"/>
    </font>
    <font>
      <b val="true"/>
      <sz val="8"/>
      <color rgb="FF000000"/>
      <name val="Times New Roman"/>
      <family val="1"/>
      <charset val="1"/>
    </font>
    <font>
      <sz val="5.5"/>
      <name val="Times New Roman"/>
      <family val="1"/>
      <charset val="1"/>
    </font>
    <font>
      <sz val="8"/>
      <name val="Arial"/>
      <family val="2"/>
      <charset val="1"/>
    </font>
    <font>
      <b val="true"/>
      <sz val="5.5"/>
      <name val="Times New Roman"/>
      <family val="1"/>
      <charset val="1"/>
    </font>
    <font>
      <sz val="6"/>
      <name val="Times New Roman"/>
      <family val="1"/>
      <charset val="1"/>
    </font>
    <font>
      <b val="true"/>
      <sz val="9"/>
      <color rgb="FF000000"/>
      <name val="Times New Roman"/>
      <family val="1"/>
      <charset val="1"/>
    </font>
    <font>
      <sz val="7"/>
      <name val="Times New Roman"/>
      <family val="1"/>
      <charset val="1"/>
    </font>
    <font>
      <b val="true"/>
      <vertAlign val="superscript"/>
      <sz val="8"/>
      <name val="Times New Roman"/>
      <family val="1"/>
      <charset val="1"/>
    </font>
    <font>
      <b val="true"/>
      <sz val="6"/>
      <name val="Times New Roman"/>
      <family val="1"/>
      <charset val="1"/>
    </font>
    <font>
      <sz val="6"/>
      <color rgb="FF000000"/>
      <name val="Times New Roman"/>
      <family val="1"/>
      <charset val="1"/>
    </font>
    <font>
      <b val="true"/>
      <sz val="7.5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b val="true"/>
      <vertAlign val="superscript"/>
      <sz val="9"/>
      <color rgb="FF000000"/>
      <name val="Times New Roman"/>
      <family val="1"/>
      <charset val="1"/>
    </font>
    <font>
      <sz val="8"/>
      <color rgb="FF000000"/>
      <name val="Arial Narrow"/>
      <family val="2"/>
      <charset val="1"/>
    </font>
    <font>
      <sz val="7"/>
      <color rgb="FF000000"/>
      <name val="Arial Narrow"/>
      <family val="2"/>
      <charset val="1"/>
    </font>
    <font>
      <b val="true"/>
      <sz val="7"/>
      <color rgb="FF000000"/>
      <name val="Times New Roman"/>
      <family val="1"/>
      <charset val="1"/>
    </font>
    <font>
      <sz val="8"/>
      <color rgb="FF262626"/>
      <name val="Times New Roman"/>
      <family val="1"/>
      <charset val="1"/>
    </font>
    <font>
      <vertAlign val="subscript"/>
      <sz val="7"/>
      <name val="Times New Roman"/>
      <family val="1"/>
      <charset val="1"/>
    </font>
    <font>
      <sz val="8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sz val="10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sz val="7"/>
      <color rgb="FF000000"/>
      <name val="Times New Roman"/>
      <family val="1"/>
      <charset val="1"/>
    </font>
    <font>
      <b val="true"/>
      <sz val="7.5"/>
      <color rgb="FF000000"/>
      <name val="Arial Narrow"/>
      <family val="2"/>
      <charset val="1"/>
    </font>
    <font>
      <sz val="8.5"/>
      <color rgb="FF000000"/>
      <name val="Times New Roman"/>
      <family val="1"/>
      <charset val="1"/>
    </font>
    <font>
      <sz val="6.5"/>
      <color rgb="FF000000"/>
      <name val="Times New Roman"/>
      <family val="1"/>
      <charset val="1"/>
    </font>
    <font>
      <sz val="7.5"/>
      <color rgb="FF000000"/>
      <name val="Times New Roman"/>
      <family val="1"/>
      <charset val="1"/>
    </font>
    <font>
      <b val="true"/>
      <sz val="7"/>
      <color rgb="FF000000"/>
      <name val="Arial Narrow"/>
      <family val="2"/>
      <charset val="1"/>
    </font>
    <font>
      <b val="true"/>
      <sz val="6.5"/>
      <color rgb="FF000000"/>
      <name val="Arial Narrow"/>
      <family val="2"/>
      <charset val="1"/>
    </font>
    <font>
      <b val="true"/>
      <sz val="6"/>
      <color rgb="FF000000"/>
      <name val="Arial Narrow"/>
      <family val="2"/>
      <charset val="1"/>
    </font>
    <font>
      <b val="true"/>
      <sz val="7.5"/>
      <color rgb="FF000000"/>
      <name val="Times New Roman"/>
      <family val="1"/>
      <charset val="1"/>
    </font>
    <font>
      <b val="true"/>
      <sz val="9"/>
      <name val="Arial Narrow"/>
      <family val="2"/>
      <charset val="1"/>
    </font>
    <font>
      <b val="true"/>
      <sz val="7.5"/>
      <name val="Arial Narrow"/>
      <family val="2"/>
      <charset val="1"/>
    </font>
    <font>
      <b val="true"/>
      <sz val="11"/>
      <name val="Times New Roman"/>
      <family val="1"/>
      <charset val="1"/>
    </font>
    <font>
      <b val="true"/>
      <sz val="12"/>
      <color rgb="FF000000"/>
      <name val="Calibri"/>
      <family val="2"/>
      <charset val="1"/>
    </font>
    <font>
      <sz val="7"/>
      <name val="Arial"/>
      <family val="2"/>
      <charset val="1"/>
    </font>
    <font>
      <sz val="6.5"/>
      <name val="Times New Roman"/>
      <family val="1"/>
      <charset val="1"/>
    </font>
    <font>
      <b val="true"/>
      <sz val="6"/>
      <color rgb="FF000000"/>
      <name val="Times New Roman"/>
      <family val="1"/>
      <charset val="1"/>
    </font>
    <font>
      <b val="true"/>
      <sz val="6.5"/>
      <name val="Times New Roman"/>
      <family val="1"/>
      <charset val="1"/>
    </font>
    <font>
      <sz val="10"/>
      <name val="Arial"/>
      <family val="1"/>
      <charset val="1"/>
    </font>
    <font>
      <b val="true"/>
      <sz val="10"/>
      <color rgb="FF000000"/>
      <name val="Arial Narrow"/>
      <family val="2"/>
      <charset val="1"/>
    </font>
    <font>
      <b val="true"/>
      <sz val="10.5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5"/>
      <name val="Times New Roman"/>
      <family val="1"/>
      <charset val="1"/>
    </font>
    <font>
      <sz val="5"/>
      <color rgb="FF000000"/>
      <name val="Times New Roman"/>
      <family val="1"/>
      <charset val="1"/>
    </font>
    <font>
      <sz val="8"/>
      <name val="Arial Narrow"/>
      <family val="2"/>
      <charset val="1"/>
    </font>
    <font>
      <b val="true"/>
      <sz val="9"/>
      <color rgb="FF000000"/>
      <name val="Arial Narrow"/>
      <family val="2"/>
      <charset val="1"/>
    </font>
    <font>
      <b val="true"/>
      <sz val="10.5"/>
      <color rgb="FF000000"/>
      <name val="Arial Narrow"/>
      <family val="2"/>
      <charset val="1"/>
    </font>
    <font>
      <sz val="10.5"/>
      <color rgb="FF000000"/>
      <name val="Times New Roman"/>
      <family val="1"/>
      <charset val="1"/>
    </font>
    <font>
      <b val="true"/>
      <sz val="8.25"/>
      <color rgb="FF000000"/>
      <name val="Arial Narrow"/>
      <family val="2"/>
      <charset val="1"/>
    </font>
    <font>
      <sz val="9"/>
      <color rgb="FF000000"/>
      <name val="Arial Narrow"/>
      <family val="2"/>
      <charset val="1"/>
    </font>
    <font>
      <sz val="7.5"/>
      <color rgb="FF000000"/>
      <name val="Arial Narrow"/>
      <family val="2"/>
      <charset val="1"/>
    </font>
    <font>
      <sz val="7"/>
      <name val="Arial Narrow"/>
      <family val="2"/>
      <charset val="1"/>
    </font>
    <font>
      <b val="true"/>
      <sz val="8"/>
      <color rgb="FF000000"/>
      <name val="Arial Narrow"/>
      <family val="2"/>
      <charset val="1"/>
    </font>
    <font>
      <b val="true"/>
      <vertAlign val="superscript"/>
      <sz val="8"/>
      <color rgb="FF000000"/>
      <name val="Arial Narrow"/>
      <family val="2"/>
      <charset val="1"/>
    </font>
    <font>
      <b val="true"/>
      <sz val="8.5"/>
      <color rgb="FF000000"/>
      <name val="Arial Narrow"/>
      <family val="2"/>
      <charset val="1"/>
    </font>
    <font>
      <b val="true"/>
      <vertAlign val="superscript"/>
      <sz val="8.5"/>
      <color rgb="FF000000"/>
      <name val="Arial Narrow"/>
      <family val="2"/>
      <charset val="1"/>
    </font>
    <font>
      <sz val="9"/>
      <name val="Arial Narrow"/>
      <family val="2"/>
      <charset val="1"/>
    </font>
    <font>
      <b val="true"/>
      <sz val="6.5"/>
      <name val="Arial Narrow"/>
      <family val="2"/>
      <charset val="1"/>
    </font>
    <font>
      <sz val="6.5"/>
      <name val="Arial Narrow"/>
      <family val="2"/>
      <charset val="1"/>
    </font>
    <font>
      <sz val="8"/>
      <color rgb="FFFF0000"/>
      <name val="Times New Roman"/>
      <family val="1"/>
      <charset val="1"/>
    </font>
    <font>
      <sz val="7"/>
      <color rgb="FFFF0000"/>
      <name val="Times New Roman"/>
      <family val="1"/>
      <charset val="1"/>
    </font>
    <font>
      <sz val="6.25"/>
      <color rgb="FFFF0000"/>
      <name val="Arial Narrow"/>
      <family val="2"/>
      <charset val="1"/>
    </font>
    <font>
      <sz val="6"/>
      <color rgb="FFFF0000"/>
      <name val="Arial Narrow"/>
      <family val="2"/>
      <charset val="1"/>
    </font>
    <font>
      <sz val="7.5"/>
      <color rgb="FFFF0000"/>
      <name val="Times New Roman"/>
      <family val="1"/>
      <charset val="1"/>
    </font>
    <font>
      <b val="true"/>
      <sz val="8"/>
      <color rgb="FF000080"/>
      <name val="Times New Roman"/>
      <family val="1"/>
      <charset val="1"/>
    </font>
    <font>
      <b val="true"/>
      <sz val="12"/>
      <color rgb="FF000080"/>
      <name val="Times New Roman"/>
      <family val="1"/>
      <charset val="1"/>
    </font>
    <font>
      <sz val="8"/>
      <color rgb="FF000080"/>
      <name val="Times New Roman"/>
      <family val="1"/>
      <charset val="1"/>
    </font>
    <font>
      <sz val="12"/>
      <color rgb="FF000080"/>
      <name val="Times New Roman"/>
      <family val="1"/>
      <charset val="1"/>
    </font>
    <font>
      <sz val="11"/>
      <name val="Times New Roman"/>
      <family val="1"/>
      <charset val="1"/>
    </font>
    <font>
      <sz val="8.5"/>
      <name val="Times New Roman"/>
      <family val="1"/>
      <charset val="1"/>
    </font>
    <font>
      <b val="true"/>
      <sz val="10"/>
      <color rgb="FFFFFFFF"/>
      <name val="Times New Roman"/>
      <family val="1"/>
      <charset val="1"/>
    </font>
    <font>
      <b val="true"/>
      <vertAlign val="superscript"/>
      <sz val="7.5"/>
      <color rgb="FF000000"/>
      <name val="Times New Roman"/>
      <family val="1"/>
      <charset val="1"/>
    </font>
    <font>
      <b val="true"/>
      <sz val="8"/>
      <color rgb="FFFFFFFF"/>
      <name val="Times New Roman"/>
      <family val="1"/>
      <charset val="1"/>
    </font>
    <font>
      <sz val="8"/>
      <color rgb="FF000066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b val="true"/>
      <sz val="6.5"/>
      <color rgb="FF000000"/>
      <name val="Times New Roman"/>
      <family val="1"/>
      <charset val="1"/>
    </font>
    <font>
      <vertAlign val="superscript"/>
      <sz val="6.5"/>
      <color rgb="FF000000"/>
      <name val="Times New Roman"/>
      <family val="1"/>
      <charset val="1"/>
    </font>
    <font>
      <b val="true"/>
      <vertAlign val="superscript"/>
      <sz val="8"/>
      <color rgb="FF000000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b val="true"/>
      <sz val="16"/>
      <color rgb="FF000000"/>
      <name val="Calibri"/>
      <family val="2"/>
      <charset val="1"/>
    </font>
    <font>
      <b val="true"/>
      <sz val="8.5"/>
      <name val="Times New Roman"/>
      <family val="1"/>
      <charset val="1"/>
    </font>
    <font>
      <sz val="9"/>
      <name val="Arial"/>
      <family val="2"/>
      <charset val="1"/>
    </font>
    <font>
      <b val="true"/>
      <sz val="10"/>
      <color rgb="FF000080"/>
      <name val="Times New Roman"/>
      <family val="1"/>
      <charset val="1"/>
    </font>
    <font>
      <vertAlign val="superscript"/>
      <sz val="9"/>
      <color rgb="FF000000"/>
      <name val="Times New Roman"/>
      <family val="1"/>
      <charset val="1"/>
    </font>
  </fonts>
  <fills count="37">
    <fill>
      <patternFill patternType="none"/>
    </fill>
    <fill>
      <patternFill patternType="gray125"/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2F2F2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  <fill>
      <patternFill patternType="solid">
        <fgColor rgb="FFB9CDE5"/>
        <bgColor rgb="FFB7DEE8"/>
      </patternFill>
    </fill>
    <fill>
      <patternFill patternType="solid">
        <fgColor rgb="FFE6B9B8"/>
        <bgColor rgb="FFFAC090"/>
      </patternFill>
    </fill>
    <fill>
      <patternFill patternType="solid">
        <fgColor rgb="FFD7E4BD"/>
        <bgColor rgb="FFD9D9D9"/>
      </patternFill>
    </fill>
    <fill>
      <patternFill patternType="solid">
        <fgColor rgb="FFCCC1DA"/>
        <bgColor rgb="FFB9CDE5"/>
      </patternFill>
    </fill>
    <fill>
      <patternFill patternType="solid">
        <fgColor rgb="FFB7DEE8"/>
        <bgColor rgb="FFB9CDE5"/>
      </patternFill>
    </fill>
    <fill>
      <patternFill patternType="solid">
        <fgColor rgb="FFFCD5B5"/>
        <bgColor rgb="FFFFCC99"/>
      </patternFill>
    </fill>
    <fill>
      <patternFill patternType="solid">
        <fgColor rgb="FF95B3D7"/>
        <bgColor rgb="FFA7C0DE"/>
      </patternFill>
    </fill>
    <fill>
      <patternFill patternType="solid">
        <fgColor rgb="FFD99694"/>
        <bgColor rgb="FFB3A2C7"/>
      </patternFill>
    </fill>
    <fill>
      <patternFill patternType="solid">
        <fgColor rgb="FFC3D69B"/>
        <bgColor rgb="FFD7E4BD"/>
      </patternFill>
    </fill>
    <fill>
      <patternFill patternType="solid">
        <fgColor rgb="FFB3A2C7"/>
        <bgColor rgb="FFA5A5A5"/>
      </patternFill>
    </fill>
    <fill>
      <patternFill patternType="solid">
        <fgColor rgb="FF93CDDD"/>
        <bgColor rgb="FFA7C0DE"/>
      </patternFill>
    </fill>
    <fill>
      <patternFill patternType="solid">
        <fgColor rgb="FFFAC090"/>
        <bgColor rgb="FFFFCC99"/>
      </patternFill>
    </fill>
    <fill>
      <patternFill patternType="solid">
        <fgColor rgb="FF4F81BD"/>
        <bgColor rgb="FF4BACC6"/>
      </patternFill>
    </fill>
    <fill>
      <patternFill patternType="solid">
        <fgColor rgb="FFC0504D"/>
        <bgColor rgb="FF9C6500"/>
      </patternFill>
    </fill>
    <fill>
      <patternFill patternType="solid">
        <fgColor rgb="FF9BBB59"/>
        <bgColor rgb="FFA5A5A5"/>
      </patternFill>
    </fill>
    <fill>
      <patternFill patternType="solid">
        <fgColor rgb="FF8064A2"/>
        <bgColor rgb="FF7F7F7F"/>
      </patternFill>
    </fill>
    <fill>
      <patternFill patternType="solid">
        <fgColor rgb="FF4BACC6"/>
        <bgColor rgb="FF4F81BD"/>
      </patternFill>
    </fill>
    <fill>
      <patternFill patternType="solid">
        <fgColor rgb="FFF79646"/>
        <bgColor rgb="FFFF8001"/>
      </patternFill>
    </fill>
    <fill>
      <patternFill patternType="solid">
        <fgColor rgb="FFFFC7CE"/>
        <bgColor rgb="FFFCD5B5"/>
      </patternFill>
    </fill>
    <fill>
      <patternFill patternType="solid">
        <fgColor rgb="FFF2F2F2"/>
        <bgColor rgb="FFEBF1DE"/>
      </patternFill>
    </fill>
    <fill>
      <patternFill patternType="solid">
        <fgColor rgb="FFA5A5A5"/>
        <bgColor rgb="FFB2B2B2"/>
      </patternFill>
    </fill>
    <fill>
      <patternFill patternType="solid">
        <fgColor rgb="FFC6EFCE"/>
        <bgColor rgb="FFD7E4BD"/>
      </patternFill>
    </fill>
    <fill>
      <patternFill patternType="solid">
        <fgColor rgb="FFFFCC99"/>
        <bgColor rgb="FFFAC090"/>
      </patternFill>
    </fill>
    <fill>
      <patternFill patternType="solid">
        <fgColor rgb="FFFFEB9C"/>
        <bgColor rgb="FFFCD5B5"/>
      </patternFill>
    </fill>
    <fill>
      <patternFill patternType="solid">
        <fgColor rgb="FFFFFFCC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D9D9D9"/>
        <bgColor rgb="FFD7D7D7"/>
      </patternFill>
    </fill>
    <fill>
      <patternFill patternType="solid">
        <fgColor rgb="FFFFFF00"/>
        <bgColor rgb="FFFFEB9C"/>
      </patternFill>
    </fill>
    <fill>
      <patternFill patternType="solid">
        <fgColor rgb="FFD7D7D7"/>
        <bgColor rgb="FFD9D9D9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/>
      <right/>
      <top/>
      <bottom style="thick">
        <color rgb="FF4F81BD"/>
      </bottom>
      <diagonal/>
    </border>
    <border diagonalUp="false" diagonalDown="false">
      <left/>
      <right/>
      <top/>
      <bottom style="thick">
        <color rgb="FFA7C0DE"/>
      </bottom>
      <diagonal/>
    </border>
    <border diagonalUp="false" diagonalDown="false">
      <left/>
      <right/>
      <top/>
      <bottom style="medium">
        <color rgb="FF95B3D7"/>
      </bottom>
      <diagonal/>
    </border>
    <border diagonalUp="false" diagonalDown="false">
      <left/>
      <right/>
      <top/>
      <bottom style="double">
        <color rgb="FFFF8001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/>
      <right/>
      <top style="thin">
        <color rgb="FF4F81BD"/>
      </top>
      <bottom style="double">
        <color rgb="FF4F81BD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</borders>
  <cellStyleXfs count="25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3" borderId="0" applyFont="true" applyBorder="false" applyAlignment="true" applyProtection="false">
      <alignment horizontal="general" vertical="bottom" textRotation="0" wrapText="false" indent="0" shrinkToFit="false"/>
    </xf>
    <xf numFmtId="164" fontId="5" fillId="23" borderId="0" applyFont="true" applyBorder="false" applyAlignment="true" applyProtection="false">
      <alignment horizontal="general" vertical="bottom" textRotation="0" wrapText="false" indent="0" shrinkToFit="false"/>
    </xf>
    <xf numFmtId="164" fontId="5" fillId="23" borderId="0" applyFont="true" applyBorder="false" applyAlignment="true" applyProtection="false">
      <alignment horizontal="general" vertical="bottom" textRotation="0" wrapText="false" indent="0" shrinkToFit="false"/>
    </xf>
    <xf numFmtId="164" fontId="5" fillId="23" borderId="0" applyFont="true" applyBorder="false" applyAlignment="true" applyProtection="false">
      <alignment horizontal="general" vertical="bottom" textRotation="0" wrapText="false" indent="0" shrinkToFit="false"/>
    </xf>
    <xf numFmtId="164" fontId="5" fillId="23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7" fillId="27" borderId="1" applyFont="true" applyBorder="true" applyAlignment="true" applyProtection="false">
      <alignment horizontal="general" vertical="bottom" textRotation="0" wrapText="false" indent="0" shrinkToFit="false"/>
    </xf>
    <xf numFmtId="164" fontId="7" fillId="27" borderId="1" applyFont="true" applyBorder="true" applyAlignment="true" applyProtection="false">
      <alignment horizontal="general" vertical="bottom" textRotation="0" wrapText="false" indent="0" shrinkToFit="false"/>
    </xf>
    <xf numFmtId="164" fontId="7" fillId="27" borderId="1" applyFont="true" applyBorder="true" applyAlignment="true" applyProtection="false">
      <alignment horizontal="general" vertical="bottom" textRotation="0" wrapText="false" indent="0" shrinkToFit="false"/>
    </xf>
    <xf numFmtId="164" fontId="7" fillId="27" borderId="1" applyFont="true" applyBorder="true" applyAlignment="true" applyProtection="false">
      <alignment horizontal="general" vertical="bottom" textRotation="0" wrapText="false" indent="0" shrinkToFit="false"/>
    </xf>
    <xf numFmtId="164" fontId="7" fillId="27" borderId="1" applyFont="true" applyBorder="true" applyAlignment="true" applyProtection="false">
      <alignment horizontal="general" vertical="bottom" textRotation="0" wrapText="false" indent="0" shrinkToFit="false"/>
    </xf>
    <xf numFmtId="164" fontId="8" fillId="28" borderId="2" applyFont="true" applyBorder="true" applyAlignment="true" applyProtection="false">
      <alignment horizontal="general" vertical="bottom" textRotation="0" wrapText="false" indent="0" shrinkToFit="false"/>
    </xf>
    <xf numFmtId="164" fontId="8" fillId="28" borderId="2" applyFont="true" applyBorder="true" applyAlignment="true" applyProtection="false">
      <alignment horizontal="general" vertical="bottom" textRotation="0" wrapText="false" indent="0" shrinkToFit="false"/>
    </xf>
    <xf numFmtId="164" fontId="8" fillId="28" borderId="2" applyFont="true" applyBorder="true" applyAlignment="true" applyProtection="false">
      <alignment horizontal="general" vertical="bottom" textRotation="0" wrapText="false" indent="0" shrinkToFit="false"/>
    </xf>
    <xf numFmtId="164" fontId="8" fillId="28" borderId="2" applyFont="true" applyBorder="true" applyAlignment="true" applyProtection="false">
      <alignment horizontal="general" vertical="bottom" textRotation="0" wrapText="false" indent="0" shrinkToFit="false"/>
    </xf>
    <xf numFmtId="164" fontId="8" fillId="28" borderId="2" applyFont="true" applyBorder="tru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29" borderId="0" applyFont="true" applyBorder="false" applyAlignment="true" applyProtection="false">
      <alignment horizontal="general" vertical="bottom" textRotation="0" wrapText="false" indent="0" shrinkToFit="false"/>
    </xf>
    <xf numFmtId="164" fontId="11" fillId="29" borderId="0" applyFont="true" applyBorder="false" applyAlignment="true" applyProtection="false">
      <alignment horizontal="general" vertical="bottom" textRotation="0" wrapText="false" indent="0" shrinkToFit="false"/>
    </xf>
    <xf numFmtId="164" fontId="11" fillId="29" borderId="0" applyFont="true" applyBorder="false" applyAlignment="true" applyProtection="false">
      <alignment horizontal="general" vertical="bottom" textRotation="0" wrapText="false" indent="0" shrinkToFit="false"/>
    </xf>
    <xf numFmtId="164" fontId="11" fillId="29" borderId="0" applyFont="true" applyBorder="false" applyAlignment="true" applyProtection="false">
      <alignment horizontal="general" vertical="bottom" textRotation="0" wrapText="false" indent="0" shrinkToFit="false"/>
    </xf>
    <xf numFmtId="164" fontId="11" fillId="29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3" applyFont="true" applyBorder="true" applyAlignment="true" applyProtection="false">
      <alignment horizontal="general" vertical="bottom" textRotation="0" wrapText="false" indent="0" shrinkToFit="false"/>
    </xf>
    <xf numFmtId="164" fontId="12" fillId="0" borderId="3" applyFont="true" applyBorder="true" applyAlignment="true" applyProtection="false">
      <alignment horizontal="general" vertical="bottom" textRotation="0" wrapText="false" indent="0" shrinkToFit="false"/>
    </xf>
    <xf numFmtId="164" fontId="12" fillId="0" borderId="3" applyFont="true" applyBorder="true" applyAlignment="true" applyProtection="false">
      <alignment horizontal="general" vertical="bottom" textRotation="0" wrapText="false" indent="0" shrinkToFit="false"/>
    </xf>
    <xf numFmtId="164" fontId="12" fillId="0" borderId="3" applyFont="true" applyBorder="true" applyAlignment="true" applyProtection="false">
      <alignment horizontal="general" vertical="bottom" textRotation="0" wrapText="false" indent="0" shrinkToFit="false"/>
    </xf>
    <xf numFmtId="164" fontId="12" fillId="0" borderId="3" applyFont="true" applyBorder="true" applyAlignment="true" applyProtection="false">
      <alignment horizontal="general" vertical="bottom" textRotation="0" wrapText="false" indent="0" shrinkToFit="false"/>
    </xf>
    <xf numFmtId="164" fontId="13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4" applyFont="true" applyBorder="true" applyAlignment="true" applyProtection="false">
      <alignment horizontal="general" vertical="bottom" textRotation="0" wrapText="false" indent="0" shrinkToFit="false"/>
    </xf>
    <xf numFmtId="164" fontId="14" fillId="0" borderId="5" applyFont="true" applyBorder="true" applyAlignment="true" applyProtection="false">
      <alignment horizontal="general" vertical="bottom" textRotation="0" wrapText="false" indent="0" shrinkToFit="false"/>
    </xf>
    <xf numFmtId="164" fontId="14" fillId="0" borderId="5" applyFont="true" applyBorder="true" applyAlignment="true" applyProtection="false">
      <alignment horizontal="general" vertical="bottom" textRotation="0" wrapText="false" indent="0" shrinkToFit="false"/>
    </xf>
    <xf numFmtId="164" fontId="14" fillId="0" borderId="5" applyFont="true" applyBorder="true" applyAlignment="true" applyProtection="false">
      <alignment horizontal="general" vertical="bottom" textRotation="0" wrapText="false" indent="0" shrinkToFit="false"/>
    </xf>
    <xf numFmtId="164" fontId="14" fillId="0" borderId="5" applyFont="true" applyBorder="true" applyAlignment="true" applyProtection="false">
      <alignment horizontal="general" vertical="bottom" textRotation="0" wrapText="false" indent="0" shrinkToFit="false"/>
    </xf>
    <xf numFmtId="164" fontId="14" fillId="0" borderId="5" applyFont="true" applyBorder="tru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30" borderId="1" applyFont="true" applyBorder="true" applyAlignment="true" applyProtection="false">
      <alignment horizontal="general" vertical="bottom" textRotation="0" wrapText="false" indent="0" shrinkToFit="false"/>
    </xf>
    <xf numFmtId="164" fontId="16" fillId="30" borderId="1" applyFont="true" applyBorder="true" applyAlignment="true" applyProtection="false">
      <alignment horizontal="general" vertical="bottom" textRotation="0" wrapText="false" indent="0" shrinkToFit="false"/>
    </xf>
    <xf numFmtId="164" fontId="16" fillId="30" borderId="1" applyFont="true" applyBorder="true" applyAlignment="true" applyProtection="false">
      <alignment horizontal="general" vertical="bottom" textRotation="0" wrapText="false" indent="0" shrinkToFit="false"/>
    </xf>
    <xf numFmtId="164" fontId="16" fillId="30" borderId="1" applyFont="true" applyBorder="true" applyAlignment="true" applyProtection="false">
      <alignment horizontal="general" vertical="bottom" textRotation="0" wrapText="false" indent="0" shrinkToFit="false"/>
    </xf>
    <xf numFmtId="164" fontId="16" fillId="30" borderId="1" applyFont="true" applyBorder="true" applyAlignment="true" applyProtection="false">
      <alignment horizontal="general" vertical="bottom" textRotation="0" wrapText="false" indent="0" shrinkToFit="false"/>
    </xf>
    <xf numFmtId="164" fontId="17" fillId="0" borderId="6" applyFont="true" applyBorder="true" applyAlignment="true" applyProtection="false">
      <alignment horizontal="general" vertical="bottom" textRotation="0" wrapText="false" indent="0" shrinkToFit="false"/>
    </xf>
    <xf numFmtId="164" fontId="17" fillId="0" borderId="6" applyFont="true" applyBorder="true" applyAlignment="true" applyProtection="false">
      <alignment horizontal="general" vertical="bottom" textRotation="0" wrapText="false" indent="0" shrinkToFit="false"/>
    </xf>
    <xf numFmtId="164" fontId="17" fillId="0" borderId="6" applyFont="true" applyBorder="true" applyAlignment="true" applyProtection="false">
      <alignment horizontal="general" vertical="bottom" textRotation="0" wrapText="false" indent="0" shrinkToFit="false"/>
    </xf>
    <xf numFmtId="164" fontId="17" fillId="0" borderId="6" applyFont="true" applyBorder="true" applyAlignment="true" applyProtection="false">
      <alignment horizontal="general" vertical="bottom" textRotation="0" wrapText="false" indent="0" shrinkToFit="false"/>
    </xf>
    <xf numFmtId="164" fontId="17" fillId="0" borderId="6" applyFont="true" applyBorder="true" applyAlignment="true" applyProtection="false">
      <alignment horizontal="general" vertical="bottom" textRotation="0" wrapText="false" indent="0" shrinkToFit="false"/>
    </xf>
    <xf numFmtId="164" fontId="18" fillId="31" borderId="0" applyFont="true" applyBorder="false" applyAlignment="true" applyProtection="false">
      <alignment horizontal="general" vertical="bottom" textRotation="0" wrapText="false" indent="0" shrinkToFit="false"/>
    </xf>
    <xf numFmtId="164" fontId="18" fillId="31" borderId="0" applyFont="true" applyBorder="false" applyAlignment="true" applyProtection="false">
      <alignment horizontal="general" vertical="bottom" textRotation="0" wrapText="false" indent="0" shrinkToFit="false"/>
    </xf>
    <xf numFmtId="164" fontId="18" fillId="31" borderId="0" applyFont="true" applyBorder="false" applyAlignment="true" applyProtection="false">
      <alignment horizontal="general" vertical="bottom" textRotation="0" wrapText="false" indent="0" shrinkToFit="false"/>
    </xf>
    <xf numFmtId="164" fontId="18" fillId="31" borderId="0" applyFont="true" applyBorder="false" applyAlignment="true" applyProtection="false">
      <alignment horizontal="general" vertical="bottom" textRotation="0" wrapText="false" indent="0" shrinkToFit="false"/>
    </xf>
    <xf numFmtId="164" fontId="18" fillId="31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2" borderId="7" applyFont="true" applyBorder="true" applyAlignment="true" applyProtection="false">
      <alignment horizontal="general" vertical="bottom" textRotation="0" wrapText="false" indent="0" shrinkToFit="false"/>
    </xf>
    <xf numFmtId="164" fontId="0" fillId="32" borderId="7" applyFont="true" applyBorder="true" applyAlignment="true" applyProtection="false">
      <alignment horizontal="general" vertical="bottom" textRotation="0" wrapText="false" indent="0" shrinkToFit="false"/>
    </xf>
    <xf numFmtId="164" fontId="0" fillId="32" borderId="7" applyFont="true" applyBorder="true" applyAlignment="true" applyProtection="false">
      <alignment horizontal="general" vertical="bottom" textRotation="0" wrapText="false" indent="0" shrinkToFit="false"/>
    </xf>
    <xf numFmtId="164" fontId="0" fillId="32" borderId="7" applyFont="true" applyBorder="true" applyAlignment="true" applyProtection="false">
      <alignment horizontal="general" vertical="bottom" textRotation="0" wrapText="false" indent="0" shrinkToFit="false"/>
    </xf>
    <xf numFmtId="164" fontId="0" fillId="32" borderId="7" applyFont="true" applyBorder="true" applyAlignment="true" applyProtection="false">
      <alignment horizontal="general" vertical="bottom" textRotation="0" wrapText="false" indent="0" shrinkToFit="false"/>
    </xf>
    <xf numFmtId="164" fontId="20" fillId="27" borderId="8" applyFont="true" applyBorder="true" applyAlignment="true" applyProtection="false">
      <alignment horizontal="general" vertical="bottom" textRotation="0" wrapText="false" indent="0" shrinkToFit="false"/>
    </xf>
    <xf numFmtId="164" fontId="20" fillId="27" borderId="8" applyFont="true" applyBorder="true" applyAlignment="true" applyProtection="false">
      <alignment horizontal="general" vertical="bottom" textRotation="0" wrapText="false" indent="0" shrinkToFit="false"/>
    </xf>
    <xf numFmtId="164" fontId="20" fillId="27" borderId="8" applyFont="true" applyBorder="true" applyAlignment="true" applyProtection="false">
      <alignment horizontal="general" vertical="bottom" textRotation="0" wrapText="false" indent="0" shrinkToFit="false"/>
    </xf>
    <xf numFmtId="164" fontId="20" fillId="27" borderId="8" applyFont="true" applyBorder="true" applyAlignment="true" applyProtection="false">
      <alignment horizontal="general" vertical="bottom" textRotation="0" wrapText="false" indent="0" shrinkToFit="false"/>
    </xf>
    <xf numFmtId="164" fontId="20" fillId="27" borderId="8" applyFont="true" applyBorder="true" applyAlignment="true" applyProtection="false">
      <alignment horizontal="general" vertical="bottom" textRotation="0" wrapText="false" indent="0" shrinkToFit="false"/>
    </xf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  <xf numFmtId="164" fontId="22" fillId="0" borderId="9" applyFont="true" applyBorder="true" applyAlignment="true" applyProtection="false">
      <alignment horizontal="general" vertical="bottom" textRotation="0" wrapText="false" indent="0" shrinkToFit="false"/>
    </xf>
    <xf numFmtId="164" fontId="22" fillId="0" borderId="9" applyFont="true" applyBorder="true" applyAlignment="true" applyProtection="false">
      <alignment horizontal="general" vertical="bottom" textRotation="0" wrapText="false" indent="0" shrinkToFit="false"/>
    </xf>
    <xf numFmtId="164" fontId="22" fillId="0" borderId="9" applyFont="true" applyBorder="true" applyAlignment="true" applyProtection="false">
      <alignment horizontal="general" vertical="bottom" textRotation="0" wrapText="false" indent="0" shrinkToFit="false"/>
    </xf>
    <xf numFmtId="164" fontId="22" fillId="0" borderId="9" applyFont="true" applyBorder="true" applyAlignment="true" applyProtection="false">
      <alignment horizontal="general" vertical="bottom" textRotation="0" wrapText="false" indent="0" shrinkToFit="false"/>
    </xf>
    <xf numFmtId="164" fontId="22" fillId="0" borderId="9" applyFont="true" applyBorder="tru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0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left" vertical="center" textRotation="18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left" vertical="center" textRotation="180" wrapText="false" indent="0" shrinkToFit="false"/>
      <protection locked="true" hidden="false"/>
    </xf>
    <xf numFmtId="164" fontId="0" fillId="3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3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3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3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3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3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3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7" fillId="3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7" fillId="3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7" fillId="33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7" fillId="3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3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3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33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33" borderId="1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33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3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0" fillId="0" borderId="0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41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1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0" xfId="0" applyFont="true" applyBorder="true" applyAlignment="true" applyProtection="false">
      <alignment horizontal="left" vertical="center" textRotation="180" wrapText="false" indent="0" shrinkToFit="false"/>
      <protection locked="true" hidden="false"/>
    </xf>
    <xf numFmtId="166" fontId="43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3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3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1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7" fillId="3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8" fillId="3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8" fillId="3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3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3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2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2" fillId="0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0" fillId="3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0" fillId="33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0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0" fillId="3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3" fillId="3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3" fillId="3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3" fillId="3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3" fillId="33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4" fillId="3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3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3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3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3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3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33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3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4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4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5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0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1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6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6" fillId="0" borderId="2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6" fillId="0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1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1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6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8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6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6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0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0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8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8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3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5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3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5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3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5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3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5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3" fillId="34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53" fillId="3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3" fillId="3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3" fillId="3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3" fillId="3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3" fillId="3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3" fillId="3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3" fillId="3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3" fillId="3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3" fillId="3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3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5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3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5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53" fillId="3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3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5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3" fillId="3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62" fillId="3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2" fillId="3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3" fillId="3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3" fillId="3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3" fillId="3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6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4" fillId="3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65" fillId="3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5" fillId="3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5" fillId="3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4" fillId="3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4" fillId="3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5" fillId="3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6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3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2" fillId="3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4" fillId="3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7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3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2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3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3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3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3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8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68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6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6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8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6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6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5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9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0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0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1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1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3" fillId="3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3" fillId="3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3" fillId="3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34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5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6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4" fillId="3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4" fillId="3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64" fillId="3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4" fillId="34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5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64" fillId="3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3" fillId="3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6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3" fillId="34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53" fillId="3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2" fillId="3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3" fillId="3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3" fillId="3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34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3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9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9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6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3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3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6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5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5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3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3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3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0" fillId="0" borderId="2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5" fillId="0" borderId="2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5" fillId="0" borderId="2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5" fillId="0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0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0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4" fillId="0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3" fillId="34" borderId="0" xfId="0" applyFont="true" applyBorder="true" applyAlignment="true" applyProtection="false">
      <alignment horizontal="justify" vertical="bottom" textRotation="0" wrapText="true" indent="0" shrinkToFit="false"/>
      <protection locked="true" hidden="false"/>
    </xf>
    <xf numFmtId="168" fontId="62" fillId="3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3" fillId="34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3" fillId="0" borderId="0" xfId="0" applyFont="true" applyBorder="true" applyAlignment="true" applyProtection="false">
      <alignment horizontal="justify" vertical="bottom" textRotation="0" wrapText="true" indent="0" shrinkToFit="false"/>
      <protection locked="true" hidden="false"/>
    </xf>
    <xf numFmtId="168" fontId="62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3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53" fillId="34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2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53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3" fillId="3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4" fillId="3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3" fillId="3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3" fillId="34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8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1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1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1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3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5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1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3" fillId="3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3" fillId="3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3" fillId="3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6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65" fillId="34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65" fillId="3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65" fillId="34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2" fillId="34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3" fillId="34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8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1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4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6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5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0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4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3" fillId="3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7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2" fillId="0" borderId="2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2" fillId="0" borderId="2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8" fillId="0" borderId="27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78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0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0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0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0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8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2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0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0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1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2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2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2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6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2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2" fillId="34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62" fillId="3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2" fillId="34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6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62" fillId="3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2" fillId="3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2" fillId="34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2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5" fillId="3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65" fillId="3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5" fillId="34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6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8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3" fillId="3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3" fillId="3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3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2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3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7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7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7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3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5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1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4" fontId="5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4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4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3" fillId="3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5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4" fillId="3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5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3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3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4" fillId="3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2" fillId="3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2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8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5" fillId="0" borderId="0" xfId="0" applyFont="true" applyBorder="true" applyAlignment="true" applyProtection="false">
      <alignment horizontal="left" vertical="center" textRotation="0" wrapText="true" indent="3" shrinkToFit="false"/>
      <protection locked="true" hidden="false"/>
    </xf>
    <xf numFmtId="164" fontId="85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6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85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7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7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7" fillId="0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7" fillId="0" borderId="2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6" fillId="0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6" fillId="0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8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8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8" fillId="0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8" fillId="0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89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2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65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8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5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70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0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1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78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2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94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4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95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96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4" fillId="33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2" fillId="0" borderId="0" xfId="0" applyFont="true" applyBorder="false" applyAlignment="true" applyProtection="false">
      <alignment horizontal="right" vertical="center" textRotation="0" wrapText="false" indent="0" shrinkToFit="false" readingOrder="1"/>
      <protection locked="true" hidden="false"/>
    </xf>
    <xf numFmtId="168" fontId="62" fillId="0" borderId="0" xfId="0" applyFont="true" applyBorder="false" applyAlignment="true" applyProtection="false">
      <alignment horizontal="right" vertical="center" textRotation="0" wrapText="false" indent="0" shrinkToFit="false" readingOrder="1"/>
      <protection locked="true" hidden="false"/>
    </xf>
    <xf numFmtId="168" fontId="62" fillId="0" borderId="28" xfId="0" applyFont="true" applyBorder="true" applyAlignment="true" applyProtection="false">
      <alignment horizontal="right" vertical="center" textRotation="0" wrapText="false" indent="0" shrinkToFit="false" readingOrder="1"/>
      <protection locked="true" hidden="false"/>
    </xf>
    <xf numFmtId="169" fontId="62" fillId="0" borderId="0" xfId="0" applyFont="true" applyBorder="false" applyAlignment="true" applyProtection="false">
      <alignment horizontal="right" vertical="center" textRotation="0" wrapText="false" indent="0" shrinkToFit="false" readingOrder="1"/>
      <protection locked="true" hidden="false"/>
    </xf>
    <xf numFmtId="164" fontId="62" fillId="0" borderId="0" xfId="0" applyFont="true" applyBorder="true" applyAlignment="true" applyProtection="false">
      <alignment horizontal="right" vertical="center" textRotation="0" wrapText="false" indent="0" shrinkToFit="false" readingOrder="1"/>
      <protection locked="true" hidden="false"/>
    </xf>
    <xf numFmtId="164" fontId="53" fillId="0" borderId="2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62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2" fillId="0" borderId="30" xfId="0" applyFont="true" applyBorder="true" applyAlignment="true" applyProtection="false">
      <alignment horizontal="right" vertical="bottom" textRotation="0" wrapText="false" indent="0" shrinkToFit="false" readingOrder="1"/>
      <protection locked="true" hidden="false"/>
    </xf>
    <xf numFmtId="168" fontId="62" fillId="0" borderId="30" xfId="0" applyFont="true" applyBorder="true" applyAlignment="true" applyProtection="false">
      <alignment horizontal="right" vertical="bottom" textRotation="0" wrapText="false" indent="0" shrinkToFit="false" readingOrder="1"/>
      <protection locked="true" hidden="false"/>
    </xf>
    <xf numFmtId="168" fontId="62" fillId="0" borderId="0" xfId="0" applyFont="true" applyBorder="true" applyAlignment="true" applyProtection="false">
      <alignment horizontal="right" vertical="bottom" textRotation="0" wrapText="false" indent="0" shrinkToFit="false" readingOrder="1"/>
      <protection locked="true" hidden="false"/>
    </xf>
    <xf numFmtId="168" fontId="62" fillId="0" borderId="22" xfId="0" applyFont="true" applyBorder="true" applyAlignment="true" applyProtection="false">
      <alignment horizontal="right" vertical="bottom" textRotation="0" wrapText="false" indent="0" shrinkToFit="false" readingOrder="1"/>
      <protection locked="true" hidden="false"/>
    </xf>
    <xf numFmtId="164" fontId="93" fillId="0" borderId="30" xfId="0" applyFont="true" applyBorder="true" applyAlignment="true" applyProtection="false">
      <alignment horizontal="right" vertical="bottom" textRotation="0" wrapText="false" indent="0" shrinkToFit="false" readingOrder="1"/>
      <protection locked="true" hidden="false"/>
    </xf>
    <xf numFmtId="164" fontId="62" fillId="0" borderId="22" xfId="0" applyFont="true" applyBorder="true" applyAlignment="true" applyProtection="false">
      <alignment horizontal="right" vertical="bottom" textRotation="0" wrapText="false" indent="0" shrinkToFit="false" readingOrder="1"/>
      <protection locked="true" hidden="false"/>
    </xf>
    <xf numFmtId="164" fontId="6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2" fillId="3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2" fillId="34" borderId="0" xfId="0" applyFont="true" applyBorder="true" applyAlignment="true" applyProtection="false">
      <alignment horizontal="right" vertical="bottom" textRotation="0" wrapText="false" indent="0" shrinkToFit="false" readingOrder="1"/>
      <protection locked="true" hidden="false"/>
    </xf>
    <xf numFmtId="168" fontId="62" fillId="34" borderId="0" xfId="0" applyFont="true" applyBorder="true" applyAlignment="true" applyProtection="false">
      <alignment horizontal="right" vertical="bottom" textRotation="0" wrapText="false" indent="0" shrinkToFit="false" readingOrder="1"/>
      <protection locked="true" hidden="false"/>
    </xf>
    <xf numFmtId="164" fontId="93" fillId="34" borderId="0" xfId="0" applyFont="true" applyBorder="true" applyAlignment="true" applyProtection="false">
      <alignment horizontal="right" vertical="bottom" textRotation="0" wrapText="false" indent="0" shrinkToFit="false" readingOrder="1"/>
      <protection locked="true" hidden="false"/>
    </xf>
    <xf numFmtId="164" fontId="62" fillId="34" borderId="31" xfId="0" applyFont="true" applyBorder="true" applyAlignment="true" applyProtection="false">
      <alignment horizontal="right" vertical="bottom" textRotation="0" wrapText="false" indent="0" shrinkToFit="false" readingOrder="1"/>
      <protection locked="true" hidden="false"/>
    </xf>
    <xf numFmtId="164" fontId="62" fillId="0" borderId="0" xfId="0" applyFont="true" applyBorder="true" applyAlignment="true" applyProtection="false">
      <alignment horizontal="right" vertical="bottom" textRotation="0" wrapText="false" indent="0" shrinkToFit="false" readingOrder="1"/>
      <protection locked="true" hidden="false"/>
    </xf>
    <xf numFmtId="164" fontId="93" fillId="0" borderId="0" xfId="0" applyFont="true" applyBorder="true" applyAlignment="true" applyProtection="false">
      <alignment horizontal="right" vertical="bottom" textRotation="0" wrapText="false" indent="0" shrinkToFit="false" readingOrder="1"/>
      <protection locked="true" hidden="false"/>
    </xf>
    <xf numFmtId="164" fontId="62" fillId="0" borderId="31" xfId="0" applyFont="true" applyBorder="true" applyAlignment="true" applyProtection="false">
      <alignment horizontal="right" vertical="bottom" textRotation="0" wrapText="false" indent="0" shrinkToFit="false" readingOrder="1"/>
      <protection locked="true" hidden="false"/>
    </xf>
    <xf numFmtId="164" fontId="65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5" fillId="0" borderId="27" xfId="0" applyFont="true" applyBorder="true" applyAlignment="true" applyProtection="false">
      <alignment horizontal="right" vertical="bottom" textRotation="0" wrapText="false" indent="0" shrinkToFit="false" readingOrder="1"/>
      <protection locked="true" hidden="false"/>
    </xf>
    <xf numFmtId="168" fontId="65" fillId="0" borderId="27" xfId="0" applyFont="true" applyBorder="true" applyAlignment="true" applyProtection="false">
      <alignment horizontal="right" vertical="bottom" textRotation="0" wrapText="false" indent="0" shrinkToFit="false" readingOrder="1"/>
      <protection locked="true" hidden="false"/>
    </xf>
    <xf numFmtId="168" fontId="65" fillId="0" borderId="24" xfId="0" applyFont="true" applyBorder="true" applyAlignment="true" applyProtection="false">
      <alignment horizontal="right" vertical="bottom" textRotation="0" wrapText="false" indent="0" shrinkToFit="false" readingOrder="1"/>
      <protection locked="true" hidden="false"/>
    </xf>
    <xf numFmtId="164" fontId="97" fillId="0" borderId="27" xfId="0" applyFont="true" applyBorder="true" applyAlignment="true" applyProtection="false">
      <alignment horizontal="right" vertical="bottom" textRotation="0" wrapText="false" indent="0" shrinkToFit="false" readingOrder="1"/>
      <protection locked="true" hidden="false"/>
    </xf>
    <xf numFmtId="164" fontId="65" fillId="0" borderId="24" xfId="0" applyFont="true" applyBorder="true" applyAlignment="true" applyProtection="false">
      <alignment horizontal="right" vertical="bottom" textRotation="0" wrapText="false" indent="0" shrinkToFit="false" readingOrder="1"/>
      <protection locked="true" hidden="false"/>
    </xf>
    <xf numFmtId="170" fontId="62" fillId="34" borderId="0" xfId="0" applyFont="true" applyBorder="true" applyAlignment="true" applyProtection="false">
      <alignment horizontal="right" vertical="bottom" textRotation="0" wrapText="false" indent="0" shrinkToFit="false" readingOrder="1"/>
      <protection locked="true" hidden="false"/>
    </xf>
    <xf numFmtId="170" fontId="62" fillId="0" borderId="0" xfId="0" applyFont="true" applyBorder="true" applyAlignment="true" applyProtection="false">
      <alignment horizontal="right" vertical="bottom" textRotation="0" wrapText="false" indent="0" shrinkToFit="false" readingOrder="1"/>
      <protection locked="true" hidden="false"/>
    </xf>
    <xf numFmtId="164" fontId="65" fillId="34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5" fillId="34" borderId="27" xfId="0" applyFont="true" applyBorder="true" applyAlignment="true" applyProtection="false">
      <alignment horizontal="right" vertical="bottom" textRotation="0" wrapText="false" indent="0" shrinkToFit="false" readingOrder="1"/>
      <protection locked="true" hidden="false"/>
    </xf>
    <xf numFmtId="168" fontId="65" fillId="34" borderId="27" xfId="0" applyFont="true" applyBorder="true" applyAlignment="true" applyProtection="false">
      <alignment horizontal="right" vertical="bottom" textRotation="0" wrapText="false" indent="0" shrinkToFit="false" readingOrder="1"/>
      <protection locked="true" hidden="false"/>
    </xf>
    <xf numFmtId="164" fontId="65" fillId="34" borderId="27" xfId="0" applyFont="true" applyBorder="true" applyAlignment="true" applyProtection="false">
      <alignment horizontal="right" vertical="bottom" textRotation="0" wrapText="false" indent="0" shrinkToFit="false" readingOrder="1"/>
      <protection locked="true" hidden="false"/>
    </xf>
    <xf numFmtId="164" fontId="65" fillId="34" borderId="24" xfId="0" applyFont="true" applyBorder="true" applyAlignment="true" applyProtection="false">
      <alignment horizontal="right" vertical="bottom" textRotation="0" wrapText="false" indent="0" shrinkToFit="false" readingOrder="1"/>
      <protection locked="true" hidden="false"/>
    </xf>
    <xf numFmtId="164" fontId="53" fillId="0" borderId="25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70" fontId="65" fillId="0" borderId="27" xfId="0" applyFont="true" applyBorder="true" applyAlignment="true" applyProtection="false">
      <alignment horizontal="right" vertical="bottom" textRotation="0" wrapText="false" indent="0" shrinkToFit="false" readingOrder="1"/>
      <protection locked="true" hidden="false"/>
    </xf>
    <xf numFmtId="164" fontId="62" fillId="34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2" fillId="0" borderId="2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6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2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3" fillId="34" borderId="3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62" fillId="3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2" fillId="3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2" fillId="3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2" fillId="34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2" fillId="0" borderId="3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2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2" fillId="34" borderId="3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6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2" fillId="3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2" fillId="34" borderId="30" xfId="0" applyFont="true" applyBorder="true" applyAlignment="true" applyProtection="false">
      <alignment horizontal="right" vertical="bottom" textRotation="0" wrapText="false" indent="0" shrinkToFit="false" readingOrder="1"/>
      <protection locked="true" hidden="false"/>
    </xf>
    <xf numFmtId="168" fontId="62" fillId="34" borderId="30" xfId="0" applyFont="true" applyBorder="true" applyAlignment="true" applyProtection="false">
      <alignment horizontal="right" vertical="bottom" textRotation="0" wrapText="false" indent="0" shrinkToFit="false" readingOrder="1"/>
      <protection locked="true" hidden="false"/>
    </xf>
    <xf numFmtId="164" fontId="62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5" fillId="34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5" fillId="3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5" fillId="3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2" fillId="3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2" fillId="3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2" fillId="34" borderId="3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2" fillId="34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2" fillId="34" borderId="3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6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62" fillId="0" borderId="3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93" fillId="3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65" fillId="34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5" fillId="34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5" fillId="3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5" fillId="34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4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0" fillId="0" borderId="2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0" fillId="0" borderId="27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5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1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0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8" fillId="0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5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4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9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3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3" fillId="34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4" fillId="34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64" fillId="3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6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4" fillId="3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3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3" fillId="3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3" fontId="64" fillId="3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64" fillId="3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3" fillId="34" borderId="1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53" fillId="34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3" fillId="3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4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4" fillId="0" borderId="0" xfId="21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4" fillId="0" borderId="0" xfId="215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4" fillId="0" borderId="0" xfId="215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1" fillId="0" borderId="27" xfId="21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1" fillId="0" borderId="27" xfId="21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21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27" xfId="215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1" fillId="0" borderId="21" xfId="21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0" fillId="0" borderId="21" xfId="21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20" xfId="21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0" borderId="21" xfId="21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0" borderId="0" xfId="21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3" fillId="0" borderId="0" xfId="21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3" fillId="0" borderId="0" xfId="215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53" fillId="0" borderId="0" xfId="215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3" fillId="34" borderId="0" xfId="21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3" fillId="34" borderId="0" xfId="21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3" fillId="34" borderId="0" xfId="215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62" fillId="3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6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4" fillId="0" borderId="0" xfId="21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64" fillId="0" borderId="0" xfId="21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4" fillId="0" borderId="0" xfId="215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64" fillId="0" borderId="0" xfId="215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2" fillId="3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3" fillId="0" borderId="0" xfId="21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4" fillId="34" borderId="0" xfId="21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64" fillId="34" borderId="0" xfId="21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5" fillId="3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4" fillId="0" borderId="0" xfId="21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6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0" xfId="21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3" fillId="0" borderId="0" xfId="215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34" borderId="0" xfId="21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3" fillId="0" borderId="0" xfId="21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4" fillId="34" borderId="0" xfId="21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65" fillId="3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4" fillId="0" borderId="0" xfId="21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6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3" fillId="34" borderId="16" xfId="21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62" fillId="3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1" fillId="0" borderId="0" xfId="21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8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78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0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8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0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2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3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2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9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5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5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2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2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2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3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2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2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2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2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62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62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62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2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2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62" fillId="34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62" fillId="3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62" fillId="34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2" fillId="3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2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6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2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62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62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2" fillId="3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62" fillId="3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62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62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62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0" fontId="65" fillId="3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65" fillId="3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65" fillId="34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0" fontId="6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6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65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0" fontId="62" fillId="3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3" fillId="3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64" fillId="34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64" fillId="3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64" fillId="34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0" fontId="62" fillId="3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3" fillId="3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3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62" fillId="3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53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7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7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7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7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7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0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8" fillId="0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2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2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2" fillId="3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2" fillId="34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2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2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2" fillId="34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2" fillId="34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3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34" borderId="1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2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3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1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3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2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2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92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7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8" fillId="0" borderId="2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8" fillId="0" borderId="2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8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8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8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8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8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8" fillId="0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3" fillId="0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2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2" fillId="0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62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4" fillId="3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7" fillId="3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3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3" fillId="3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3" fillId="34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7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2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5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53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3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0" fontId="53" fillId="3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53" fillId="3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53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53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3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3" fillId="34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3" fillId="3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5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4" fillId="3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4" fillId="3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64" fillId="3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4" fillId="34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4" fillId="3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3" fontId="6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6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4" fillId="33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3" fillId="3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5" fontId="53" fillId="3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5" fontId="5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4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3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5" fontId="53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0" borderId="1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6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5" fillId="0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3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6" fontId="53" fillId="3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3" fillId="3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3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5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3" fillId="3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3" fillId="3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53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3" fontId="5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53" fillId="3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6" fontId="53" fillId="3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3" fillId="3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9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7" fontId="5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5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5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5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56" fillId="0" borderId="0" xfId="15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80" fontId="56" fillId="0" borderId="0" xfId="15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80" fontId="56" fillId="0" borderId="0" xfId="15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56" fillId="0" borderId="0" xfId="156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5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0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4" fillId="0" borderId="2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3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3" fillId="3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3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3" fillId="3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1" fontId="5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2" fontId="5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3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3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1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1" fillId="0" borderId="2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3" fillId="0" borderId="2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3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4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5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53" fillId="3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53" fillId="3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3" fillId="3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81" fontId="53" fillId="3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3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3" fontId="53" fillId="3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81" fontId="53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6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6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3" fillId="34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83" fontId="53" fillId="3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3" fillId="3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5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5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5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8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0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2" fillId="0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8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0" fillId="0" borderId="2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84" fontId="62" fillId="3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62" fillId="3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4" fontId="6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2" fillId="3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3" fontId="53" fillId="3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4" fontId="62" fillId="3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2" fillId="3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2" fillId="3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6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4" fontId="62" fillId="34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2" fillId="34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62" fillId="34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53" fillId="34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4" fontId="62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3" fillId="34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7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8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08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8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0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8" fillId="0" borderId="2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2" fillId="0" borderId="27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88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2" fillId="3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85" fontId="62" fillId="3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2" fillId="34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85" fontId="6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2" fillId="3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2" fillId="3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3" fillId="3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5" fillId="3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7" fillId="34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3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3" fillId="34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3" fillId="34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7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7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7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6" fontId="5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8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88" fillId="0" borderId="2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8" fillId="0" borderId="2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87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5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2" fillId="34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87" fontId="69" fillId="3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3" fillId="3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3" fillId="3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93" fillId="3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3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1" fillId="3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88" fontId="60" fillId="3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0" fillId="3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9" fillId="3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7" fontId="6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3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9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88" fontId="6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5" fillId="3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0" fillId="3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0" fillId="3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0" fillId="3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9" fillId="3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9" fillId="34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89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9" fillId="3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7" fontId="71" fillId="3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87" fontId="71" fillId="3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9" fontId="71" fillId="3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7" fontId="60" fillId="3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87" fontId="60" fillId="3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9" fontId="60" fillId="3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0" fillId="3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0" fillId="3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7" fontId="6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87" fontId="6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9" fontId="6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2" fillId="3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2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87" fontId="71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74" fillId="3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7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74" fillId="3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9" fillId="3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7" fontId="69" fillId="0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0" fillId="3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9" fillId="3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0" fillId="3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3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4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3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3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93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8" fontId="6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9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9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87" fontId="71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8" fontId="5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88" fontId="62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1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1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1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4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7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3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93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93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2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9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8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9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7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6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3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3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4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3" fillId="3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0" fillId="3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3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7" fillId="34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8" fillId="34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8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8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7" fillId="3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8" fillId="34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8" fillId="3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62" fillId="3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8" fillId="3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5" fillId="3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8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1" fillId="0" borderId="0" xfId="0" applyFont="true" applyBorder="true" applyAlignment="true" applyProtection="false">
      <alignment horizontal="left" vertical="center" textRotation="0" wrapText="true" indent="3" shrinkToFit="false"/>
      <protection locked="true" hidden="false"/>
    </xf>
    <xf numFmtId="164" fontId="98" fillId="34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3" fillId="34" borderId="0" xfId="0" applyFont="true" applyBorder="true" applyAlignment="true" applyProtection="false">
      <alignment horizontal="left" vertical="center" textRotation="0" wrapText="true" indent="3" shrinkToFit="false"/>
      <protection locked="true" hidden="false"/>
    </xf>
    <xf numFmtId="164" fontId="119" fillId="0" borderId="0" xfId="0" applyFont="true" applyBorder="true" applyAlignment="true" applyProtection="false">
      <alignment horizontal="left" vertical="center" textRotation="0" wrapText="true" indent="3" shrinkToFit="false"/>
      <protection locked="true" hidden="false"/>
    </xf>
    <xf numFmtId="164" fontId="119" fillId="34" borderId="0" xfId="0" applyFont="true" applyBorder="true" applyAlignment="true" applyProtection="false">
      <alignment horizontal="left" vertical="center" textRotation="0" wrapText="true" indent="3" shrinkToFit="false"/>
      <protection locked="true" hidden="false"/>
    </xf>
    <xf numFmtId="164" fontId="7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0" fillId="3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9" fillId="34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9" fillId="3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9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5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53" fillId="3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90" fontId="119" fillId="34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90" fontId="119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10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0" fillId="3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78" fillId="3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0" fillId="3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7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0" fillId="34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2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4" fillId="3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9" fillId="3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3" fillId="34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0" fillId="34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78" fillId="3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50" fillId="3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5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5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7" fillId="34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0" fillId="34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62" fillId="34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92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92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5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7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1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6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3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3" fillId="0" borderId="2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5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3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0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4" fillId="0" borderId="3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6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9" fillId="3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60" fillId="3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1" fillId="3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71" fillId="3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0" fillId="3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3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03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71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6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3" fillId="3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03" fillId="3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5" fillId="3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0" fillId="3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6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71" fillId="3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75" fillId="3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7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5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1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1" fillId="3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1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71" fillId="3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3" fillId="3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0" fillId="3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0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8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4" fillId="3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9" fontId="7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0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71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0" fillId="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71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71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0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9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1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3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3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03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7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2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2" fillId="34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5" fillId="34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62" fillId="34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2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62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2" fillId="34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2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62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9" fillId="34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2" fillId="3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62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9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9" fillId="34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2" fillId="34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2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2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2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62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8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0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78" fillId="0" borderId="2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3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3" fillId="0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53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2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9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9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9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2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2" fillId="0" borderId="2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0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8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8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8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3" fillId="0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8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08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8" fillId="0" borderId="2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2" fillId="0" borderId="2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8" fillId="0" borderId="2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7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8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0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0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7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8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8" fillId="3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8" fillId="34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0" fillId="3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0" fillId="3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0" fillId="3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0" fillId="3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78" fillId="3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7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7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7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0" fillId="3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7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8" fillId="3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3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8" fillId="3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78" fillId="3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34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8" fillId="34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78" fillId="34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8" fillId="34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1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1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62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3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7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2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33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3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3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0" fillId="0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4" fillId="0" borderId="0" xfId="0" applyFont="true" applyBorder="false" applyAlignment="true" applyProtection="false">
      <alignment horizontal="right" vertical="center" textRotation="0" wrapText="true" indent="1" shrinkToFit="false"/>
      <protection locked="true" hidden="false"/>
    </xf>
    <xf numFmtId="164" fontId="3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0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2" fillId="3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3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3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3" fillId="34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53" fillId="34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4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64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64" fillId="34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64" fillId="34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3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3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7" fillId="3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37" fillId="3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3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8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93" fillId="0" borderId="0" xfId="21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7" fillId="3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7" fillId="3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6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3" fillId="3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7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5" fillId="3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3" fillId="34" borderId="0" xfId="21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3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60" fillId="34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1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7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4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2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62" fillId="34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1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2" fillId="3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2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2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2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2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5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7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42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6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3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4" fillId="3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6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53" fillId="3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53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3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2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9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9" fillId="0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9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9" fillId="0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2" fillId="0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9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9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9" fillId="0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6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2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03" fillId="0" borderId="0" xfId="2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0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2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8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8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8" fillId="0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5" fillId="34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5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64" fillId="3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8" fillId="0" borderId="0" xfId="21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8" fillId="0" borderId="0" xfId="21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6" fillId="0" borderId="0" xfId="21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8" fillId="0" borderId="0" xfId="21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0" fillId="0" borderId="21" xfId="21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0" fillId="0" borderId="2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0" fillId="0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5" fillId="0" borderId="2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0" fillId="0" borderId="30" xfId="21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3" fontId="7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7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8" fillId="3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0" fillId="34" borderId="0" xfId="21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3" fontId="70" fillId="3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70" fillId="3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0" fillId="0" borderId="0" xfId="214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8" fillId="0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8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6" fillId="0" borderId="0" xfId="214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8" fillId="0" borderId="0" xfId="214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2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0" fillId="0" borderId="2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0" fillId="0" borderId="0" xfId="21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8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14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4" fillId="0" borderId="2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64" fillId="0" borderId="2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4" fillId="0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91" fontId="64" fillId="0" borderId="2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3" fillId="0" borderId="25" xfId="0" applyFont="true" applyBorder="true" applyAlignment="true" applyProtection="false">
      <alignment horizontal="left" vertical="center" textRotation="90" wrapText="false" indent="0" shrinkToFit="false"/>
      <protection locked="true" hidden="false"/>
    </xf>
    <xf numFmtId="164" fontId="53" fillId="0" borderId="2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3" fillId="0" borderId="2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3" fillId="0" borderId="3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3" fillId="0" borderId="2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3" fillId="36" borderId="2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3" fillId="34" borderId="2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3" fillId="34" borderId="2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3" fillId="3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2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9" fontId="53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3" fillId="3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3" fillId="0" borderId="2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53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21" xfId="0" applyFont="true" applyBorder="true" applyAlignment="true" applyProtection="false">
      <alignment horizontal="left" vertical="center" textRotation="90" wrapText="false" indent="0" shrinkToFit="false"/>
      <protection locked="true" hidden="false"/>
    </xf>
    <xf numFmtId="164" fontId="53" fillId="34" borderId="2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3" fillId="0" borderId="2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3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3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3" fillId="34" borderId="21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53" fillId="34" borderId="20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8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2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5" fillId="0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2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62" fillId="0" borderId="21" xfId="0" applyFont="true" applyBorder="true" applyAlignment="true" applyProtection="false">
      <alignment horizontal="center" vertical="center" textRotation="88" wrapText="false" indent="0" shrinkToFit="false"/>
      <protection locked="true" hidden="false"/>
    </xf>
    <xf numFmtId="164" fontId="62" fillId="3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2" fillId="3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2" fillId="3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2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2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8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23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 2" xfId="21"/>
    <cellStyle name="20% - Accent1 3" xfId="22"/>
    <cellStyle name="20% - Accent1 4" xfId="23"/>
    <cellStyle name="20% - Accent1 5" xfId="24"/>
    <cellStyle name="20% - Accent1 6" xfId="25"/>
    <cellStyle name="20% - Accent2 2" xfId="26"/>
    <cellStyle name="20% - Accent2 3" xfId="27"/>
    <cellStyle name="20% - Accent2 4" xfId="28"/>
    <cellStyle name="20% - Accent2 5" xfId="29"/>
    <cellStyle name="20% - Accent2 6" xfId="30"/>
    <cellStyle name="20% - Accent3 2" xfId="31"/>
    <cellStyle name="20% - Accent3 3" xfId="32"/>
    <cellStyle name="20% - Accent3 4" xfId="33"/>
    <cellStyle name="20% - Accent3 5" xfId="34"/>
    <cellStyle name="20% - Accent3 6" xfId="35"/>
    <cellStyle name="20% - Accent4 2" xfId="36"/>
    <cellStyle name="20% - Accent4 3" xfId="37"/>
    <cellStyle name="20% - Accent4 4" xfId="38"/>
    <cellStyle name="20% - Accent4 5" xfId="39"/>
    <cellStyle name="20% - Accent4 6" xfId="40"/>
    <cellStyle name="20% - Accent5 2" xfId="41"/>
    <cellStyle name="20% - Accent5 3" xfId="42"/>
    <cellStyle name="20% - Accent5 4" xfId="43"/>
    <cellStyle name="20% - Accent5 5" xfId="44"/>
    <cellStyle name="20% - Accent5 6" xfId="45"/>
    <cellStyle name="20% - Accent6 2" xfId="46"/>
    <cellStyle name="20% - Accent6 3" xfId="47"/>
    <cellStyle name="20% - Accent6 4" xfId="48"/>
    <cellStyle name="20% - Accent6 5" xfId="49"/>
    <cellStyle name="20% - Accent6 6" xfId="50"/>
    <cellStyle name="40% - Accent1 2" xfId="51"/>
    <cellStyle name="40% - Accent1 3" xfId="52"/>
    <cellStyle name="40% - Accent1 4" xfId="53"/>
    <cellStyle name="40% - Accent1 5" xfId="54"/>
    <cellStyle name="40% - Accent1 6" xfId="55"/>
    <cellStyle name="40% - Accent2 2" xfId="56"/>
    <cellStyle name="40% - Accent2 3" xfId="57"/>
    <cellStyle name="40% - Accent2 4" xfId="58"/>
    <cellStyle name="40% - Accent2 5" xfId="59"/>
    <cellStyle name="40% - Accent2 6" xfId="60"/>
    <cellStyle name="40% - Accent3 2" xfId="61"/>
    <cellStyle name="40% - Accent3 3" xfId="62"/>
    <cellStyle name="40% - Accent3 4" xfId="63"/>
    <cellStyle name="40% - Accent3 5" xfId="64"/>
    <cellStyle name="40% - Accent3 6" xfId="65"/>
    <cellStyle name="40% - Accent4 2" xfId="66"/>
    <cellStyle name="40% - Accent4 3" xfId="67"/>
    <cellStyle name="40% - Accent4 4" xfId="68"/>
    <cellStyle name="40% - Accent4 5" xfId="69"/>
    <cellStyle name="40% - Accent4 6" xfId="70"/>
    <cellStyle name="40% - Accent5 2" xfId="71"/>
    <cellStyle name="40% - Accent5 3" xfId="72"/>
    <cellStyle name="40% - Accent5 4" xfId="73"/>
    <cellStyle name="40% - Accent5 5" xfId="74"/>
    <cellStyle name="40% - Accent5 6" xfId="75"/>
    <cellStyle name="40% - Accent6 2" xfId="76"/>
    <cellStyle name="40% - Accent6 3" xfId="77"/>
    <cellStyle name="40% - Accent6 4" xfId="78"/>
    <cellStyle name="40% - Accent6 5" xfId="79"/>
    <cellStyle name="40% - Accent6 6" xfId="80"/>
    <cellStyle name="60% - Accent1 2" xfId="81"/>
    <cellStyle name="60% - Accent1 3" xfId="82"/>
    <cellStyle name="60% - Accent1 4" xfId="83"/>
    <cellStyle name="60% - Accent1 5" xfId="84"/>
    <cellStyle name="60% - Accent1 6" xfId="85"/>
    <cellStyle name="60% - Accent2 2" xfId="86"/>
    <cellStyle name="60% - Accent2 3" xfId="87"/>
    <cellStyle name="60% - Accent2 4" xfId="88"/>
    <cellStyle name="60% - Accent2 5" xfId="89"/>
    <cellStyle name="60% - Accent2 6" xfId="90"/>
    <cellStyle name="60% - Accent3 2" xfId="91"/>
    <cellStyle name="60% - Accent3 3" xfId="92"/>
    <cellStyle name="60% - Accent3 4" xfId="93"/>
    <cellStyle name="60% - Accent3 5" xfId="94"/>
    <cellStyle name="60% - Accent3 6" xfId="95"/>
    <cellStyle name="60% - Accent4 2" xfId="96"/>
    <cellStyle name="60% - Accent4 3" xfId="97"/>
    <cellStyle name="60% - Accent4 4" xfId="98"/>
    <cellStyle name="60% - Accent4 5" xfId="99"/>
    <cellStyle name="60% - Accent4 6" xfId="100"/>
    <cellStyle name="60% - Accent5 2" xfId="101"/>
    <cellStyle name="60% - Accent5 3" xfId="102"/>
    <cellStyle name="60% - Accent5 4" xfId="103"/>
    <cellStyle name="60% - Accent5 5" xfId="104"/>
    <cellStyle name="60% - Accent5 6" xfId="105"/>
    <cellStyle name="60% - Accent6 2" xfId="106"/>
    <cellStyle name="60% - Accent6 3" xfId="107"/>
    <cellStyle name="60% - Accent6 4" xfId="108"/>
    <cellStyle name="60% - Accent6 5" xfId="109"/>
    <cellStyle name="60% - Accent6 6" xfId="110"/>
    <cellStyle name="Accent1 2" xfId="111"/>
    <cellStyle name="Accent1 3" xfId="112"/>
    <cellStyle name="Accent1 4" xfId="113"/>
    <cellStyle name="Accent1 5" xfId="114"/>
    <cellStyle name="Accent1 6" xfId="115"/>
    <cellStyle name="Accent2 2" xfId="116"/>
    <cellStyle name="Accent2 3" xfId="117"/>
    <cellStyle name="Accent2 4" xfId="118"/>
    <cellStyle name="Accent2 5" xfId="119"/>
    <cellStyle name="Accent2 6" xfId="120"/>
    <cellStyle name="Accent3 2" xfId="121"/>
    <cellStyle name="Accent3 3" xfId="122"/>
    <cellStyle name="Accent3 4" xfId="123"/>
    <cellStyle name="Accent3 5" xfId="124"/>
    <cellStyle name="Accent3 6" xfId="125"/>
    <cellStyle name="Accent4 2" xfId="126"/>
    <cellStyle name="Accent4 3" xfId="127"/>
    <cellStyle name="Accent4 4" xfId="128"/>
    <cellStyle name="Accent4 5" xfId="129"/>
    <cellStyle name="Accent4 6" xfId="130"/>
    <cellStyle name="Accent5 2" xfId="131"/>
    <cellStyle name="Accent5 3" xfId="132"/>
    <cellStyle name="Accent5 4" xfId="133"/>
    <cellStyle name="Accent5 5" xfId="134"/>
    <cellStyle name="Accent5 6" xfId="135"/>
    <cellStyle name="Accent6 2" xfId="136"/>
    <cellStyle name="Accent6 3" xfId="137"/>
    <cellStyle name="Accent6 4" xfId="138"/>
    <cellStyle name="Accent6 5" xfId="139"/>
    <cellStyle name="Accent6 6" xfId="140"/>
    <cellStyle name="Bad 2" xfId="141"/>
    <cellStyle name="Bad 3" xfId="142"/>
    <cellStyle name="Bad 4" xfId="143"/>
    <cellStyle name="Bad 5" xfId="144"/>
    <cellStyle name="Bad 6" xfId="145"/>
    <cellStyle name="Calculation 2" xfId="146"/>
    <cellStyle name="Calculation 3" xfId="147"/>
    <cellStyle name="Calculation 4" xfId="148"/>
    <cellStyle name="Calculation 5" xfId="149"/>
    <cellStyle name="Calculation 6" xfId="150"/>
    <cellStyle name="Check Cell 2" xfId="151"/>
    <cellStyle name="Check Cell 3" xfId="152"/>
    <cellStyle name="Check Cell 4" xfId="153"/>
    <cellStyle name="Check Cell 5" xfId="154"/>
    <cellStyle name="Check Cell 6" xfId="155"/>
    <cellStyle name="Comma 2" xfId="156"/>
    <cellStyle name="Explanatory Text 2" xfId="157"/>
    <cellStyle name="Explanatory Text 3" xfId="158"/>
    <cellStyle name="Explanatory Text 4" xfId="159"/>
    <cellStyle name="Explanatory Text 5" xfId="160"/>
    <cellStyle name="Explanatory Text 6" xfId="161"/>
    <cellStyle name="Followed Hyperlink 2" xfId="162"/>
    <cellStyle name="Followed Hyperlink 3" xfId="163"/>
    <cellStyle name="Followed Hyperlink 4" xfId="164"/>
    <cellStyle name="Followed Hyperlink 5" xfId="165"/>
    <cellStyle name="Followed Hyperlink 6" xfId="166"/>
    <cellStyle name="Good 2" xfId="167"/>
    <cellStyle name="Good 3" xfId="168"/>
    <cellStyle name="Good 4" xfId="169"/>
    <cellStyle name="Good 5" xfId="170"/>
    <cellStyle name="Good 6" xfId="171"/>
    <cellStyle name="Heading 1 2" xfId="172"/>
    <cellStyle name="Heading 1 3" xfId="173"/>
    <cellStyle name="Heading 1 4" xfId="174"/>
    <cellStyle name="Heading 1 5" xfId="175"/>
    <cellStyle name="Heading 1 6" xfId="176"/>
    <cellStyle name="Heading 2 2" xfId="177"/>
    <cellStyle name="Heading 2 3" xfId="178"/>
    <cellStyle name="Heading 2 4" xfId="179"/>
    <cellStyle name="Heading 2 5" xfId="180"/>
    <cellStyle name="Heading 2 6" xfId="181"/>
    <cellStyle name="Heading 3 2" xfId="182"/>
    <cellStyle name="Heading 3 3" xfId="183"/>
    <cellStyle name="Heading 3 4" xfId="184"/>
    <cellStyle name="Heading 3 5" xfId="185"/>
    <cellStyle name="Heading 3 6" xfId="186"/>
    <cellStyle name="Heading 4 2" xfId="187"/>
    <cellStyle name="Heading 4 3" xfId="188"/>
    <cellStyle name="Heading 4 4" xfId="189"/>
    <cellStyle name="Heading 4 5" xfId="190"/>
    <cellStyle name="Heading 4 6" xfId="191"/>
    <cellStyle name="Hyperlink 2" xfId="192"/>
    <cellStyle name="Hyperlink 3" xfId="193"/>
    <cellStyle name="Hyperlink 4" xfId="194"/>
    <cellStyle name="Hyperlink 5" xfId="195"/>
    <cellStyle name="Hyperlink 6" xfId="196"/>
    <cellStyle name="Input 2" xfId="197"/>
    <cellStyle name="Input 3" xfId="198"/>
    <cellStyle name="Input 4" xfId="199"/>
    <cellStyle name="Input 5" xfId="200"/>
    <cellStyle name="Input 6" xfId="201"/>
    <cellStyle name="Linked Cell 2" xfId="202"/>
    <cellStyle name="Linked Cell 3" xfId="203"/>
    <cellStyle name="Linked Cell 4" xfId="204"/>
    <cellStyle name="Linked Cell 5" xfId="205"/>
    <cellStyle name="Linked Cell 6" xfId="206"/>
    <cellStyle name="Neutral 2" xfId="207"/>
    <cellStyle name="Neutral 3" xfId="208"/>
    <cellStyle name="Neutral 4" xfId="209"/>
    <cellStyle name="Neutral 5" xfId="210"/>
    <cellStyle name="Neutral 6" xfId="211"/>
    <cellStyle name="Normal 10" xfId="212"/>
    <cellStyle name="Normal 13" xfId="213"/>
    <cellStyle name="Normal 14" xfId="214"/>
    <cellStyle name="Normal 2" xfId="215"/>
    <cellStyle name="Normal 2 2" xfId="216"/>
    <cellStyle name="Normal 20" xfId="217"/>
    <cellStyle name="Normal 3 2" xfId="218"/>
    <cellStyle name="Normal 4 2" xfId="219"/>
    <cellStyle name="Normal 5 2" xfId="220"/>
    <cellStyle name="Normal 6" xfId="221"/>
    <cellStyle name="Normal 6 2" xfId="222"/>
    <cellStyle name="Normal 7" xfId="223"/>
    <cellStyle name="Normal 8" xfId="224"/>
    <cellStyle name="Normal 9" xfId="225"/>
    <cellStyle name="Note 2" xfId="226"/>
    <cellStyle name="Note 3" xfId="227"/>
    <cellStyle name="Note 4" xfId="228"/>
    <cellStyle name="Note 5" xfId="229"/>
    <cellStyle name="Note 6" xfId="230"/>
    <cellStyle name="Output 2" xfId="231"/>
    <cellStyle name="Output 3" xfId="232"/>
    <cellStyle name="Output 4" xfId="233"/>
    <cellStyle name="Output 5" xfId="234"/>
    <cellStyle name="Output 6" xfId="235"/>
    <cellStyle name="Title 2" xfId="236"/>
    <cellStyle name="Title 3" xfId="237"/>
    <cellStyle name="Title 4" xfId="238"/>
    <cellStyle name="Title 5" xfId="239"/>
    <cellStyle name="Title 6" xfId="240"/>
    <cellStyle name="Total 2" xfId="241"/>
    <cellStyle name="Total 3" xfId="242"/>
    <cellStyle name="Total 4" xfId="243"/>
    <cellStyle name="Total 5" xfId="244"/>
    <cellStyle name="Total 6" xfId="245"/>
    <cellStyle name="Warning Text 2" xfId="246"/>
    <cellStyle name="Warning Text 3" xfId="247"/>
    <cellStyle name="Warning Text 4" xfId="248"/>
    <cellStyle name="Warning Text 5" xfId="249"/>
    <cellStyle name="Warning Text 6" xfId="250"/>
    <cellStyle name="*unknown*" xfId="20" builtinId="8"/>
  </cellStyles>
  <dxfs count="12">
    <dxf>
      <font>
        <name val="Arial"/>
        <charset val="1"/>
        <family val="0"/>
      </font>
      <alignment horizontal="general" vertical="bottom" textRotation="0" wrapText="false" indent="0" shrinkToFit="false"/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</dxfs>
  <colors>
    <indexedColors>
      <rgbColor rgb="FF000000"/>
      <rgbColor rgb="FFFFFFFF"/>
      <rgbColor rgb="FFFF0000"/>
      <rgbColor rgb="FFD7E4BD"/>
      <rgbColor rgb="FF0000FF"/>
      <rgbColor rgb="FFFFFF00"/>
      <rgbColor rgb="FFF2DCDB"/>
      <rgbColor rgb="FFB7DEE8"/>
      <rgbColor rgb="FF9C0006"/>
      <rgbColor rgb="FF006100"/>
      <rgbColor rgb="FF000080"/>
      <rgbColor rgb="FF9C6500"/>
      <rgbColor rgb="FF800080"/>
      <rgbColor rgb="FFD7D7D7"/>
      <rgbColor rgb="FFCCC1DA"/>
      <rgbColor rgb="FF7F7F7F"/>
      <rgbColor rgb="FF95B3D7"/>
      <rgbColor rgb="FFC0504D"/>
      <rgbColor rgb="FFFFFFCC"/>
      <rgbColor rgb="FFDBEEF4"/>
      <rgbColor rgb="FFF2F2F2"/>
      <rgbColor rgb="FFF79646"/>
      <rgbColor rgb="FFE6E0EC"/>
      <rgbColor rgb="FFB9CDE5"/>
      <rgbColor rgb="FF000066"/>
      <rgbColor rgb="FFFDEADA"/>
      <rgbColor rgb="FFFCD5B5"/>
      <rgbColor rgb="FFC3D69B"/>
      <rgbColor rgb="FFEBF1DE"/>
      <rgbColor rgb="FF800000"/>
      <rgbColor rgb="FFD9D9D9"/>
      <rgbColor rgb="FF0000FF"/>
      <rgbColor rgb="FFA7C0DE"/>
      <rgbColor rgb="FFDCE6F2"/>
      <rgbColor rgb="FFC6EFCE"/>
      <rgbColor rgb="FFFFEB9C"/>
      <rgbColor rgb="FF93CDDD"/>
      <rgbColor rgb="FFD99694"/>
      <rgbColor rgb="FFB3A2C7"/>
      <rgbColor rgb="FFFFCC99"/>
      <rgbColor rgb="FF4F81BD"/>
      <rgbColor rgb="FF4BACC6"/>
      <rgbColor rgb="FF9BBB59"/>
      <rgbColor rgb="FFFAC090"/>
      <rgbColor rgb="FFFF8001"/>
      <rgbColor rgb="FFFA7D00"/>
      <rgbColor rgb="FF8064A2"/>
      <rgbColor rgb="FFA5A5A5"/>
      <rgbColor rgb="FF1F497D"/>
      <rgbColor rgb="FFB2B2B2"/>
      <rgbColor rgb="FF003300"/>
      <rgbColor rgb="FF262626"/>
      <rgbColor rgb="FFFFC7CE"/>
      <rgbColor rgb="FFE6B9B8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<Relationship Id="rId2" Type="http://schemas.openxmlformats.org/officeDocument/2006/relationships/image" Target="../media/image2.wmf"/><Relationship Id="rId3" Type="http://schemas.openxmlformats.org/officeDocument/2006/relationships/image" Target="../media/image3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281880</xdr:colOff>
      <xdr:row>37</xdr:row>
      <xdr:rowOff>91440</xdr:rowOff>
    </xdr:from>
    <xdr:to>
      <xdr:col>7</xdr:col>
      <xdr:colOff>98640</xdr:colOff>
      <xdr:row>41</xdr:row>
      <xdr:rowOff>163440</xdr:rowOff>
    </xdr:to>
    <xdr:pic>
      <xdr:nvPicPr>
        <xdr:cNvPr id="0" name="Picture 1562" descr=""/>
        <xdr:cNvPicPr/>
      </xdr:nvPicPr>
      <xdr:blipFill>
        <a:blip r:embed="rId1"/>
        <a:stretch/>
      </xdr:blipFill>
      <xdr:spPr>
        <a:xfrm>
          <a:off x="2729520" y="9997200"/>
          <a:ext cx="894960" cy="1024560"/>
        </a:xfrm>
        <a:prstGeom prst="rect">
          <a:avLst/>
        </a:prstGeom>
        <a:ln w="9525">
          <a:noFill/>
        </a:ln>
      </xdr:spPr>
    </xdr:pic>
    <xdr:clientData/>
  </xdr:twoCellAnchor>
  <xdr:twoCellAnchor editAs="twoCell">
    <xdr:from>
      <xdr:col>5</xdr:col>
      <xdr:colOff>281880</xdr:colOff>
      <xdr:row>37</xdr:row>
      <xdr:rowOff>91440</xdr:rowOff>
    </xdr:from>
    <xdr:to>
      <xdr:col>7</xdr:col>
      <xdr:colOff>98640</xdr:colOff>
      <xdr:row>41</xdr:row>
      <xdr:rowOff>163440</xdr:rowOff>
    </xdr:to>
    <xdr:pic>
      <xdr:nvPicPr>
        <xdr:cNvPr id="1" name="Picture 1562" descr=""/>
        <xdr:cNvPicPr/>
      </xdr:nvPicPr>
      <xdr:blipFill>
        <a:blip r:embed="rId2"/>
        <a:stretch/>
      </xdr:blipFill>
      <xdr:spPr>
        <a:xfrm>
          <a:off x="2729520" y="9997200"/>
          <a:ext cx="894960" cy="102456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2</xdr:col>
      <xdr:colOff>11880</xdr:colOff>
      <xdr:row>5</xdr:row>
      <xdr:rowOff>0</xdr:rowOff>
    </xdr:from>
    <xdr:to>
      <xdr:col>10</xdr:col>
      <xdr:colOff>59040</xdr:colOff>
      <xdr:row>23</xdr:row>
      <xdr:rowOff>628560</xdr:rowOff>
    </xdr:to>
    <xdr:pic>
      <xdr:nvPicPr>
        <xdr:cNvPr id="2" name="Picture 8" descr=""/>
        <xdr:cNvPicPr/>
      </xdr:nvPicPr>
      <xdr:blipFill>
        <a:blip r:embed="rId3"/>
        <a:stretch/>
      </xdr:blipFill>
      <xdr:spPr>
        <a:xfrm>
          <a:off x="525240" y="819000"/>
          <a:ext cx="5357880" cy="5581440"/>
        </a:xfrm>
        <a:prstGeom prst="rect">
          <a:avLst/>
        </a:prstGeom>
        <a:ln w="9525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R599"/>
  <sheetViews>
    <sheetView showFormulas="false" showGridLines="false" showRowColHeaders="true" showZeros="true" rightToLeft="false" tabSelected="false" showOutlineSymbols="true" defaultGridColor="true" view="normal" topLeftCell="A28" colorId="64" zoomScale="80" zoomScaleNormal="80" zoomScalePageLayoutView="100" workbookViewId="0">
      <selection pane="topLeft" activeCell="W17" activeCellId="0" sqref="W17"/>
    </sheetView>
  </sheetViews>
  <sheetFormatPr defaultColWidth="8.6875" defaultRowHeight="12.7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2" width="4.29"/>
    <col collapsed="false" customWidth="true" hidden="false" outlineLevel="0" max="3" min="3" style="0" width="5.14"/>
    <col collapsed="false" customWidth="true" hidden="false" outlineLevel="0" max="4" min="4" style="0" width="14.7"/>
    <col collapsed="false" customWidth="true" hidden="false" outlineLevel="0" max="5" min="5" style="0" width="7.57"/>
    <col collapsed="false" customWidth="true" hidden="false" outlineLevel="0" max="6" min="6" style="0" width="5.57"/>
    <col collapsed="false" customWidth="true" hidden="false" outlineLevel="0" max="7" min="7" style="0" width="9.71"/>
    <col collapsed="false" customWidth="true" hidden="false" outlineLevel="0" max="8" min="8" style="0" width="9.42"/>
    <col collapsed="false" customWidth="true" hidden="false" outlineLevel="0" max="10" min="9" style="0" width="11.57"/>
    <col collapsed="false" customWidth="true" hidden="false" outlineLevel="0" max="11" min="11" style="0" width="6.86"/>
    <col collapsed="false" customWidth="true" hidden="false" outlineLevel="0" max="12" min="12" style="3" width="4.71"/>
    <col collapsed="false" customWidth="true" hidden="false" outlineLevel="0" max="13" min="13" style="3" width="3.14"/>
    <col collapsed="false" customWidth="true" hidden="false" outlineLevel="0" max="14" min="14" style="3" width="7.42"/>
    <col collapsed="false" customWidth="true" hidden="false" outlineLevel="0" max="15" min="15" style="3" width="8.57"/>
    <col collapsed="false" customWidth="true" hidden="false" outlineLevel="0" max="18" min="16" style="3" width="9.14"/>
    <col collapsed="false" customWidth="true" hidden="false" outlineLevel="0" max="19" min="19" style="3" width="10.99"/>
    <col collapsed="false" customWidth="true" hidden="false" outlineLevel="0" max="96" min="20" style="3" width="9.14"/>
  </cols>
  <sheetData>
    <row r="1" customFormat="false" ht="12.75" hidden="false" customHeight="false" outlineLevel="0" collapsed="false">
      <c r="B1" s="4"/>
      <c r="C1" s="5"/>
      <c r="D1" s="5"/>
      <c r="E1" s="5"/>
      <c r="F1" s="5"/>
      <c r="G1" s="5"/>
      <c r="H1" s="5"/>
      <c r="I1" s="5"/>
      <c r="J1" s="5"/>
      <c r="K1" s="5"/>
    </row>
    <row r="2" customFormat="false" ht="12.75" hidden="false" customHeight="false" outlineLevel="0" collapsed="false">
      <c r="B2" s="6"/>
      <c r="C2" s="5"/>
      <c r="D2" s="5"/>
      <c r="E2" s="5"/>
      <c r="F2" s="5"/>
      <c r="G2" s="5"/>
      <c r="H2" s="5"/>
      <c r="I2" s="5"/>
      <c r="J2" s="5"/>
      <c r="K2" s="5"/>
    </row>
    <row r="3" customFormat="false" ht="12.75" hidden="false" customHeight="false" outlineLevel="0" collapsed="false">
      <c r="B3" s="6"/>
      <c r="C3" s="5"/>
      <c r="D3" s="5"/>
      <c r="E3" s="5"/>
      <c r="F3" s="5"/>
      <c r="G3" s="5"/>
      <c r="H3" s="5"/>
      <c r="I3" s="5"/>
      <c r="J3" s="5"/>
      <c r="K3" s="5"/>
    </row>
    <row r="4" customFormat="false" ht="12.75" hidden="false" customHeight="false" outlineLevel="0" collapsed="false">
      <c r="B4" s="6"/>
      <c r="C4" s="5"/>
      <c r="D4" s="5"/>
      <c r="E4" s="5"/>
      <c r="F4" s="5"/>
      <c r="G4" s="5"/>
      <c r="H4" s="5"/>
      <c r="I4" s="5"/>
      <c r="J4" s="5"/>
      <c r="K4" s="5"/>
      <c r="M4" s="7"/>
    </row>
    <row r="5" customFormat="false" ht="13.5" hidden="false" customHeight="false" outlineLevel="0" collapsed="false">
      <c r="B5" s="6"/>
      <c r="C5" s="5"/>
      <c r="D5" s="5"/>
      <c r="E5" s="5"/>
      <c r="F5" s="5"/>
      <c r="G5" s="5"/>
      <c r="H5" s="5"/>
      <c r="I5" s="5"/>
      <c r="J5" s="5"/>
      <c r="K5" s="5"/>
    </row>
    <row r="6" customFormat="false" ht="12.75" hidden="false" customHeight="false" outlineLevel="0" collapsed="false">
      <c r="B6" s="6"/>
      <c r="C6" s="5"/>
      <c r="D6" s="5"/>
      <c r="F6" s="5"/>
      <c r="G6" s="5"/>
      <c r="H6" s="5"/>
      <c r="I6" s="5"/>
      <c r="J6" s="5"/>
      <c r="K6" s="5"/>
      <c r="M6" s="8"/>
      <c r="N6" s="9"/>
      <c r="O6" s="9"/>
      <c r="P6" s="9"/>
      <c r="Q6" s="9"/>
      <c r="R6" s="9"/>
      <c r="S6" s="9"/>
      <c r="T6" s="10"/>
    </row>
    <row r="7" customFormat="false" ht="15.75" hidden="false" customHeight="false" outlineLevel="0" collapsed="false">
      <c r="A7" s="11"/>
      <c r="B7" s="6"/>
      <c r="C7" s="11"/>
      <c r="D7" s="12"/>
      <c r="E7" s="11"/>
      <c r="F7" s="11"/>
      <c r="G7" s="11"/>
      <c r="H7" s="5"/>
      <c r="I7" s="11"/>
      <c r="J7" s="11"/>
      <c r="K7" s="11"/>
      <c r="M7" s="13"/>
      <c r="N7" s="14"/>
      <c r="O7" s="14"/>
      <c r="P7" s="14"/>
      <c r="Q7" s="14"/>
      <c r="R7" s="14"/>
      <c r="S7" s="14"/>
      <c r="T7" s="15"/>
    </row>
    <row r="8" customFormat="false" ht="21" hidden="false" customHeight="false" outlineLevel="0" collapsed="false">
      <c r="A8" s="11"/>
      <c r="B8" s="6"/>
      <c r="C8" s="11"/>
      <c r="D8" s="12"/>
      <c r="E8" s="11"/>
      <c r="F8" s="11"/>
      <c r="G8" s="11"/>
      <c r="H8" s="11"/>
      <c r="I8" s="11"/>
      <c r="J8" s="11"/>
      <c r="K8" s="11"/>
      <c r="M8" s="13"/>
      <c r="N8" s="14"/>
      <c r="O8" s="14"/>
      <c r="P8" s="16"/>
      <c r="Q8" s="17" t="s">
        <v>0</v>
      </c>
      <c r="R8" s="16"/>
      <c r="S8" s="14"/>
      <c r="T8" s="15"/>
    </row>
    <row r="9" customFormat="false" ht="14.25" hidden="false" customHeight="true" outlineLevel="0" collapsed="false">
      <c r="A9" s="11"/>
      <c r="B9" s="6"/>
      <c r="C9" s="11"/>
      <c r="D9" s="12"/>
      <c r="E9" s="11"/>
      <c r="F9" s="11"/>
      <c r="G9" s="11"/>
      <c r="H9" s="11"/>
      <c r="I9" s="11"/>
      <c r="J9" s="11"/>
      <c r="K9" s="11"/>
      <c r="M9" s="13"/>
      <c r="N9" s="14"/>
      <c r="O9" s="14"/>
      <c r="P9" s="18"/>
      <c r="Q9" s="18"/>
      <c r="R9" s="18"/>
      <c r="S9" s="14"/>
      <c r="T9" s="15"/>
    </row>
    <row r="10" customFormat="false" ht="18.75" hidden="false" customHeight="true" outlineLevel="0" collapsed="false">
      <c r="A10" s="11"/>
      <c r="B10" s="6"/>
      <c r="C10" s="11"/>
      <c r="D10" s="12"/>
      <c r="E10" s="11"/>
      <c r="F10" s="11"/>
      <c r="G10" s="11"/>
      <c r="H10" s="11"/>
      <c r="I10" s="11"/>
      <c r="J10" s="11"/>
      <c r="K10" s="11"/>
      <c r="M10" s="13"/>
      <c r="N10" s="14"/>
      <c r="O10" s="14"/>
      <c r="P10" s="18"/>
      <c r="Q10" s="19" t="s">
        <v>1</v>
      </c>
      <c r="R10" s="18"/>
      <c r="S10" s="14"/>
      <c r="T10" s="15"/>
    </row>
    <row r="11" customFormat="false" ht="16.5" hidden="false" customHeight="true" outlineLevel="0" collapsed="false">
      <c r="A11" s="11"/>
      <c r="B11" s="6"/>
      <c r="C11" s="11"/>
      <c r="D11" s="12"/>
      <c r="E11" s="11"/>
      <c r="F11" s="11"/>
      <c r="G11" s="11"/>
      <c r="H11" s="11"/>
      <c r="I11" s="11"/>
      <c r="J11" s="11"/>
      <c r="K11" s="11"/>
      <c r="M11" s="13"/>
      <c r="N11" s="20"/>
      <c r="O11" s="21" t="s">
        <v>2</v>
      </c>
      <c r="P11" s="21"/>
      <c r="Q11" s="21"/>
      <c r="R11" s="21"/>
      <c r="S11" s="21"/>
      <c r="T11" s="15"/>
    </row>
    <row r="12" customFormat="false" ht="19.5" hidden="false" customHeight="true" outlineLevel="0" collapsed="false">
      <c r="A12" s="11"/>
      <c r="B12" s="6"/>
      <c r="C12" s="11"/>
      <c r="D12" s="12"/>
      <c r="E12" s="11"/>
      <c r="F12" s="11"/>
      <c r="G12" s="11"/>
      <c r="H12" s="11"/>
      <c r="I12" s="11"/>
      <c r="J12" s="11"/>
      <c r="K12" s="11"/>
      <c r="M12" s="13"/>
      <c r="N12" s="22" t="s">
        <v>3</v>
      </c>
      <c r="O12" s="22"/>
      <c r="P12" s="22"/>
      <c r="Q12" s="22"/>
      <c r="R12" s="22"/>
      <c r="S12" s="22"/>
      <c r="T12" s="15"/>
    </row>
    <row r="13" customFormat="false" ht="14.25" hidden="false" customHeight="true" outlineLevel="0" collapsed="false">
      <c r="A13" s="11"/>
      <c r="B13" s="6"/>
      <c r="C13" s="11"/>
      <c r="D13" s="12"/>
      <c r="E13" s="11"/>
      <c r="F13" s="11"/>
      <c r="G13" s="11"/>
      <c r="H13" s="11"/>
      <c r="I13" s="11"/>
      <c r="J13" s="11"/>
      <c r="K13" s="11"/>
      <c r="M13" s="13"/>
      <c r="N13" s="23"/>
      <c r="O13" s="23"/>
      <c r="P13" s="24"/>
      <c r="Q13" s="24"/>
      <c r="R13" s="24"/>
      <c r="S13" s="23"/>
      <c r="T13" s="15"/>
      <c r="W13" s="25"/>
      <c r="X13" s="26"/>
    </row>
    <row r="14" customFormat="false" ht="11.25" hidden="false" customHeight="true" outlineLevel="0" collapsed="false">
      <c r="A14" s="11"/>
      <c r="B14" s="6"/>
      <c r="C14" s="11"/>
      <c r="D14" s="12"/>
      <c r="E14" s="11"/>
      <c r="F14" s="11"/>
      <c r="G14" s="11"/>
      <c r="H14" s="11"/>
      <c r="I14" s="11"/>
      <c r="J14" s="11"/>
      <c r="K14" s="11"/>
      <c r="M14" s="13"/>
      <c r="N14" s="14"/>
      <c r="O14" s="14"/>
      <c r="P14" s="18"/>
      <c r="Q14" s="18"/>
      <c r="R14" s="18"/>
      <c r="S14" s="14"/>
      <c r="T14" s="15"/>
    </row>
    <row r="15" customFormat="false" ht="39.75" hidden="false" customHeight="true" outlineLevel="0" collapsed="false">
      <c r="A15" s="11"/>
      <c r="B15" s="6"/>
      <c r="C15" s="11"/>
      <c r="D15" s="12"/>
      <c r="E15" s="11"/>
      <c r="F15" s="27"/>
      <c r="G15" s="27"/>
      <c r="H15" s="27"/>
      <c r="I15" s="27"/>
      <c r="J15" s="27"/>
      <c r="K15" s="11"/>
      <c r="M15" s="13"/>
      <c r="N15" s="14"/>
      <c r="O15" s="14"/>
      <c r="P15" s="18"/>
      <c r="Q15" s="19" t="s">
        <v>4</v>
      </c>
      <c r="R15" s="18"/>
      <c r="S15" s="14"/>
      <c r="T15" s="15"/>
    </row>
    <row r="16" customFormat="false" ht="50.25" hidden="false" customHeight="true" outlineLevel="0" collapsed="false">
      <c r="A16" s="11"/>
      <c r="B16" s="6"/>
      <c r="C16" s="11"/>
      <c r="D16" s="12"/>
      <c r="E16" s="28"/>
      <c r="F16" s="28"/>
      <c r="G16" s="28"/>
      <c r="H16" s="28"/>
      <c r="I16" s="28"/>
      <c r="J16" s="28"/>
      <c r="K16" s="28"/>
      <c r="M16" s="13"/>
      <c r="N16" s="14"/>
      <c r="O16" s="14"/>
      <c r="P16" s="29" t="s">
        <v>5</v>
      </c>
      <c r="Q16" s="29"/>
      <c r="R16" s="29"/>
      <c r="S16" s="29"/>
      <c r="T16" s="15"/>
    </row>
    <row r="17" customFormat="false" ht="47.25" hidden="false" customHeight="true" outlineLevel="0" collapsed="false">
      <c r="A17" s="11"/>
      <c r="B17" s="6"/>
      <c r="C17" s="11"/>
      <c r="D17" s="12"/>
      <c r="E17" s="30"/>
      <c r="F17" s="31"/>
      <c r="G17" s="31"/>
      <c r="H17" s="31"/>
      <c r="I17" s="31"/>
      <c r="J17" s="31"/>
      <c r="K17" s="30"/>
      <c r="M17" s="13"/>
      <c r="N17" s="14"/>
      <c r="O17" s="14"/>
      <c r="P17" s="32" t="s">
        <v>6</v>
      </c>
      <c r="Q17" s="32"/>
      <c r="R17" s="32"/>
      <c r="S17" s="32"/>
      <c r="T17" s="15"/>
    </row>
    <row r="18" customFormat="false" ht="24.75" hidden="false" customHeight="true" outlineLevel="0" collapsed="false">
      <c r="A18" s="11"/>
      <c r="B18" s="6"/>
      <c r="C18" s="11"/>
      <c r="D18" s="12"/>
      <c r="E18" s="11"/>
      <c r="F18" s="11"/>
      <c r="G18" s="11"/>
      <c r="H18" s="11"/>
      <c r="I18" s="11"/>
      <c r="J18" s="11"/>
      <c r="K18" s="11"/>
      <c r="M18" s="13"/>
      <c r="N18" s="14"/>
      <c r="O18" s="33"/>
      <c r="P18" s="34" t="s">
        <v>7</v>
      </c>
      <c r="Q18" s="34"/>
      <c r="R18" s="34"/>
      <c r="S18" s="34"/>
      <c r="T18" s="15"/>
    </row>
    <row r="19" customFormat="false" ht="12" hidden="false" customHeight="true" outlineLevel="0" collapsed="false">
      <c r="A19" s="11"/>
      <c r="B19" s="6"/>
      <c r="C19" s="11"/>
      <c r="D19" s="12"/>
      <c r="E19" s="11"/>
      <c r="F19" s="11"/>
      <c r="G19" s="11"/>
      <c r="H19" s="11"/>
      <c r="I19" s="11"/>
      <c r="J19" s="11"/>
      <c r="K19" s="11"/>
      <c r="M19" s="13"/>
      <c r="N19" s="14"/>
      <c r="O19" s="33"/>
      <c r="P19" s="34"/>
      <c r="Q19" s="34"/>
      <c r="R19" s="34"/>
      <c r="S19" s="34"/>
      <c r="T19" s="15"/>
    </row>
    <row r="20" customFormat="false" ht="13.5" hidden="false" customHeight="true" outlineLevel="0" collapsed="false">
      <c r="A20" s="11"/>
      <c r="B20" s="6"/>
      <c r="C20" s="11"/>
      <c r="D20" s="12"/>
      <c r="E20" s="11"/>
      <c r="F20" s="11"/>
      <c r="G20" s="11"/>
      <c r="H20" s="11"/>
      <c r="I20" s="11"/>
      <c r="J20" s="11"/>
      <c r="K20" s="11"/>
      <c r="M20" s="13"/>
      <c r="N20" s="14"/>
      <c r="O20" s="33"/>
      <c r="P20" s="34"/>
      <c r="Q20" s="34"/>
      <c r="R20" s="34"/>
      <c r="S20" s="34"/>
      <c r="T20" s="15"/>
    </row>
    <row r="21" customFormat="false" ht="15" hidden="false" customHeight="true" outlineLevel="0" collapsed="false">
      <c r="A21" s="11"/>
      <c r="B21" s="6"/>
      <c r="C21" s="11"/>
      <c r="D21" s="12"/>
      <c r="E21" s="11"/>
      <c r="F21" s="11"/>
      <c r="G21" s="11"/>
      <c r="H21" s="11"/>
      <c r="I21" s="11"/>
      <c r="J21" s="11"/>
      <c r="K21" s="11"/>
      <c r="M21" s="13"/>
      <c r="N21" s="14"/>
      <c r="O21" s="35"/>
      <c r="P21" s="36" t="s">
        <v>8</v>
      </c>
      <c r="Q21" s="36"/>
      <c r="R21" s="36"/>
      <c r="S21" s="37"/>
      <c r="T21" s="15"/>
    </row>
    <row r="22" customFormat="false" ht="16.5" hidden="false" customHeight="true" outlineLevel="0" collapsed="false">
      <c r="A22" s="11"/>
      <c r="B22" s="6"/>
      <c r="C22" s="11"/>
      <c r="D22" s="12"/>
      <c r="E22" s="11"/>
      <c r="F22" s="11"/>
      <c r="G22" s="11"/>
      <c r="H22" s="11"/>
      <c r="I22" s="11"/>
      <c r="J22" s="11"/>
      <c r="K22" s="11"/>
      <c r="M22" s="13"/>
      <c r="N22" s="14"/>
      <c r="O22" s="14"/>
      <c r="P22" s="38" t="s">
        <v>9</v>
      </c>
      <c r="Q22" s="38"/>
      <c r="R22" s="38"/>
      <c r="S22" s="39"/>
      <c r="T22" s="15"/>
      <c r="U22" s="40"/>
    </row>
    <row r="23" customFormat="false" ht="27" hidden="false" customHeight="true" outlineLevel="0" collapsed="false">
      <c r="A23" s="11"/>
      <c r="B23" s="6"/>
      <c r="C23" s="11"/>
      <c r="D23" s="12"/>
      <c r="E23" s="11"/>
      <c r="F23" s="11"/>
      <c r="G23" s="11"/>
      <c r="H23" s="11"/>
      <c r="I23" s="11"/>
      <c r="J23" s="11"/>
      <c r="K23" s="11"/>
      <c r="M23" s="13"/>
      <c r="N23" s="14"/>
      <c r="O23" s="14"/>
      <c r="P23" s="41"/>
      <c r="Q23" s="41"/>
      <c r="R23" s="41"/>
      <c r="S23" s="41"/>
      <c r="T23" s="15"/>
    </row>
    <row r="24" customFormat="false" ht="49.5" hidden="false" customHeight="true" outlineLevel="0" collapsed="false">
      <c r="A24" s="11"/>
      <c r="B24" s="6"/>
      <c r="C24" s="11"/>
      <c r="D24" s="12"/>
      <c r="E24" s="11"/>
      <c r="F24" s="11"/>
      <c r="G24" s="11"/>
      <c r="H24" s="11"/>
      <c r="I24" s="11"/>
      <c r="J24" s="11"/>
      <c r="K24" s="11"/>
      <c r="M24" s="42"/>
      <c r="N24" s="43"/>
      <c r="O24" s="43"/>
      <c r="P24" s="44"/>
      <c r="Q24" s="44"/>
      <c r="R24" s="44"/>
      <c r="S24" s="43"/>
      <c r="T24" s="45"/>
    </row>
    <row r="25" customFormat="false" ht="15" hidden="false" customHeight="true" outlineLevel="0" collapsed="false">
      <c r="A25" s="11"/>
      <c r="B25" s="6"/>
      <c r="C25" s="11"/>
      <c r="D25" s="12"/>
      <c r="E25" s="11"/>
      <c r="F25" s="11"/>
      <c r="G25" s="11"/>
      <c r="H25" s="11"/>
      <c r="I25" s="11"/>
      <c r="J25" s="11"/>
      <c r="K25" s="11"/>
    </row>
    <row r="26" customFormat="false" ht="15" hidden="false" customHeight="true" outlineLevel="0" collapsed="false">
      <c r="A26" s="11"/>
      <c r="B26" s="6"/>
      <c r="C26" s="11"/>
      <c r="D26" s="12"/>
      <c r="E26" s="11"/>
      <c r="F26" s="11"/>
      <c r="G26" s="11"/>
      <c r="H26" s="11"/>
      <c r="I26" s="11"/>
      <c r="J26" s="11"/>
      <c r="K26" s="11"/>
    </row>
    <row r="27" customFormat="false" ht="15" hidden="false" customHeight="true" outlineLevel="0" collapsed="false">
      <c r="A27" s="11"/>
      <c r="B27" s="6"/>
      <c r="C27" s="11"/>
      <c r="D27" s="12"/>
      <c r="E27" s="11"/>
      <c r="F27" s="11"/>
      <c r="G27" s="11"/>
      <c r="H27" s="11"/>
      <c r="I27" s="11"/>
      <c r="J27" s="11"/>
      <c r="K27" s="11"/>
    </row>
    <row r="28" customFormat="false" ht="15" hidden="false" customHeight="true" outlineLevel="0" collapsed="false">
      <c r="A28" s="11"/>
      <c r="B28" s="6"/>
      <c r="C28" s="11"/>
      <c r="D28" s="12"/>
      <c r="E28" s="11"/>
      <c r="F28" s="11"/>
      <c r="G28" s="11"/>
      <c r="H28" s="11"/>
      <c r="I28" s="11"/>
      <c r="J28" s="11"/>
      <c r="K28" s="11"/>
    </row>
    <row r="29" customFormat="false" ht="15.75" hidden="false" customHeight="false" outlineLevel="0" collapsed="false">
      <c r="A29" s="11"/>
      <c r="B29" s="6"/>
      <c r="C29" s="11"/>
      <c r="D29" s="12"/>
      <c r="E29" s="11"/>
      <c r="F29" s="11"/>
      <c r="G29" s="11"/>
      <c r="H29" s="11"/>
      <c r="I29" s="11"/>
      <c r="J29" s="11"/>
      <c r="K29" s="11"/>
      <c r="N29" s="7"/>
      <c r="O29" s="7"/>
      <c r="P29" s="46"/>
      <c r="Q29" s="47"/>
      <c r="R29" s="47"/>
      <c r="S29" s="47"/>
      <c r="T29" s="7"/>
    </row>
    <row r="30" customFormat="false" ht="15.75" hidden="false" customHeight="false" outlineLevel="0" collapsed="false">
      <c r="A30" s="11"/>
      <c r="B30" s="6"/>
      <c r="C30" s="11"/>
      <c r="D30" s="12"/>
      <c r="E30" s="11"/>
      <c r="F30" s="11"/>
      <c r="G30" s="11"/>
      <c r="H30" s="11"/>
      <c r="I30" s="11"/>
      <c r="J30" s="11"/>
      <c r="K30" s="11"/>
      <c r="N30" s="7"/>
      <c r="O30" s="7"/>
      <c r="P30" s="7"/>
      <c r="Q30" s="7"/>
      <c r="R30" s="7"/>
      <c r="S30" s="7"/>
      <c r="T30" s="7"/>
    </row>
    <row r="31" customFormat="false" ht="41.25" hidden="false" customHeight="true" outlineLevel="0" collapsed="false">
      <c r="A31" s="11"/>
      <c r="B31" s="6"/>
      <c r="C31" s="48"/>
      <c r="D31" s="49"/>
      <c r="E31" s="49"/>
      <c r="F31" s="49"/>
      <c r="G31" s="49"/>
      <c r="H31" s="49"/>
      <c r="I31" s="49"/>
      <c r="J31" s="50"/>
      <c r="K31" s="11"/>
      <c r="M31" s="51" t="s">
        <v>10</v>
      </c>
      <c r="N31" s="51"/>
      <c r="O31" s="51"/>
      <c r="P31" s="51"/>
      <c r="Q31" s="51"/>
      <c r="R31" s="51"/>
      <c r="S31" s="51"/>
      <c r="T31" s="51"/>
    </row>
    <row r="32" s="55" customFormat="true" ht="27.75" hidden="false" customHeight="true" outlineLevel="0" collapsed="false">
      <c r="A32" s="52"/>
      <c r="B32" s="6"/>
      <c r="C32" s="53" t="s">
        <v>11</v>
      </c>
      <c r="D32" s="53"/>
      <c r="E32" s="53"/>
      <c r="F32" s="53"/>
      <c r="G32" s="53"/>
      <c r="H32" s="53"/>
      <c r="I32" s="53"/>
      <c r="J32" s="53"/>
      <c r="K32" s="54"/>
      <c r="L32" s="40"/>
      <c r="M32" s="51"/>
      <c r="N32" s="51"/>
      <c r="O32" s="51"/>
      <c r="P32" s="51"/>
      <c r="Q32" s="51"/>
      <c r="R32" s="51"/>
      <c r="S32" s="51"/>
      <c r="T32" s="51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</row>
    <row r="33" s="60" customFormat="true" ht="27" hidden="false" customHeight="true" outlineLevel="0" collapsed="false">
      <c r="A33" s="52"/>
      <c r="B33" s="56"/>
      <c r="C33" s="57" t="s">
        <v>12</v>
      </c>
      <c r="D33" s="57"/>
      <c r="E33" s="57"/>
      <c r="F33" s="57"/>
      <c r="G33" s="57"/>
      <c r="H33" s="57"/>
      <c r="I33" s="57"/>
      <c r="J33" s="57"/>
      <c r="K33" s="58"/>
      <c r="L33" s="59"/>
      <c r="M33" s="51"/>
      <c r="N33" s="51"/>
      <c r="O33" s="51"/>
      <c r="P33" s="51"/>
      <c r="Q33" s="51"/>
      <c r="R33" s="51"/>
      <c r="S33" s="51"/>
      <c r="T33" s="51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59"/>
      <c r="CH33" s="59"/>
      <c r="CI33" s="59"/>
      <c r="CJ33" s="59"/>
      <c r="CK33" s="59"/>
      <c r="CL33" s="59"/>
      <c r="CM33" s="59"/>
      <c r="CN33" s="59"/>
      <c r="CO33" s="59"/>
      <c r="CP33" s="59"/>
      <c r="CQ33" s="59"/>
      <c r="CR33" s="59"/>
    </row>
    <row r="34" s="60" customFormat="true" ht="24.75" hidden="false" customHeight="true" outlineLevel="0" collapsed="false">
      <c r="A34" s="52"/>
      <c r="B34" s="56"/>
      <c r="C34" s="61" t="s">
        <v>13</v>
      </c>
      <c r="D34" s="61"/>
      <c r="E34" s="61"/>
      <c r="F34" s="61"/>
      <c r="G34" s="61"/>
      <c r="H34" s="61"/>
      <c r="I34" s="61"/>
      <c r="J34" s="61"/>
      <c r="K34" s="62"/>
      <c r="L34" s="59"/>
      <c r="M34" s="51"/>
      <c r="N34" s="51"/>
      <c r="O34" s="51"/>
      <c r="P34" s="51"/>
      <c r="Q34" s="51"/>
      <c r="R34" s="51"/>
      <c r="S34" s="51"/>
      <c r="T34" s="51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59"/>
      <c r="CC34" s="59"/>
      <c r="CD34" s="59"/>
      <c r="CE34" s="59"/>
      <c r="CF34" s="59"/>
      <c r="CG34" s="59"/>
      <c r="CH34" s="59"/>
      <c r="CI34" s="59"/>
      <c r="CJ34" s="59"/>
      <c r="CK34" s="59"/>
      <c r="CL34" s="59"/>
      <c r="CM34" s="59"/>
      <c r="CN34" s="59"/>
      <c r="CO34" s="59"/>
      <c r="CP34" s="59"/>
      <c r="CQ34" s="59"/>
      <c r="CR34" s="59"/>
    </row>
    <row r="35" s="5" customFormat="true" ht="24" hidden="false" customHeight="true" outlineLevel="0" collapsed="false">
      <c r="A35" s="11"/>
      <c r="B35" s="63"/>
      <c r="C35" s="64"/>
      <c r="D35" s="65"/>
      <c r="E35" s="65"/>
      <c r="F35" s="65"/>
      <c r="G35" s="65"/>
      <c r="H35" s="65"/>
      <c r="I35" s="65"/>
      <c r="J35" s="66"/>
      <c r="K35" s="67"/>
      <c r="L35" s="7"/>
      <c r="M35" s="68"/>
      <c r="N35" s="69"/>
      <c r="O35" s="70" t="s">
        <v>14</v>
      </c>
      <c r="P35" s="70"/>
      <c r="Q35" s="70"/>
      <c r="R35" s="70"/>
      <c r="S35" s="70"/>
      <c r="T35" s="70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</row>
    <row r="36" s="3" customFormat="true" ht="20.25" hidden="false" customHeight="true" outlineLevel="0" collapsed="false">
      <c r="B36" s="2"/>
      <c r="C36" s="71"/>
      <c r="D36" s="72"/>
      <c r="E36" s="72"/>
      <c r="F36" s="72"/>
      <c r="G36" s="72"/>
      <c r="H36" s="72"/>
      <c r="I36" s="72"/>
      <c r="J36" s="73"/>
      <c r="K36" s="74"/>
      <c r="M36" s="75"/>
      <c r="N36" s="18"/>
      <c r="O36" s="76" t="s">
        <v>15</v>
      </c>
      <c r="P36" s="76"/>
      <c r="Q36" s="76"/>
      <c r="R36" s="77"/>
      <c r="S36" s="77"/>
      <c r="T36" s="78"/>
    </row>
    <row r="37" s="3" customFormat="true" ht="19.5" hidden="false" customHeight="true" outlineLevel="0" collapsed="false">
      <c r="B37" s="2"/>
      <c r="C37" s="71"/>
      <c r="D37" s="72"/>
      <c r="E37" s="72"/>
      <c r="F37" s="72"/>
      <c r="G37" s="72"/>
      <c r="H37" s="72"/>
      <c r="I37" s="72"/>
      <c r="J37" s="73"/>
      <c r="K37" s="74"/>
      <c r="M37" s="75"/>
      <c r="N37" s="18"/>
      <c r="O37" s="76" t="s">
        <v>16</v>
      </c>
      <c r="P37" s="76"/>
      <c r="Q37" s="76"/>
      <c r="R37" s="76"/>
      <c r="S37" s="79"/>
      <c r="T37" s="80"/>
    </row>
    <row r="38" s="3" customFormat="true" ht="17.25" hidden="false" customHeight="true" outlineLevel="0" collapsed="false">
      <c r="B38" s="2"/>
      <c r="C38" s="71"/>
      <c r="D38" s="72"/>
      <c r="E38" s="72"/>
      <c r="F38" s="72"/>
      <c r="G38" s="72"/>
      <c r="H38" s="72"/>
      <c r="I38" s="72"/>
      <c r="J38" s="73"/>
      <c r="K38" s="74"/>
      <c r="M38" s="75"/>
      <c r="N38" s="81"/>
      <c r="O38" s="76" t="s">
        <v>17</v>
      </c>
      <c r="P38" s="76"/>
      <c r="Q38" s="76"/>
      <c r="R38" s="76"/>
      <c r="S38" s="76"/>
      <c r="T38" s="80"/>
    </row>
    <row r="39" s="3" customFormat="true" ht="17.25" hidden="false" customHeight="true" outlineLevel="0" collapsed="false">
      <c r="B39" s="2"/>
      <c r="C39" s="71"/>
      <c r="D39" s="72"/>
      <c r="E39" s="72"/>
      <c r="F39" s="72"/>
      <c r="G39" s="72"/>
      <c r="H39" s="72"/>
      <c r="I39" s="72"/>
      <c r="J39" s="73"/>
      <c r="K39" s="74"/>
      <c r="M39" s="82"/>
      <c r="N39" s="81"/>
      <c r="O39" s="76" t="s">
        <v>18</v>
      </c>
      <c r="P39" s="76"/>
      <c r="Q39" s="76"/>
      <c r="R39" s="76"/>
      <c r="S39" s="76"/>
      <c r="T39" s="80"/>
    </row>
    <row r="40" s="3" customFormat="true" ht="24.75" hidden="false" customHeight="true" outlineLevel="0" collapsed="false">
      <c r="B40" s="2"/>
      <c r="C40" s="71"/>
      <c r="D40" s="72"/>
      <c r="E40" s="72"/>
      <c r="F40" s="72"/>
      <c r="G40" s="72"/>
      <c r="H40" s="72"/>
      <c r="I40" s="72"/>
      <c r="J40" s="73"/>
      <c r="K40" s="74"/>
      <c r="M40" s="82"/>
      <c r="N40" s="81"/>
      <c r="O40" s="83" t="s">
        <v>19</v>
      </c>
      <c r="P40" s="83"/>
      <c r="Q40" s="83"/>
      <c r="R40" s="83"/>
      <c r="S40" s="83"/>
      <c r="T40" s="84"/>
    </row>
    <row r="41" s="3" customFormat="true" ht="15.75" hidden="false" customHeight="true" outlineLevel="0" collapsed="false">
      <c r="B41" s="2"/>
      <c r="C41" s="85"/>
      <c r="D41" s="86"/>
      <c r="E41" s="86"/>
      <c r="F41" s="86"/>
      <c r="G41" s="86"/>
      <c r="H41" s="86"/>
      <c r="I41" s="86"/>
      <c r="J41" s="87"/>
      <c r="K41" s="74"/>
      <c r="M41" s="82"/>
      <c r="N41" s="81"/>
      <c r="O41" s="88" t="s">
        <v>20</v>
      </c>
      <c r="P41" s="88"/>
      <c r="Q41" s="88"/>
      <c r="R41" s="81"/>
      <c r="S41" s="81"/>
      <c r="T41" s="84"/>
    </row>
    <row r="42" s="3" customFormat="true" ht="22.5" hidden="false" customHeight="true" outlineLevel="0" collapsed="false">
      <c r="B42" s="2"/>
      <c r="C42" s="89" t="s">
        <v>16</v>
      </c>
      <c r="D42" s="89"/>
      <c r="E42" s="89"/>
      <c r="F42" s="89"/>
      <c r="G42" s="89"/>
      <c r="H42" s="89"/>
      <c r="I42" s="89"/>
      <c r="J42" s="89"/>
      <c r="K42" s="90"/>
      <c r="M42" s="82"/>
      <c r="N42" s="81"/>
      <c r="O42" s="88" t="s">
        <v>16</v>
      </c>
      <c r="P42" s="88"/>
      <c r="Q42" s="88"/>
      <c r="R42" s="91"/>
      <c r="S42" s="81"/>
      <c r="T42" s="84"/>
    </row>
    <row r="43" s="3" customFormat="true" ht="18.75" hidden="false" customHeight="true" outlineLevel="0" collapsed="false">
      <c r="B43" s="2"/>
      <c r="C43" s="89" t="s">
        <v>21</v>
      </c>
      <c r="D43" s="89"/>
      <c r="E43" s="89"/>
      <c r="F43" s="89"/>
      <c r="G43" s="89"/>
      <c r="H43" s="89"/>
      <c r="I43" s="89"/>
      <c r="J43" s="89"/>
      <c r="K43" s="90"/>
      <c r="M43" s="75"/>
      <c r="N43" s="18"/>
      <c r="O43" s="88" t="s">
        <v>17</v>
      </c>
      <c r="P43" s="88"/>
      <c r="Q43" s="88"/>
      <c r="R43" s="18"/>
      <c r="S43" s="18"/>
      <c r="T43" s="84"/>
    </row>
    <row r="44" s="3" customFormat="true" ht="14.25" hidden="false" customHeight="true" outlineLevel="0" collapsed="false">
      <c r="B44" s="2"/>
      <c r="C44" s="92"/>
      <c r="D44" s="93"/>
      <c r="E44" s="93"/>
      <c r="F44" s="93"/>
      <c r="G44" s="93"/>
      <c r="H44" s="93"/>
      <c r="I44" s="93"/>
      <c r="J44" s="94"/>
      <c r="K44" s="7"/>
      <c r="M44" s="75"/>
      <c r="N44" s="18"/>
      <c r="O44" s="88" t="s">
        <v>22</v>
      </c>
      <c r="P44" s="88"/>
      <c r="Q44" s="88"/>
      <c r="R44" s="18"/>
      <c r="S44" s="18"/>
      <c r="T44" s="84"/>
    </row>
    <row r="45" s="3" customFormat="true" ht="14.25" hidden="false" customHeight="true" outlineLevel="0" collapsed="false">
      <c r="B45" s="2"/>
      <c r="C45" s="92"/>
      <c r="D45" s="93"/>
      <c r="E45" s="93"/>
      <c r="F45" s="93"/>
      <c r="G45" s="93"/>
      <c r="H45" s="93"/>
      <c r="I45" s="93"/>
      <c r="J45" s="94"/>
      <c r="K45" s="7"/>
      <c r="M45" s="75"/>
      <c r="N45" s="18"/>
      <c r="O45" s="88"/>
      <c r="P45" s="88"/>
      <c r="Q45" s="88"/>
      <c r="R45" s="18"/>
      <c r="S45" s="18"/>
      <c r="T45" s="84"/>
    </row>
    <row r="46" s="3" customFormat="true" ht="16.5" hidden="false" customHeight="true" outlineLevel="0" collapsed="false">
      <c r="B46" s="2"/>
      <c r="C46" s="92"/>
      <c r="D46" s="93"/>
      <c r="E46" s="93"/>
      <c r="F46" s="93"/>
      <c r="G46" s="93"/>
      <c r="H46" s="93"/>
      <c r="I46" s="93"/>
      <c r="J46" s="94"/>
      <c r="K46" s="7"/>
      <c r="M46" s="75"/>
      <c r="N46" s="18"/>
      <c r="O46" s="70" t="s">
        <v>23</v>
      </c>
      <c r="P46" s="70"/>
      <c r="Q46" s="70"/>
      <c r="R46" s="70"/>
      <c r="S46" s="70"/>
      <c r="T46" s="70"/>
    </row>
    <row r="47" s="3" customFormat="true" ht="14.25" hidden="false" customHeight="true" outlineLevel="0" collapsed="false">
      <c r="B47" s="2"/>
      <c r="C47" s="92"/>
      <c r="D47" s="93"/>
      <c r="E47" s="93"/>
      <c r="F47" s="93"/>
      <c r="G47" s="93"/>
      <c r="H47" s="93"/>
      <c r="I47" s="93"/>
      <c r="J47" s="94"/>
      <c r="K47" s="7"/>
      <c r="M47" s="75"/>
      <c r="N47" s="18"/>
      <c r="O47" s="76" t="s">
        <v>24</v>
      </c>
      <c r="P47" s="76"/>
      <c r="Q47" s="76"/>
      <c r="R47" s="18"/>
      <c r="S47" s="18"/>
      <c r="T47" s="84"/>
    </row>
    <row r="48" s="3" customFormat="true" ht="14.25" hidden="false" customHeight="true" outlineLevel="0" collapsed="false">
      <c r="B48" s="2"/>
      <c r="C48" s="92"/>
      <c r="D48" s="93"/>
      <c r="E48" s="93"/>
      <c r="F48" s="93"/>
      <c r="G48" s="93"/>
      <c r="H48" s="93"/>
      <c r="I48" s="93"/>
      <c r="J48" s="94"/>
      <c r="K48" s="7"/>
      <c r="M48" s="75"/>
      <c r="N48" s="18"/>
      <c r="O48" s="76" t="s">
        <v>16</v>
      </c>
      <c r="P48" s="76"/>
      <c r="Q48" s="76"/>
      <c r="R48" s="18"/>
      <c r="S48" s="18"/>
      <c r="T48" s="84"/>
    </row>
    <row r="49" s="3" customFormat="true" ht="14.25" hidden="false" customHeight="true" outlineLevel="0" collapsed="false">
      <c r="B49" s="2"/>
      <c r="C49" s="92"/>
      <c r="D49" s="93"/>
      <c r="E49" s="93"/>
      <c r="F49" s="93"/>
      <c r="G49" s="93"/>
      <c r="H49" s="93"/>
      <c r="I49" s="93"/>
      <c r="J49" s="94"/>
      <c r="K49" s="7"/>
      <c r="M49" s="75"/>
      <c r="N49" s="18"/>
      <c r="O49" s="76" t="s">
        <v>17</v>
      </c>
      <c r="P49" s="76"/>
      <c r="Q49" s="76"/>
      <c r="R49" s="18"/>
      <c r="S49" s="18"/>
      <c r="T49" s="84"/>
    </row>
    <row r="50" s="3" customFormat="true" ht="14.25" hidden="false" customHeight="true" outlineLevel="0" collapsed="false">
      <c r="B50" s="2"/>
      <c r="C50" s="92"/>
      <c r="D50" s="93"/>
      <c r="E50" s="93"/>
      <c r="F50" s="93"/>
      <c r="G50" s="93"/>
      <c r="H50" s="93"/>
      <c r="I50" s="93"/>
      <c r="J50" s="94"/>
      <c r="K50" s="7"/>
      <c r="M50" s="75"/>
      <c r="N50" s="18"/>
      <c r="O50" s="88" t="s">
        <v>22</v>
      </c>
      <c r="P50" s="88"/>
      <c r="Q50" s="88"/>
      <c r="R50" s="18"/>
      <c r="S50" s="18"/>
      <c r="T50" s="84"/>
    </row>
    <row r="51" s="3" customFormat="true" ht="24" hidden="false" customHeight="true" outlineLevel="0" collapsed="false">
      <c r="B51" s="2"/>
      <c r="C51" s="42"/>
      <c r="D51" s="95"/>
      <c r="E51" s="95"/>
      <c r="F51" s="95"/>
      <c r="G51" s="95"/>
      <c r="H51" s="95"/>
      <c r="I51" s="95"/>
      <c r="J51" s="45"/>
      <c r="K51" s="7"/>
      <c r="M51" s="96"/>
      <c r="N51" s="97"/>
      <c r="O51" s="97"/>
      <c r="P51" s="97"/>
      <c r="Q51" s="97"/>
      <c r="R51" s="97"/>
      <c r="S51" s="97"/>
      <c r="T51" s="98"/>
    </row>
    <row r="52" s="3" customFormat="true" ht="12.75" hidden="false" customHeight="false" outlineLevel="0" collapsed="false">
      <c r="B52" s="2"/>
      <c r="C52" s="7"/>
      <c r="D52" s="7"/>
      <c r="E52" s="7"/>
      <c r="F52" s="7"/>
      <c r="G52" s="7"/>
      <c r="H52" s="7"/>
      <c r="I52" s="7"/>
      <c r="J52" s="7"/>
      <c r="K52" s="7"/>
    </row>
    <row r="53" s="3" customFormat="true" ht="12.75" hidden="false" customHeight="false" outlineLevel="0" collapsed="false">
      <c r="B53" s="2"/>
    </row>
    <row r="54" s="3" customFormat="true" ht="12.75" hidden="false" customHeight="false" outlineLevel="0" collapsed="false">
      <c r="B54" s="2"/>
    </row>
    <row r="55" s="3" customFormat="true" ht="12.75" hidden="false" customHeight="false" outlineLevel="0" collapsed="false">
      <c r="B55" s="2"/>
    </row>
    <row r="56" s="3" customFormat="true" ht="12.75" hidden="false" customHeight="false" outlineLevel="0" collapsed="false">
      <c r="B56" s="2"/>
    </row>
    <row r="57" s="3" customFormat="true" ht="12.75" hidden="false" customHeight="false" outlineLevel="0" collapsed="false">
      <c r="B57" s="2"/>
    </row>
    <row r="58" s="3" customFormat="true" ht="12.75" hidden="false" customHeight="false" outlineLevel="0" collapsed="false">
      <c r="B58" s="2"/>
    </row>
    <row r="59" s="3" customFormat="true" ht="12.75" hidden="false" customHeight="false" outlineLevel="0" collapsed="false">
      <c r="B59" s="2"/>
    </row>
    <row r="60" s="3" customFormat="true" ht="12.75" hidden="false" customHeight="false" outlineLevel="0" collapsed="false">
      <c r="B60" s="2"/>
    </row>
    <row r="61" s="3" customFormat="true" ht="12.75" hidden="false" customHeight="false" outlineLevel="0" collapsed="false">
      <c r="B61" s="2"/>
    </row>
    <row r="62" s="3" customFormat="true" ht="12.75" hidden="false" customHeight="false" outlineLevel="0" collapsed="false">
      <c r="B62" s="2"/>
    </row>
    <row r="63" s="3" customFormat="true" ht="12.75" hidden="false" customHeight="false" outlineLevel="0" collapsed="false">
      <c r="B63" s="2"/>
    </row>
    <row r="64" s="3" customFormat="true" ht="12.75" hidden="false" customHeight="false" outlineLevel="0" collapsed="false">
      <c r="B64" s="2"/>
    </row>
    <row r="65" s="3" customFormat="true" ht="12.75" hidden="false" customHeight="false" outlineLevel="0" collapsed="false">
      <c r="B65" s="2"/>
    </row>
    <row r="66" s="3" customFormat="true" ht="12.75" hidden="false" customHeight="false" outlineLevel="0" collapsed="false">
      <c r="B66" s="2"/>
    </row>
    <row r="67" s="3" customFormat="true" ht="12.75" hidden="false" customHeight="false" outlineLevel="0" collapsed="false">
      <c r="B67" s="2"/>
    </row>
    <row r="68" s="3" customFormat="true" ht="12.75" hidden="false" customHeight="false" outlineLevel="0" collapsed="false">
      <c r="B68" s="2"/>
    </row>
    <row r="69" s="3" customFormat="true" ht="12.75" hidden="false" customHeight="false" outlineLevel="0" collapsed="false">
      <c r="B69" s="2"/>
    </row>
    <row r="70" s="3" customFormat="true" ht="12.75" hidden="false" customHeight="false" outlineLevel="0" collapsed="false">
      <c r="B70" s="2"/>
    </row>
    <row r="71" s="3" customFormat="true" ht="12.75" hidden="false" customHeight="false" outlineLevel="0" collapsed="false">
      <c r="B71" s="2"/>
    </row>
    <row r="72" s="3" customFormat="true" ht="12.75" hidden="false" customHeight="false" outlineLevel="0" collapsed="false">
      <c r="B72" s="2"/>
    </row>
    <row r="73" s="3" customFormat="true" ht="12.75" hidden="false" customHeight="false" outlineLevel="0" collapsed="false">
      <c r="B73" s="2"/>
    </row>
    <row r="74" s="3" customFormat="true" ht="12.75" hidden="false" customHeight="false" outlineLevel="0" collapsed="false">
      <c r="B74" s="2"/>
    </row>
    <row r="75" s="3" customFormat="true" ht="12.75" hidden="false" customHeight="false" outlineLevel="0" collapsed="false">
      <c r="B75" s="2"/>
    </row>
    <row r="76" s="3" customFormat="true" ht="12.75" hidden="false" customHeight="false" outlineLevel="0" collapsed="false">
      <c r="B76" s="2"/>
    </row>
    <row r="77" s="3" customFormat="true" ht="12.75" hidden="false" customHeight="false" outlineLevel="0" collapsed="false">
      <c r="B77" s="2"/>
    </row>
    <row r="78" s="3" customFormat="true" ht="12.75" hidden="false" customHeight="false" outlineLevel="0" collapsed="false">
      <c r="B78" s="2"/>
    </row>
    <row r="79" s="3" customFormat="true" ht="12.75" hidden="false" customHeight="false" outlineLevel="0" collapsed="false">
      <c r="B79" s="2"/>
    </row>
    <row r="80" s="3" customFormat="true" ht="12.75" hidden="false" customHeight="false" outlineLevel="0" collapsed="false">
      <c r="B80" s="2"/>
    </row>
    <row r="81" s="3" customFormat="true" ht="12.75" hidden="false" customHeight="false" outlineLevel="0" collapsed="false">
      <c r="B81" s="2"/>
    </row>
    <row r="82" s="3" customFormat="true" ht="12.75" hidden="false" customHeight="false" outlineLevel="0" collapsed="false">
      <c r="B82" s="2"/>
    </row>
    <row r="83" s="3" customFormat="true" ht="12.75" hidden="false" customHeight="false" outlineLevel="0" collapsed="false">
      <c r="B83" s="2"/>
    </row>
    <row r="84" s="3" customFormat="true" ht="12.75" hidden="false" customHeight="false" outlineLevel="0" collapsed="false">
      <c r="B84" s="2"/>
    </row>
    <row r="85" s="3" customFormat="true" ht="12.75" hidden="false" customHeight="false" outlineLevel="0" collapsed="false">
      <c r="B85" s="2"/>
    </row>
    <row r="86" s="3" customFormat="true" ht="12.75" hidden="false" customHeight="false" outlineLevel="0" collapsed="false">
      <c r="B86" s="2"/>
    </row>
    <row r="87" s="3" customFormat="true" ht="12.75" hidden="false" customHeight="false" outlineLevel="0" collapsed="false">
      <c r="B87" s="2"/>
    </row>
    <row r="88" s="3" customFormat="true" ht="12.75" hidden="false" customHeight="false" outlineLevel="0" collapsed="false">
      <c r="B88" s="2"/>
    </row>
    <row r="89" s="3" customFormat="true" ht="12.75" hidden="false" customHeight="false" outlineLevel="0" collapsed="false">
      <c r="B89" s="2"/>
    </row>
    <row r="90" s="3" customFormat="true" ht="12.75" hidden="false" customHeight="false" outlineLevel="0" collapsed="false">
      <c r="B90" s="2"/>
    </row>
    <row r="91" s="3" customFormat="true" ht="12.75" hidden="false" customHeight="false" outlineLevel="0" collapsed="false">
      <c r="B91" s="2"/>
    </row>
    <row r="92" s="3" customFormat="true" ht="12.75" hidden="false" customHeight="false" outlineLevel="0" collapsed="false">
      <c r="B92" s="2"/>
    </row>
    <row r="93" s="3" customFormat="true" ht="12.75" hidden="false" customHeight="false" outlineLevel="0" collapsed="false">
      <c r="B93" s="2"/>
    </row>
    <row r="94" s="3" customFormat="true" ht="12.75" hidden="false" customHeight="false" outlineLevel="0" collapsed="false">
      <c r="B94" s="2"/>
    </row>
    <row r="95" s="3" customFormat="true" ht="12.75" hidden="false" customHeight="false" outlineLevel="0" collapsed="false">
      <c r="B95" s="2"/>
    </row>
    <row r="96" s="3" customFormat="true" ht="12.75" hidden="false" customHeight="false" outlineLevel="0" collapsed="false">
      <c r="B96" s="2"/>
    </row>
    <row r="97" s="3" customFormat="true" ht="12.75" hidden="false" customHeight="false" outlineLevel="0" collapsed="false">
      <c r="B97" s="2"/>
    </row>
    <row r="98" s="3" customFormat="true" ht="12.75" hidden="false" customHeight="false" outlineLevel="0" collapsed="false">
      <c r="B98" s="2"/>
    </row>
    <row r="99" s="3" customFormat="true" ht="12.75" hidden="false" customHeight="false" outlineLevel="0" collapsed="false">
      <c r="B99" s="2"/>
    </row>
    <row r="100" s="3" customFormat="true" ht="12.75" hidden="false" customHeight="false" outlineLevel="0" collapsed="false">
      <c r="B100" s="2"/>
    </row>
    <row r="101" s="3" customFormat="true" ht="12.75" hidden="false" customHeight="false" outlineLevel="0" collapsed="false">
      <c r="B101" s="2"/>
    </row>
    <row r="102" s="3" customFormat="true" ht="12.75" hidden="false" customHeight="false" outlineLevel="0" collapsed="false">
      <c r="B102" s="2"/>
    </row>
    <row r="103" s="3" customFormat="true" ht="12.75" hidden="false" customHeight="false" outlineLevel="0" collapsed="false">
      <c r="B103" s="2"/>
    </row>
    <row r="104" s="3" customFormat="true" ht="12.75" hidden="false" customHeight="false" outlineLevel="0" collapsed="false">
      <c r="B104" s="2"/>
    </row>
    <row r="105" s="3" customFormat="true" ht="12.75" hidden="false" customHeight="false" outlineLevel="0" collapsed="false">
      <c r="B105" s="2"/>
    </row>
    <row r="106" s="3" customFormat="true" ht="12.75" hidden="false" customHeight="false" outlineLevel="0" collapsed="false">
      <c r="B106" s="2"/>
    </row>
    <row r="107" s="3" customFormat="true" ht="12.75" hidden="false" customHeight="false" outlineLevel="0" collapsed="false">
      <c r="B107" s="2"/>
    </row>
    <row r="108" s="3" customFormat="true" ht="12.75" hidden="false" customHeight="false" outlineLevel="0" collapsed="false">
      <c r="B108" s="2"/>
    </row>
    <row r="109" s="3" customFormat="true" ht="12.75" hidden="false" customHeight="false" outlineLevel="0" collapsed="false">
      <c r="B109" s="2"/>
    </row>
    <row r="110" s="3" customFormat="true" ht="12.75" hidden="false" customHeight="false" outlineLevel="0" collapsed="false">
      <c r="B110" s="2"/>
    </row>
    <row r="111" s="3" customFormat="true" ht="12.75" hidden="false" customHeight="false" outlineLevel="0" collapsed="false">
      <c r="B111" s="2"/>
    </row>
    <row r="112" s="3" customFormat="true" ht="12.75" hidden="false" customHeight="false" outlineLevel="0" collapsed="false">
      <c r="B112" s="2"/>
    </row>
    <row r="113" s="3" customFormat="true" ht="12.75" hidden="false" customHeight="false" outlineLevel="0" collapsed="false">
      <c r="B113" s="2"/>
    </row>
    <row r="114" s="3" customFormat="true" ht="12.75" hidden="false" customHeight="false" outlineLevel="0" collapsed="false">
      <c r="B114" s="2"/>
    </row>
    <row r="115" s="3" customFormat="true" ht="12.75" hidden="false" customHeight="false" outlineLevel="0" collapsed="false">
      <c r="B115" s="2"/>
    </row>
    <row r="116" s="3" customFormat="true" ht="12.75" hidden="false" customHeight="false" outlineLevel="0" collapsed="false">
      <c r="B116" s="2"/>
    </row>
    <row r="117" s="3" customFormat="true" ht="12.75" hidden="false" customHeight="false" outlineLevel="0" collapsed="false">
      <c r="B117" s="2"/>
    </row>
    <row r="118" s="3" customFormat="true" ht="12.75" hidden="false" customHeight="false" outlineLevel="0" collapsed="false">
      <c r="B118" s="2"/>
    </row>
    <row r="119" s="3" customFormat="true" ht="12.75" hidden="false" customHeight="false" outlineLevel="0" collapsed="false">
      <c r="B119" s="2"/>
    </row>
    <row r="120" s="3" customFormat="true" ht="12.75" hidden="false" customHeight="false" outlineLevel="0" collapsed="false">
      <c r="B120" s="2"/>
    </row>
    <row r="121" s="3" customFormat="true" ht="12.75" hidden="false" customHeight="false" outlineLevel="0" collapsed="false">
      <c r="B121" s="2"/>
    </row>
    <row r="122" s="3" customFormat="true" ht="12.75" hidden="false" customHeight="false" outlineLevel="0" collapsed="false">
      <c r="B122" s="2"/>
    </row>
    <row r="123" s="3" customFormat="true" ht="12.75" hidden="false" customHeight="false" outlineLevel="0" collapsed="false">
      <c r="B123" s="2"/>
    </row>
    <row r="124" s="3" customFormat="true" ht="12.75" hidden="false" customHeight="false" outlineLevel="0" collapsed="false">
      <c r="B124" s="2"/>
    </row>
    <row r="125" s="3" customFormat="true" ht="12.75" hidden="false" customHeight="false" outlineLevel="0" collapsed="false">
      <c r="B125" s="2"/>
    </row>
    <row r="126" s="3" customFormat="true" ht="12.75" hidden="false" customHeight="false" outlineLevel="0" collapsed="false">
      <c r="B126" s="2"/>
    </row>
    <row r="127" s="3" customFormat="true" ht="12.75" hidden="false" customHeight="false" outlineLevel="0" collapsed="false">
      <c r="B127" s="2"/>
    </row>
    <row r="128" s="3" customFormat="true" ht="12.75" hidden="false" customHeight="false" outlineLevel="0" collapsed="false">
      <c r="B128" s="2"/>
    </row>
    <row r="129" s="3" customFormat="true" ht="12.75" hidden="false" customHeight="false" outlineLevel="0" collapsed="false">
      <c r="B129" s="2"/>
    </row>
    <row r="130" s="3" customFormat="true" ht="12.75" hidden="false" customHeight="false" outlineLevel="0" collapsed="false">
      <c r="B130" s="2"/>
    </row>
    <row r="131" s="3" customFormat="true" ht="12.75" hidden="false" customHeight="false" outlineLevel="0" collapsed="false">
      <c r="B131" s="2"/>
    </row>
    <row r="132" s="3" customFormat="true" ht="12.75" hidden="false" customHeight="false" outlineLevel="0" collapsed="false">
      <c r="B132" s="2"/>
    </row>
    <row r="133" s="3" customFormat="true" ht="12.75" hidden="false" customHeight="false" outlineLevel="0" collapsed="false">
      <c r="B133" s="2"/>
    </row>
    <row r="134" s="3" customFormat="true" ht="12.75" hidden="false" customHeight="false" outlineLevel="0" collapsed="false">
      <c r="B134" s="2"/>
    </row>
    <row r="135" s="3" customFormat="true" ht="12.75" hidden="false" customHeight="false" outlineLevel="0" collapsed="false">
      <c r="B135" s="2"/>
    </row>
    <row r="136" s="3" customFormat="true" ht="12.75" hidden="false" customHeight="false" outlineLevel="0" collapsed="false">
      <c r="B136" s="2"/>
    </row>
    <row r="137" s="3" customFormat="true" ht="12.75" hidden="false" customHeight="false" outlineLevel="0" collapsed="false">
      <c r="B137" s="2"/>
    </row>
    <row r="138" s="3" customFormat="true" ht="12.75" hidden="false" customHeight="false" outlineLevel="0" collapsed="false">
      <c r="B138" s="2"/>
    </row>
    <row r="139" s="3" customFormat="true" ht="12.75" hidden="false" customHeight="false" outlineLevel="0" collapsed="false">
      <c r="B139" s="2"/>
    </row>
    <row r="140" s="3" customFormat="true" ht="12.75" hidden="false" customHeight="false" outlineLevel="0" collapsed="false">
      <c r="B140" s="2"/>
    </row>
    <row r="141" s="3" customFormat="true" ht="12.75" hidden="false" customHeight="false" outlineLevel="0" collapsed="false">
      <c r="B141" s="2"/>
    </row>
    <row r="142" s="3" customFormat="true" ht="12.75" hidden="false" customHeight="false" outlineLevel="0" collapsed="false">
      <c r="B142" s="2"/>
    </row>
    <row r="143" s="3" customFormat="true" ht="12.75" hidden="false" customHeight="false" outlineLevel="0" collapsed="false">
      <c r="B143" s="2"/>
    </row>
    <row r="144" s="3" customFormat="true" ht="12.75" hidden="false" customHeight="false" outlineLevel="0" collapsed="false">
      <c r="B144" s="2"/>
    </row>
    <row r="145" s="3" customFormat="true" ht="12.75" hidden="false" customHeight="false" outlineLevel="0" collapsed="false">
      <c r="B145" s="2"/>
    </row>
    <row r="146" s="3" customFormat="true" ht="12.75" hidden="false" customHeight="false" outlineLevel="0" collapsed="false">
      <c r="B146" s="2"/>
    </row>
    <row r="147" s="3" customFormat="true" ht="12.75" hidden="false" customHeight="false" outlineLevel="0" collapsed="false">
      <c r="B147" s="2"/>
    </row>
    <row r="148" s="3" customFormat="true" ht="12.75" hidden="false" customHeight="false" outlineLevel="0" collapsed="false">
      <c r="B148" s="2"/>
    </row>
    <row r="149" s="3" customFormat="true" ht="12.75" hidden="false" customHeight="false" outlineLevel="0" collapsed="false">
      <c r="B149" s="2"/>
    </row>
    <row r="150" s="3" customFormat="true" ht="12.75" hidden="false" customHeight="false" outlineLevel="0" collapsed="false">
      <c r="B150" s="2"/>
    </row>
    <row r="151" s="3" customFormat="true" ht="12.75" hidden="false" customHeight="false" outlineLevel="0" collapsed="false">
      <c r="B151" s="2"/>
    </row>
    <row r="152" s="3" customFormat="true" ht="12.75" hidden="false" customHeight="false" outlineLevel="0" collapsed="false">
      <c r="B152" s="2"/>
    </row>
    <row r="153" s="3" customFormat="true" ht="12.75" hidden="false" customHeight="false" outlineLevel="0" collapsed="false">
      <c r="B153" s="2"/>
    </row>
    <row r="154" s="3" customFormat="true" ht="12.75" hidden="false" customHeight="false" outlineLevel="0" collapsed="false">
      <c r="B154" s="2"/>
    </row>
    <row r="155" s="3" customFormat="true" ht="12.75" hidden="false" customHeight="false" outlineLevel="0" collapsed="false">
      <c r="B155" s="2"/>
    </row>
    <row r="156" s="3" customFormat="true" ht="12.75" hidden="false" customHeight="false" outlineLevel="0" collapsed="false">
      <c r="B156" s="2"/>
    </row>
    <row r="157" s="3" customFormat="true" ht="12.75" hidden="false" customHeight="false" outlineLevel="0" collapsed="false">
      <c r="B157" s="2"/>
    </row>
    <row r="158" s="3" customFormat="true" ht="12.75" hidden="false" customHeight="false" outlineLevel="0" collapsed="false">
      <c r="B158" s="2"/>
    </row>
    <row r="159" s="3" customFormat="true" ht="12.75" hidden="false" customHeight="false" outlineLevel="0" collapsed="false">
      <c r="B159" s="2"/>
    </row>
    <row r="160" s="3" customFormat="true" ht="12.75" hidden="false" customHeight="false" outlineLevel="0" collapsed="false">
      <c r="B160" s="2"/>
    </row>
    <row r="161" s="3" customFormat="true" ht="12.75" hidden="false" customHeight="false" outlineLevel="0" collapsed="false">
      <c r="B161" s="2"/>
    </row>
    <row r="162" s="3" customFormat="true" ht="12.75" hidden="false" customHeight="false" outlineLevel="0" collapsed="false">
      <c r="B162" s="2"/>
    </row>
    <row r="163" s="3" customFormat="true" ht="12.75" hidden="false" customHeight="false" outlineLevel="0" collapsed="false">
      <c r="B163" s="2"/>
    </row>
    <row r="164" s="3" customFormat="true" ht="12.75" hidden="false" customHeight="false" outlineLevel="0" collapsed="false">
      <c r="B164" s="2"/>
    </row>
    <row r="165" s="3" customFormat="true" ht="12.75" hidden="false" customHeight="false" outlineLevel="0" collapsed="false">
      <c r="B165" s="2"/>
    </row>
    <row r="166" s="3" customFormat="true" ht="12.75" hidden="false" customHeight="false" outlineLevel="0" collapsed="false">
      <c r="B166" s="2"/>
    </row>
    <row r="167" s="3" customFormat="true" ht="12.75" hidden="false" customHeight="false" outlineLevel="0" collapsed="false">
      <c r="B167" s="2"/>
    </row>
    <row r="168" s="3" customFormat="true" ht="12.75" hidden="false" customHeight="false" outlineLevel="0" collapsed="false">
      <c r="B168" s="2"/>
    </row>
    <row r="169" s="3" customFormat="true" ht="12.75" hidden="false" customHeight="false" outlineLevel="0" collapsed="false">
      <c r="B169" s="2"/>
    </row>
    <row r="170" s="3" customFormat="true" ht="12.75" hidden="false" customHeight="false" outlineLevel="0" collapsed="false">
      <c r="B170" s="2"/>
    </row>
    <row r="171" s="3" customFormat="true" ht="12.75" hidden="false" customHeight="false" outlineLevel="0" collapsed="false">
      <c r="B171" s="2"/>
    </row>
    <row r="172" s="3" customFormat="true" ht="12.75" hidden="false" customHeight="false" outlineLevel="0" collapsed="false">
      <c r="B172" s="2"/>
    </row>
    <row r="173" s="3" customFormat="true" ht="12.75" hidden="false" customHeight="false" outlineLevel="0" collapsed="false">
      <c r="B173" s="2"/>
    </row>
    <row r="174" s="3" customFormat="true" ht="12.75" hidden="false" customHeight="false" outlineLevel="0" collapsed="false">
      <c r="B174" s="2"/>
    </row>
    <row r="175" s="3" customFormat="true" ht="12.75" hidden="false" customHeight="false" outlineLevel="0" collapsed="false">
      <c r="B175" s="2"/>
    </row>
    <row r="176" s="3" customFormat="true" ht="12.75" hidden="false" customHeight="false" outlineLevel="0" collapsed="false">
      <c r="B176" s="2"/>
    </row>
    <row r="177" s="3" customFormat="true" ht="12.75" hidden="false" customHeight="false" outlineLevel="0" collapsed="false">
      <c r="B177" s="2"/>
    </row>
    <row r="178" s="3" customFormat="true" ht="12.75" hidden="false" customHeight="false" outlineLevel="0" collapsed="false">
      <c r="B178" s="2"/>
    </row>
    <row r="179" s="3" customFormat="true" ht="12.75" hidden="false" customHeight="false" outlineLevel="0" collapsed="false">
      <c r="B179" s="2"/>
    </row>
    <row r="180" s="3" customFormat="true" ht="12.75" hidden="false" customHeight="false" outlineLevel="0" collapsed="false">
      <c r="B180" s="2"/>
    </row>
    <row r="181" s="3" customFormat="true" ht="12.75" hidden="false" customHeight="false" outlineLevel="0" collapsed="false">
      <c r="B181" s="2"/>
    </row>
    <row r="182" s="3" customFormat="true" ht="12.75" hidden="false" customHeight="false" outlineLevel="0" collapsed="false">
      <c r="B182" s="2"/>
    </row>
    <row r="183" s="3" customFormat="true" ht="12.75" hidden="false" customHeight="false" outlineLevel="0" collapsed="false">
      <c r="B183" s="2"/>
    </row>
    <row r="184" s="3" customFormat="true" ht="12.75" hidden="false" customHeight="false" outlineLevel="0" collapsed="false">
      <c r="B184" s="2"/>
    </row>
    <row r="185" s="3" customFormat="true" ht="12.75" hidden="false" customHeight="false" outlineLevel="0" collapsed="false">
      <c r="B185" s="2"/>
    </row>
    <row r="186" s="3" customFormat="true" ht="12.75" hidden="false" customHeight="false" outlineLevel="0" collapsed="false">
      <c r="B186" s="2"/>
    </row>
    <row r="187" s="3" customFormat="true" ht="12.75" hidden="false" customHeight="false" outlineLevel="0" collapsed="false">
      <c r="B187" s="2"/>
    </row>
    <row r="188" s="3" customFormat="true" ht="12.75" hidden="false" customHeight="false" outlineLevel="0" collapsed="false">
      <c r="B188" s="2"/>
    </row>
    <row r="189" s="3" customFormat="true" ht="12.75" hidden="false" customHeight="false" outlineLevel="0" collapsed="false">
      <c r="B189" s="2"/>
    </row>
    <row r="190" s="3" customFormat="true" ht="12.75" hidden="false" customHeight="false" outlineLevel="0" collapsed="false">
      <c r="B190" s="2"/>
    </row>
    <row r="191" s="3" customFormat="true" ht="12.75" hidden="false" customHeight="false" outlineLevel="0" collapsed="false">
      <c r="B191" s="2"/>
    </row>
    <row r="192" s="3" customFormat="true" ht="12.75" hidden="false" customHeight="false" outlineLevel="0" collapsed="false">
      <c r="B192" s="2"/>
    </row>
    <row r="193" s="3" customFormat="true" ht="12.75" hidden="false" customHeight="false" outlineLevel="0" collapsed="false">
      <c r="B193" s="2"/>
    </row>
    <row r="194" s="3" customFormat="true" ht="12.75" hidden="false" customHeight="false" outlineLevel="0" collapsed="false">
      <c r="B194" s="2"/>
    </row>
    <row r="195" s="3" customFormat="true" ht="12.75" hidden="false" customHeight="false" outlineLevel="0" collapsed="false">
      <c r="B195" s="2"/>
    </row>
    <row r="196" s="3" customFormat="true" ht="12.75" hidden="false" customHeight="false" outlineLevel="0" collapsed="false">
      <c r="B196" s="2"/>
    </row>
    <row r="197" s="3" customFormat="true" ht="12.75" hidden="false" customHeight="false" outlineLevel="0" collapsed="false">
      <c r="B197" s="2"/>
    </row>
    <row r="198" s="3" customFormat="true" ht="12.75" hidden="false" customHeight="false" outlineLevel="0" collapsed="false">
      <c r="B198" s="2"/>
    </row>
    <row r="199" s="3" customFormat="true" ht="12.75" hidden="false" customHeight="false" outlineLevel="0" collapsed="false">
      <c r="B199" s="2"/>
    </row>
    <row r="200" s="3" customFormat="true" ht="12.75" hidden="false" customHeight="false" outlineLevel="0" collapsed="false">
      <c r="B200" s="2"/>
    </row>
    <row r="201" s="3" customFormat="true" ht="12.75" hidden="false" customHeight="false" outlineLevel="0" collapsed="false">
      <c r="B201" s="2"/>
    </row>
    <row r="202" s="3" customFormat="true" ht="12.75" hidden="false" customHeight="false" outlineLevel="0" collapsed="false">
      <c r="B202" s="2"/>
    </row>
    <row r="203" s="3" customFormat="true" ht="12.75" hidden="false" customHeight="false" outlineLevel="0" collapsed="false">
      <c r="B203" s="2"/>
    </row>
    <row r="204" s="3" customFormat="true" ht="12.75" hidden="false" customHeight="false" outlineLevel="0" collapsed="false">
      <c r="B204" s="2"/>
    </row>
    <row r="205" s="3" customFormat="true" ht="12.75" hidden="false" customHeight="false" outlineLevel="0" collapsed="false">
      <c r="B205" s="2"/>
    </row>
    <row r="206" s="3" customFormat="true" ht="12.75" hidden="false" customHeight="false" outlineLevel="0" collapsed="false">
      <c r="B206" s="2"/>
    </row>
    <row r="207" s="3" customFormat="true" ht="12.75" hidden="false" customHeight="false" outlineLevel="0" collapsed="false">
      <c r="B207" s="2"/>
    </row>
    <row r="208" s="3" customFormat="true" ht="12.75" hidden="false" customHeight="false" outlineLevel="0" collapsed="false">
      <c r="B208" s="2"/>
    </row>
    <row r="209" s="3" customFormat="true" ht="12.75" hidden="false" customHeight="false" outlineLevel="0" collapsed="false">
      <c r="B209" s="2"/>
    </row>
    <row r="210" s="3" customFormat="true" ht="12.75" hidden="false" customHeight="false" outlineLevel="0" collapsed="false">
      <c r="B210" s="2"/>
    </row>
    <row r="211" s="3" customFormat="true" ht="12.75" hidden="false" customHeight="false" outlineLevel="0" collapsed="false">
      <c r="B211" s="2"/>
    </row>
    <row r="212" s="3" customFormat="true" ht="12.75" hidden="false" customHeight="false" outlineLevel="0" collapsed="false">
      <c r="B212" s="2"/>
    </row>
    <row r="213" s="3" customFormat="true" ht="12.75" hidden="false" customHeight="false" outlineLevel="0" collapsed="false">
      <c r="B213" s="2"/>
    </row>
    <row r="214" s="3" customFormat="true" ht="12.75" hidden="false" customHeight="false" outlineLevel="0" collapsed="false">
      <c r="B214" s="2"/>
    </row>
    <row r="215" s="3" customFormat="true" ht="12.75" hidden="false" customHeight="false" outlineLevel="0" collapsed="false">
      <c r="B215" s="2"/>
    </row>
    <row r="216" s="3" customFormat="true" ht="12.75" hidden="false" customHeight="false" outlineLevel="0" collapsed="false">
      <c r="B216" s="2"/>
    </row>
    <row r="217" s="3" customFormat="true" ht="12.75" hidden="false" customHeight="false" outlineLevel="0" collapsed="false">
      <c r="B217" s="2"/>
    </row>
    <row r="218" s="3" customFormat="true" ht="12.75" hidden="false" customHeight="false" outlineLevel="0" collapsed="false">
      <c r="B218" s="2"/>
    </row>
    <row r="219" s="3" customFormat="true" ht="12.75" hidden="false" customHeight="false" outlineLevel="0" collapsed="false">
      <c r="B219" s="2"/>
    </row>
    <row r="220" s="3" customFormat="true" ht="12.75" hidden="false" customHeight="false" outlineLevel="0" collapsed="false">
      <c r="B220" s="2"/>
    </row>
    <row r="221" s="3" customFormat="true" ht="12.75" hidden="false" customHeight="false" outlineLevel="0" collapsed="false">
      <c r="B221" s="2"/>
    </row>
    <row r="222" s="3" customFormat="true" ht="12.75" hidden="false" customHeight="false" outlineLevel="0" collapsed="false">
      <c r="B222" s="2"/>
    </row>
    <row r="223" s="3" customFormat="true" ht="12.75" hidden="false" customHeight="false" outlineLevel="0" collapsed="false">
      <c r="B223" s="2"/>
    </row>
    <row r="224" s="3" customFormat="true" ht="12.75" hidden="false" customHeight="false" outlineLevel="0" collapsed="false">
      <c r="B224" s="2"/>
    </row>
    <row r="225" s="3" customFormat="true" ht="12.75" hidden="false" customHeight="false" outlineLevel="0" collapsed="false">
      <c r="B225" s="2"/>
    </row>
    <row r="226" s="3" customFormat="true" ht="12.75" hidden="false" customHeight="false" outlineLevel="0" collapsed="false">
      <c r="B226" s="2"/>
    </row>
    <row r="227" s="3" customFormat="true" ht="12.75" hidden="false" customHeight="false" outlineLevel="0" collapsed="false">
      <c r="B227" s="2"/>
    </row>
    <row r="228" s="3" customFormat="true" ht="12.75" hidden="false" customHeight="false" outlineLevel="0" collapsed="false">
      <c r="B228" s="2"/>
    </row>
    <row r="229" s="3" customFormat="true" ht="12.75" hidden="false" customHeight="false" outlineLevel="0" collapsed="false">
      <c r="B229" s="2"/>
    </row>
    <row r="230" s="3" customFormat="true" ht="12.75" hidden="false" customHeight="false" outlineLevel="0" collapsed="false">
      <c r="B230" s="2"/>
    </row>
    <row r="231" s="3" customFormat="true" ht="12.75" hidden="false" customHeight="false" outlineLevel="0" collapsed="false">
      <c r="B231" s="2"/>
    </row>
    <row r="232" s="3" customFormat="true" ht="12.75" hidden="false" customHeight="false" outlineLevel="0" collapsed="false">
      <c r="B232" s="2"/>
    </row>
    <row r="233" s="3" customFormat="true" ht="12.75" hidden="false" customHeight="false" outlineLevel="0" collapsed="false">
      <c r="B233" s="2"/>
    </row>
    <row r="234" s="3" customFormat="true" ht="12.75" hidden="false" customHeight="false" outlineLevel="0" collapsed="false">
      <c r="B234" s="2"/>
    </row>
    <row r="235" s="3" customFormat="true" ht="12.75" hidden="false" customHeight="false" outlineLevel="0" collapsed="false">
      <c r="B235" s="2"/>
    </row>
    <row r="236" s="3" customFormat="true" ht="12.75" hidden="false" customHeight="false" outlineLevel="0" collapsed="false">
      <c r="B236" s="2"/>
    </row>
    <row r="237" s="3" customFormat="true" ht="12.75" hidden="false" customHeight="false" outlineLevel="0" collapsed="false">
      <c r="B237" s="2"/>
    </row>
    <row r="238" s="3" customFormat="true" ht="12.75" hidden="false" customHeight="false" outlineLevel="0" collapsed="false">
      <c r="B238" s="2"/>
    </row>
    <row r="239" s="3" customFormat="true" ht="12.75" hidden="false" customHeight="false" outlineLevel="0" collapsed="false">
      <c r="B239" s="2"/>
    </row>
    <row r="240" s="3" customFormat="true" ht="12.75" hidden="false" customHeight="false" outlineLevel="0" collapsed="false">
      <c r="B240" s="2"/>
    </row>
    <row r="241" s="3" customFormat="true" ht="12.75" hidden="false" customHeight="false" outlineLevel="0" collapsed="false">
      <c r="B241" s="2"/>
    </row>
    <row r="242" s="3" customFormat="true" ht="12.75" hidden="false" customHeight="false" outlineLevel="0" collapsed="false">
      <c r="B242" s="2"/>
    </row>
    <row r="243" s="3" customFormat="true" ht="12.75" hidden="false" customHeight="false" outlineLevel="0" collapsed="false">
      <c r="B243" s="2"/>
    </row>
    <row r="244" s="3" customFormat="true" ht="12.75" hidden="false" customHeight="false" outlineLevel="0" collapsed="false">
      <c r="B244" s="2"/>
    </row>
    <row r="245" s="3" customFormat="true" ht="12.75" hidden="false" customHeight="false" outlineLevel="0" collapsed="false">
      <c r="B245" s="2"/>
    </row>
    <row r="246" s="3" customFormat="true" ht="12.75" hidden="false" customHeight="false" outlineLevel="0" collapsed="false">
      <c r="B246" s="2"/>
    </row>
    <row r="247" s="3" customFormat="true" ht="12.75" hidden="false" customHeight="false" outlineLevel="0" collapsed="false">
      <c r="B247" s="2"/>
    </row>
    <row r="248" s="3" customFormat="true" ht="12.75" hidden="false" customHeight="false" outlineLevel="0" collapsed="false">
      <c r="B248" s="2"/>
    </row>
    <row r="249" s="3" customFormat="true" ht="12.75" hidden="false" customHeight="false" outlineLevel="0" collapsed="false">
      <c r="B249" s="2"/>
    </row>
    <row r="250" s="3" customFormat="true" ht="12.75" hidden="false" customHeight="false" outlineLevel="0" collapsed="false">
      <c r="B250" s="2"/>
    </row>
    <row r="251" s="3" customFormat="true" ht="12.75" hidden="false" customHeight="false" outlineLevel="0" collapsed="false">
      <c r="B251" s="2"/>
    </row>
    <row r="252" s="3" customFormat="true" ht="12.75" hidden="false" customHeight="false" outlineLevel="0" collapsed="false">
      <c r="B252" s="2"/>
    </row>
    <row r="253" s="3" customFormat="true" ht="12.75" hidden="false" customHeight="false" outlineLevel="0" collapsed="false">
      <c r="B253" s="2"/>
    </row>
    <row r="254" s="3" customFormat="true" ht="12.75" hidden="false" customHeight="false" outlineLevel="0" collapsed="false">
      <c r="B254" s="2"/>
    </row>
    <row r="255" s="3" customFormat="true" ht="12.75" hidden="false" customHeight="false" outlineLevel="0" collapsed="false">
      <c r="B255" s="2"/>
    </row>
    <row r="256" s="3" customFormat="true" ht="12.75" hidden="false" customHeight="false" outlineLevel="0" collapsed="false">
      <c r="B256" s="2"/>
    </row>
    <row r="257" s="3" customFormat="true" ht="12.75" hidden="false" customHeight="false" outlineLevel="0" collapsed="false">
      <c r="B257" s="2"/>
    </row>
    <row r="258" s="3" customFormat="true" ht="12.75" hidden="false" customHeight="false" outlineLevel="0" collapsed="false">
      <c r="B258" s="2"/>
    </row>
    <row r="259" s="3" customFormat="true" ht="12.75" hidden="false" customHeight="false" outlineLevel="0" collapsed="false">
      <c r="B259" s="2"/>
    </row>
    <row r="260" s="3" customFormat="true" ht="12.75" hidden="false" customHeight="false" outlineLevel="0" collapsed="false">
      <c r="B260" s="2"/>
    </row>
    <row r="261" s="3" customFormat="true" ht="12.75" hidden="false" customHeight="false" outlineLevel="0" collapsed="false">
      <c r="B261" s="2"/>
    </row>
    <row r="262" s="3" customFormat="true" ht="12.75" hidden="false" customHeight="false" outlineLevel="0" collapsed="false">
      <c r="B262" s="2"/>
    </row>
    <row r="263" s="3" customFormat="true" ht="12.75" hidden="false" customHeight="false" outlineLevel="0" collapsed="false">
      <c r="B263" s="2"/>
    </row>
    <row r="264" s="3" customFormat="true" ht="12.75" hidden="false" customHeight="false" outlineLevel="0" collapsed="false">
      <c r="B264" s="2"/>
    </row>
    <row r="265" s="3" customFormat="true" ht="12.75" hidden="false" customHeight="false" outlineLevel="0" collapsed="false">
      <c r="B265" s="2"/>
    </row>
    <row r="266" s="3" customFormat="true" ht="12.75" hidden="false" customHeight="false" outlineLevel="0" collapsed="false">
      <c r="B266" s="2"/>
    </row>
    <row r="267" s="3" customFormat="true" ht="12.75" hidden="false" customHeight="false" outlineLevel="0" collapsed="false">
      <c r="B267" s="2"/>
    </row>
    <row r="268" s="3" customFormat="true" ht="12.75" hidden="false" customHeight="false" outlineLevel="0" collapsed="false">
      <c r="B268" s="2"/>
    </row>
    <row r="269" s="3" customFormat="true" ht="12.75" hidden="false" customHeight="false" outlineLevel="0" collapsed="false">
      <c r="B269" s="2"/>
    </row>
    <row r="270" s="3" customFormat="true" ht="12.75" hidden="false" customHeight="false" outlineLevel="0" collapsed="false">
      <c r="B270" s="2"/>
    </row>
    <row r="271" s="3" customFormat="true" ht="12.75" hidden="false" customHeight="false" outlineLevel="0" collapsed="false">
      <c r="B271" s="2"/>
    </row>
    <row r="272" s="3" customFormat="true" ht="12.75" hidden="false" customHeight="false" outlineLevel="0" collapsed="false">
      <c r="B272" s="2"/>
    </row>
    <row r="273" s="3" customFormat="true" ht="12.75" hidden="false" customHeight="false" outlineLevel="0" collapsed="false">
      <c r="B273" s="2"/>
    </row>
    <row r="274" s="3" customFormat="true" ht="12.75" hidden="false" customHeight="false" outlineLevel="0" collapsed="false">
      <c r="B274" s="2"/>
    </row>
    <row r="275" s="3" customFormat="true" ht="12.75" hidden="false" customHeight="false" outlineLevel="0" collapsed="false">
      <c r="B275" s="2"/>
    </row>
    <row r="276" s="3" customFormat="true" ht="12.75" hidden="false" customHeight="false" outlineLevel="0" collapsed="false">
      <c r="B276" s="2"/>
    </row>
    <row r="277" s="3" customFormat="true" ht="12.75" hidden="false" customHeight="false" outlineLevel="0" collapsed="false">
      <c r="B277" s="2"/>
    </row>
    <row r="278" s="3" customFormat="true" ht="12.75" hidden="false" customHeight="false" outlineLevel="0" collapsed="false">
      <c r="B278" s="2"/>
    </row>
    <row r="279" s="3" customFormat="true" ht="12.75" hidden="false" customHeight="false" outlineLevel="0" collapsed="false">
      <c r="B279" s="2"/>
    </row>
    <row r="280" s="3" customFormat="true" ht="12.75" hidden="false" customHeight="false" outlineLevel="0" collapsed="false">
      <c r="B280" s="2"/>
    </row>
    <row r="281" s="3" customFormat="true" ht="12.75" hidden="false" customHeight="false" outlineLevel="0" collapsed="false">
      <c r="B281" s="2"/>
    </row>
    <row r="282" s="3" customFormat="true" ht="12.75" hidden="false" customHeight="false" outlineLevel="0" collapsed="false">
      <c r="B282" s="2"/>
    </row>
    <row r="283" s="3" customFormat="true" ht="12.75" hidden="false" customHeight="false" outlineLevel="0" collapsed="false">
      <c r="B283" s="2"/>
    </row>
    <row r="284" s="3" customFormat="true" ht="12.75" hidden="false" customHeight="false" outlineLevel="0" collapsed="false">
      <c r="B284" s="2"/>
    </row>
    <row r="285" s="3" customFormat="true" ht="12.75" hidden="false" customHeight="false" outlineLevel="0" collapsed="false">
      <c r="B285" s="2"/>
    </row>
    <row r="286" s="3" customFormat="true" ht="12.75" hidden="false" customHeight="false" outlineLevel="0" collapsed="false">
      <c r="B286" s="2"/>
    </row>
    <row r="287" s="3" customFormat="true" ht="12.75" hidden="false" customHeight="false" outlineLevel="0" collapsed="false">
      <c r="B287" s="2"/>
    </row>
    <row r="288" s="3" customFormat="true" ht="12.75" hidden="false" customHeight="false" outlineLevel="0" collapsed="false">
      <c r="B288" s="2"/>
    </row>
    <row r="289" s="3" customFormat="true" ht="12.75" hidden="false" customHeight="false" outlineLevel="0" collapsed="false">
      <c r="B289" s="2"/>
    </row>
    <row r="290" s="3" customFormat="true" ht="12.75" hidden="false" customHeight="false" outlineLevel="0" collapsed="false">
      <c r="B290" s="2"/>
    </row>
    <row r="291" s="3" customFormat="true" ht="12.75" hidden="false" customHeight="false" outlineLevel="0" collapsed="false">
      <c r="B291" s="2"/>
    </row>
    <row r="292" s="3" customFormat="true" ht="12.75" hidden="false" customHeight="false" outlineLevel="0" collapsed="false">
      <c r="B292" s="2"/>
    </row>
    <row r="293" s="3" customFormat="true" ht="12.75" hidden="false" customHeight="false" outlineLevel="0" collapsed="false">
      <c r="B293" s="2"/>
    </row>
    <row r="294" s="3" customFormat="true" ht="12.75" hidden="false" customHeight="false" outlineLevel="0" collapsed="false">
      <c r="B294" s="2"/>
    </row>
    <row r="295" s="3" customFormat="true" ht="12.75" hidden="false" customHeight="false" outlineLevel="0" collapsed="false">
      <c r="B295" s="2"/>
    </row>
    <row r="296" s="3" customFormat="true" ht="12.75" hidden="false" customHeight="false" outlineLevel="0" collapsed="false">
      <c r="B296" s="2"/>
    </row>
    <row r="297" s="3" customFormat="true" ht="12.75" hidden="false" customHeight="false" outlineLevel="0" collapsed="false">
      <c r="B297" s="2"/>
    </row>
    <row r="298" s="3" customFormat="true" ht="12.75" hidden="false" customHeight="false" outlineLevel="0" collapsed="false">
      <c r="B298" s="2"/>
    </row>
    <row r="299" s="3" customFormat="true" ht="12.75" hidden="false" customHeight="false" outlineLevel="0" collapsed="false">
      <c r="B299" s="2"/>
    </row>
    <row r="300" s="3" customFormat="true" ht="12.75" hidden="false" customHeight="false" outlineLevel="0" collapsed="false">
      <c r="B300" s="2"/>
    </row>
    <row r="301" s="3" customFormat="true" ht="12.75" hidden="false" customHeight="false" outlineLevel="0" collapsed="false">
      <c r="B301" s="2"/>
    </row>
    <row r="302" s="3" customFormat="true" ht="12.75" hidden="false" customHeight="false" outlineLevel="0" collapsed="false">
      <c r="B302" s="2"/>
    </row>
    <row r="303" s="3" customFormat="true" ht="12.75" hidden="false" customHeight="false" outlineLevel="0" collapsed="false">
      <c r="B303" s="2"/>
    </row>
    <row r="304" s="3" customFormat="true" ht="12.75" hidden="false" customHeight="false" outlineLevel="0" collapsed="false">
      <c r="B304" s="2"/>
    </row>
    <row r="305" s="3" customFormat="true" ht="12.75" hidden="false" customHeight="false" outlineLevel="0" collapsed="false">
      <c r="B305" s="2"/>
    </row>
    <row r="306" s="3" customFormat="true" ht="12.75" hidden="false" customHeight="false" outlineLevel="0" collapsed="false">
      <c r="B306" s="2"/>
    </row>
    <row r="307" s="3" customFormat="true" ht="12.75" hidden="false" customHeight="false" outlineLevel="0" collapsed="false">
      <c r="B307" s="2"/>
    </row>
    <row r="308" s="3" customFormat="true" ht="12.75" hidden="false" customHeight="false" outlineLevel="0" collapsed="false">
      <c r="B308" s="2"/>
    </row>
    <row r="309" s="3" customFormat="true" ht="12.75" hidden="false" customHeight="false" outlineLevel="0" collapsed="false">
      <c r="B309" s="2"/>
    </row>
    <row r="310" s="3" customFormat="true" ht="12.75" hidden="false" customHeight="false" outlineLevel="0" collapsed="false">
      <c r="B310" s="2"/>
    </row>
    <row r="311" s="3" customFormat="true" ht="12.75" hidden="false" customHeight="false" outlineLevel="0" collapsed="false">
      <c r="B311" s="2"/>
    </row>
    <row r="312" s="3" customFormat="true" ht="12.75" hidden="false" customHeight="false" outlineLevel="0" collapsed="false">
      <c r="B312" s="2"/>
    </row>
    <row r="313" s="3" customFormat="true" ht="12.75" hidden="false" customHeight="false" outlineLevel="0" collapsed="false">
      <c r="B313" s="2"/>
    </row>
    <row r="314" s="3" customFormat="true" ht="12.75" hidden="false" customHeight="false" outlineLevel="0" collapsed="false">
      <c r="B314" s="2"/>
    </row>
    <row r="315" s="3" customFormat="true" ht="12.75" hidden="false" customHeight="false" outlineLevel="0" collapsed="false">
      <c r="B315" s="2"/>
    </row>
    <row r="316" s="3" customFormat="true" ht="12.75" hidden="false" customHeight="false" outlineLevel="0" collapsed="false">
      <c r="B316" s="2"/>
    </row>
    <row r="317" s="3" customFormat="true" ht="12.75" hidden="false" customHeight="false" outlineLevel="0" collapsed="false">
      <c r="B317" s="2"/>
    </row>
    <row r="318" s="3" customFormat="true" ht="12.75" hidden="false" customHeight="false" outlineLevel="0" collapsed="false">
      <c r="B318" s="2"/>
    </row>
    <row r="319" s="3" customFormat="true" ht="12.75" hidden="false" customHeight="false" outlineLevel="0" collapsed="false">
      <c r="B319" s="2"/>
    </row>
    <row r="320" s="3" customFormat="true" ht="12.75" hidden="false" customHeight="false" outlineLevel="0" collapsed="false">
      <c r="B320" s="2"/>
    </row>
    <row r="321" s="3" customFormat="true" ht="12.75" hidden="false" customHeight="false" outlineLevel="0" collapsed="false">
      <c r="B321" s="2"/>
    </row>
    <row r="322" s="3" customFormat="true" ht="12.75" hidden="false" customHeight="false" outlineLevel="0" collapsed="false">
      <c r="B322" s="2"/>
    </row>
    <row r="323" s="3" customFormat="true" ht="12.75" hidden="false" customHeight="false" outlineLevel="0" collapsed="false">
      <c r="B323" s="2"/>
    </row>
    <row r="324" s="3" customFormat="true" ht="12.75" hidden="false" customHeight="false" outlineLevel="0" collapsed="false">
      <c r="B324" s="2"/>
    </row>
    <row r="325" s="3" customFormat="true" ht="12.75" hidden="false" customHeight="false" outlineLevel="0" collapsed="false">
      <c r="B325" s="2"/>
    </row>
    <row r="326" s="3" customFormat="true" ht="12.75" hidden="false" customHeight="false" outlineLevel="0" collapsed="false">
      <c r="B326" s="2"/>
    </row>
    <row r="327" s="3" customFormat="true" ht="12.75" hidden="false" customHeight="false" outlineLevel="0" collapsed="false">
      <c r="B327" s="2"/>
    </row>
    <row r="328" s="3" customFormat="true" ht="12.75" hidden="false" customHeight="false" outlineLevel="0" collapsed="false">
      <c r="B328" s="2"/>
    </row>
    <row r="329" s="3" customFormat="true" ht="12.75" hidden="false" customHeight="false" outlineLevel="0" collapsed="false">
      <c r="B329" s="2"/>
    </row>
    <row r="330" s="3" customFormat="true" ht="12.75" hidden="false" customHeight="false" outlineLevel="0" collapsed="false">
      <c r="B330" s="2"/>
    </row>
    <row r="331" s="3" customFormat="true" ht="12.75" hidden="false" customHeight="false" outlineLevel="0" collapsed="false">
      <c r="B331" s="2"/>
    </row>
    <row r="332" s="3" customFormat="true" ht="12.75" hidden="false" customHeight="false" outlineLevel="0" collapsed="false">
      <c r="B332" s="2"/>
    </row>
    <row r="333" s="3" customFormat="true" ht="12.75" hidden="false" customHeight="false" outlineLevel="0" collapsed="false">
      <c r="B333" s="2"/>
    </row>
    <row r="334" s="3" customFormat="true" ht="12.75" hidden="false" customHeight="false" outlineLevel="0" collapsed="false">
      <c r="B334" s="2"/>
    </row>
    <row r="335" s="3" customFormat="true" ht="12.75" hidden="false" customHeight="false" outlineLevel="0" collapsed="false">
      <c r="B335" s="2"/>
    </row>
    <row r="336" s="3" customFormat="true" ht="12.75" hidden="false" customHeight="false" outlineLevel="0" collapsed="false">
      <c r="B336" s="2"/>
    </row>
    <row r="337" s="3" customFormat="true" ht="12.75" hidden="false" customHeight="false" outlineLevel="0" collapsed="false">
      <c r="B337" s="2"/>
    </row>
    <row r="338" s="3" customFormat="true" ht="12.75" hidden="false" customHeight="false" outlineLevel="0" collapsed="false">
      <c r="B338" s="2"/>
    </row>
    <row r="339" s="3" customFormat="true" ht="12.75" hidden="false" customHeight="false" outlineLevel="0" collapsed="false">
      <c r="B339" s="2"/>
    </row>
    <row r="340" s="3" customFormat="true" ht="12.75" hidden="false" customHeight="false" outlineLevel="0" collapsed="false">
      <c r="B340" s="2"/>
    </row>
    <row r="341" s="3" customFormat="true" ht="12.75" hidden="false" customHeight="false" outlineLevel="0" collapsed="false">
      <c r="B341" s="2"/>
    </row>
    <row r="342" s="3" customFormat="true" ht="12.75" hidden="false" customHeight="false" outlineLevel="0" collapsed="false">
      <c r="B342" s="2"/>
    </row>
    <row r="343" s="3" customFormat="true" ht="12.75" hidden="false" customHeight="false" outlineLevel="0" collapsed="false">
      <c r="B343" s="2"/>
    </row>
    <row r="344" s="3" customFormat="true" ht="12.75" hidden="false" customHeight="false" outlineLevel="0" collapsed="false">
      <c r="B344" s="2"/>
    </row>
    <row r="345" s="3" customFormat="true" ht="12.75" hidden="false" customHeight="false" outlineLevel="0" collapsed="false">
      <c r="B345" s="2"/>
    </row>
    <row r="346" s="3" customFormat="true" ht="12.75" hidden="false" customHeight="false" outlineLevel="0" collapsed="false">
      <c r="B346" s="2"/>
    </row>
    <row r="347" s="3" customFormat="true" ht="12.75" hidden="false" customHeight="false" outlineLevel="0" collapsed="false">
      <c r="B347" s="2"/>
    </row>
    <row r="348" s="3" customFormat="true" ht="12.75" hidden="false" customHeight="false" outlineLevel="0" collapsed="false">
      <c r="B348" s="2"/>
    </row>
    <row r="349" s="3" customFormat="true" ht="12.75" hidden="false" customHeight="false" outlineLevel="0" collapsed="false">
      <c r="B349" s="2"/>
    </row>
    <row r="350" s="3" customFormat="true" ht="12.75" hidden="false" customHeight="false" outlineLevel="0" collapsed="false">
      <c r="B350" s="2"/>
    </row>
    <row r="351" s="3" customFormat="true" ht="12.75" hidden="false" customHeight="false" outlineLevel="0" collapsed="false">
      <c r="B351" s="2"/>
    </row>
    <row r="352" s="3" customFormat="true" ht="12.75" hidden="false" customHeight="false" outlineLevel="0" collapsed="false">
      <c r="B352" s="2"/>
    </row>
    <row r="353" s="3" customFormat="true" ht="12.75" hidden="false" customHeight="false" outlineLevel="0" collapsed="false">
      <c r="B353" s="2"/>
    </row>
    <row r="354" s="3" customFormat="true" ht="12.75" hidden="false" customHeight="false" outlineLevel="0" collapsed="false">
      <c r="B354" s="2"/>
    </row>
    <row r="355" s="3" customFormat="true" ht="12.75" hidden="false" customHeight="false" outlineLevel="0" collapsed="false">
      <c r="B355" s="2"/>
    </row>
    <row r="356" s="3" customFormat="true" ht="12.75" hidden="false" customHeight="false" outlineLevel="0" collapsed="false">
      <c r="B356" s="2"/>
    </row>
    <row r="357" s="3" customFormat="true" ht="12.75" hidden="false" customHeight="false" outlineLevel="0" collapsed="false">
      <c r="B357" s="2"/>
    </row>
    <row r="358" s="3" customFormat="true" ht="12.75" hidden="false" customHeight="false" outlineLevel="0" collapsed="false">
      <c r="B358" s="2"/>
    </row>
    <row r="359" s="3" customFormat="true" ht="12.75" hidden="false" customHeight="false" outlineLevel="0" collapsed="false">
      <c r="B359" s="2"/>
    </row>
    <row r="360" s="3" customFormat="true" ht="12.75" hidden="false" customHeight="false" outlineLevel="0" collapsed="false">
      <c r="B360" s="2"/>
    </row>
    <row r="361" s="3" customFormat="true" ht="12.75" hidden="false" customHeight="false" outlineLevel="0" collapsed="false">
      <c r="B361" s="2"/>
    </row>
    <row r="362" s="3" customFormat="true" ht="12.75" hidden="false" customHeight="false" outlineLevel="0" collapsed="false">
      <c r="B362" s="2"/>
    </row>
    <row r="363" s="3" customFormat="true" ht="12.75" hidden="false" customHeight="false" outlineLevel="0" collapsed="false">
      <c r="B363" s="2"/>
    </row>
    <row r="364" s="3" customFormat="true" ht="12.75" hidden="false" customHeight="false" outlineLevel="0" collapsed="false">
      <c r="B364" s="2"/>
    </row>
    <row r="365" s="3" customFormat="true" ht="12.75" hidden="false" customHeight="false" outlineLevel="0" collapsed="false">
      <c r="B365" s="2"/>
    </row>
    <row r="366" s="3" customFormat="true" ht="12.75" hidden="false" customHeight="false" outlineLevel="0" collapsed="false">
      <c r="B366" s="2"/>
    </row>
    <row r="367" s="3" customFormat="true" ht="12.75" hidden="false" customHeight="false" outlineLevel="0" collapsed="false">
      <c r="B367" s="2"/>
    </row>
    <row r="368" s="3" customFormat="true" ht="12.75" hidden="false" customHeight="false" outlineLevel="0" collapsed="false">
      <c r="B368" s="2"/>
    </row>
    <row r="369" s="3" customFormat="true" ht="12.75" hidden="false" customHeight="false" outlineLevel="0" collapsed="false">
      <c r="B369" s="2"/>
    </row>
    <row r="370" s="3" customFormat="true" ht="12.75" hidden="false" customHeight="false" outlineLevel="0" collapsed="false">
      <c r="B370" s="2"/>
    </row>
    <row r="371" s="3" customFormat="true" ht="12.75" hidden="false" customHeight="false" outlineLevel="0" collapsed="false">
      <c r="B371" s="2"/>
    </row>
    <row r="372" s="3" customFormat="true" ht="12.75" hidden="false" customHeight="false" outlineLevel="0" collapsed="false">
      <c r="B372" s="2"/>
    </row>
    <row r="373" s="3" customFormat="true" ht="12.75" hidden="false" customHeight="false" outlineLevel="0" collapsed="false">
      <c r="B373" s="2"/>
    </row>
    <row r="374" s="3" customFormat="true" ht="12.75" hidden="false" customHeight="false" outlineLevel="0" collapsed="false">
      <c r="B374" s="2"/>
    </row>
    <row r="375" s="3" customFormat="true" ht="12.75" hidden="false" customHeight="false" outlineLevel="0" collapsed="false">
      <c r="B375" s="2"/>
    </row>
    <row r="376" s="3" customFormat="true" ht="12.75" hidden="false" customHeight="false" outlineLevel="0" collapsed="false">
      <c r="B376" s="2"/>
    </row>
    <row r="377" s="3" customFormat="true" ht="12.75" hidden="false" customHeight="false" outlineLevel="0" collapsed="false">
      <c r="B377" s="2"/>
    </row>
    <row r="378" s="3" customFormat="true" ht="12.75" hidden="false" customHeight="false" outlineLevel="0" collapsed="false">
      <c r="B378" s="2"/>
    </row>
    <row r="379" s="3" customFormat="true" ht="12.75" hidden="false" customHeight="false" outlineLevel="0" collapsed="false">
      <c r="B379" s="2"/>
    </row>
    <row r="380" s="3" customFormat="true" ht="12.75" hidden="false" customHeight="false" outlineLevel="0" collapsed="false">
      <c r="B380" s="2"/>
    </row>
    <row r="381" s="3" customFormat="true" ht="12.75" hidden="false" customHeight="false" outlineLevel="0" collapsed="false">
      <c r="B381" s="2"/>
    </row>
    <row r="382" s="3" customFormat="true" ht="12.75" hidden="false" customHeight="false" outlineLevel="0" collapsed="false">
      <c r="B382" s="2"/>
    </row>
    <row r="383" s="3" customFormat="true" ht="12.75" hidden="false" customHeight="false" outlineLevel="0" collapsed="false">
      <c r="B383" s="2"/>
    </row>
    <row r="384" s="3" customFormat="true" ht="12.75" hidden="false" customHeight="false" outlineLevel="0" collapsed="false">
      <c r="B384" s="2"/>
    </row>
    <row r="385" s="3" customFormat="true" ht="12.75" hidden="false" customHeight="false" outlineLevel="0" collapsed="false">
      <c r="B385" s="2"/>
    </row>
    <row r="386" s="3" customFormat="true" ht="12.75" hidden="false" customHeight="false" outlineLevel="0" collapsed="false">
      <c r="B386" s="2"/>
    </row>
    <row r="387" s="3" customFormat="true" ht="12.75" hidden="false" customHeight="false" outlineLevel="0" collapsed="false">
      <c r="B387" s="2"/>
    </row>
    <row r="388" s="3" customFormat="true" ht="12.75" hidden="false" customHeight="false" outlineLevel="0" collapsed="false">
      <c r="B388" s="2"/>
    </row>
    <row r="389" s="3" customFormat="true" ht="12.75" hidden="false" customHeight="false" outlineLevel="0" collapsed="false">
      <c r="B389" s="2"/>
    </row>
    <row r="390" s="3" customFormat="true" ht="12.75" hidden="false" customHeight="false" outlineLevel="0" collapsed="false">
      <c r="B390" s="2"/>
    </row>
    <row r="391" s="3" customFormat="true" ht="12.75" hidden="false" customHeight="false" outlineLevel="0" collapsed="false">
      <c r="B391" s="2"/>
    </row>
    <row r="392" s="3" customFormat="true" ht="12.75" hidden="false" customHeight="false" outlineLevel="0" collapsed="false">
      <c r="B392" s="2"/>
    </row>
    <row r="393" s="3" customFormat="true" ht="12.75" hidden="false" customHeight="false" outlineLevel="0" collapsed="false">
      <c r="B393" s="2"/>
    </row>
    <row r="394" s="3" customFormat="true" ht="12.75" hidden="false" customHeight="false" outlineLevel="0" collapsed="false">
      <c r="B394" s="2"/>
    </row>
    <row r="395" s="3" customFormat="true" ht="12.75" hidden="false" customHeight="false" outlineLevel="0" collapsed="false">
      <c r="B395" s="2"/>
    </row>
    <row r="396" s="3" customFormat="true" ht="12.75" hidden="false" customHeight="false" outlineLevel="0" collapsed="false">
      <c r="B396" s="2"/>
    </row>
    <row r="397" s="3" customFormat="true" ht="12.75" hidden="false" customHeight="false" outlineLevel="0" collapsed="false">
      <c r="B397" s="2"/>
    </row>
    <row r="398" s="3" customFormat="true" ht="12.75" hidden="false" customHeight="false" outlineLevel="0" collapsed="false">
      <c r="B398" s="2"/>
    </row>
    <row r="399" s="3" customFormat="true" ht="12.75" hidden="false" customHeight="false" outlineLevel="0" collapsed="false">
      <c r="B399" s="2"/>
    </row>
    <row r="400" s="3" customFormat="true" ht="12.75" hidden="false" customHeight="false" outlineLevel="0" collapsed="false">
      <c r="B400" s="2"/>
    </row>
    <row r="401" s="3" customFormat="true" ht="12.75" hidden="false" customHeight="false" outlineLevel="0" collapsed="false">
      <c r="B401" s="2"/>
    </row>
    <row r="402" s="3" customFormat="true" ht="12.75" hidden="false" customHeight="false" outlineLevel="0" collapsed="false">
      <c r="B402" s="2"/>
    </row>
    <row r="403" s="3" customFormat="true" ht="12.75" hidden="false" customHeight="false" outlineLevel="0" collapsed="false">
      <c r="B403" s="2"/>
    </row>
    <row r="404" s="3" customFormat="true" ht="12.75" hidden="false" customHeight="false" outlineLevel="0" collapsed="false">
      <c r="B404" s="2"/>
    </row>
    <row r="405" s="3" customFormat="true" ht="12.75" hidden="false" customHeight="false" outlineLevel="0" collapsed="false">
      <c r="B405" s="2"/>
    </row>
    <row r="406" s="3" customFormat="true" ht="12.75" hidden="false" customHeight="false" outlineLevel="0" collapsed="false">
      <c r="B406" s="2"/>
    </row>
    <row r="407" s="3" customFormat="true" ht="12.75" hidden="false" customHeight="false" outlineLevel="0" collapsed="false">
      <c r="B407" s="2"/>
    </row>
    <row r="408" s="3" customFormat="true" ht="12.75" hidden="false" customHeight="false" outlineLevel="0" collapsed="false">
      <c r="B408" s="2"/>
    </row>
    <row r="409" s="3" customFormat="true" ht="12.75" hidden="false" customHeight="false" outlineLevel="0" collapsed="false">
      <c r="B409" s="2"/>
    </row>
    <row r="410" s="3" customFormat="true" ht="12.75" hidden="false" customHeight="false" outlineLevel="0" collapsed="false">
      <c r="B410" s="2"/>
    </row>
    <row r="411" s="3" customFormat="true" ht="12.75" hidden="false" customHeight="false" outlineLevel="0" collapsed="false">
      <c r="B411" s="2"/>
    </row>
    <row r="412" s="3" customFormat="true" ht="12.75" hidden="false" customHeight="false" outlineLevel="0" collapsed="false">
      <c r="B412" s="2"/>
    </row>
    <row r="413" s="3" customFormat="true" ht="12.75" hidden="false" customHeight="false" outlineLevel="0" collapsed="false">
      <c r="B413" s="2"/>
    </row>
    <row r="414" s="3" customFormat="true" ht="12.75" hidden="false" customHeight="false" outlineLevel="0" collapsed="false">
      <c r="B414" s="2"/>
    </row>
    <row r="415" s="3" customFormat="true" ht="12.75" hidden="false" customHeight="false" outlineLevel="0" collapsed="false">
      <c r="B415" s="2"/>
    </row>
    <row r="416" s="3" customFormat="true" ht="12.75" hidden="false" customHeight="false" outlineLevel="0" collapsed="false">
      <c r="B416" s="2"/>
    </row>
    <row r="417" s="3" customFormat="true" ht="12.75" hidden="false" customHeight="false" outlineLevel="0" collapsed="false">
      <c r="B417" s="2"/>
    </row>
    <row r="418" s="3" customFormat="true" ht="12.75" hidden="false" customHeight="false" outlineLevel="0" collapsed="false">
      <c r="B418" s="2"/>
    </row>
    <row r="419" s="3" customFormat="true" ht="12.75" hidden="false" customHeight="false" outlineLevel="0" collapsed="false">
      <c r="B419" s="2"/>
    </row>
    <row r="420" s="3" customFormat="true" ht="12.75" hidden="false" customHeight="false" outlineLevel="0" collapsed="false">
      <c r="B420" s="2"/>
    </row>
    <row r="421" s="3" customFormat="true" ht="12.75" hidden="false" customHeight="false" outlineLevel="0" collapsed="false">
      <c r="B421" s="2"/>
    </row>
    <row r="422" s="3" customFormat="true" ht="12.75" hidden="false" customHeight="false" outlineLevel="0" collapsed="false">
      <c r="B422" s="2"/>
    </row>
    <row r="423" s="3" customFormat="true" ht="12.75" hidden="false" customHeight="false" outlineLevel="0" collapsed="false">
      <c r="B423" s="2"/>
    </row>
    <row r="424" s="3" customFormat="true" ht="12.75" hidden="false" customHeight="false" outlineLevel="0" collapsed="false">
      <c r="B424" s="2"/>
    </row>
    <row r="425" s="3" customFormat="true" ht="12.75" hidden="false" customHeight="false" outlineLevel="0" collapsed="false">
      <c r="B425" s="2"/>
    </row>
    <row r="426" s="3" customFormat="true" ht="12.75" hidden="false" customHeight="false" outlineLevel="0" collapsed="false">
      <c r="B426" s="2"/>
    </row>
    <row r="427" s="3" customFormat="true" ht="12.75" hidden="false" customHeight="false" outlineLevel="0" collapsed="false">
      <c r="B427" s="2"/>
    </row>
    <row r="428" s="3" customFormat="true" ht="12.75" hidden="false" customHeight="false" outlineLevel="0" collapsed="false">
      <c r="B428" s="2"/>
    </row>
    <row r="429" s="3" customFormat="true" ht="12.75" hidden="false" customHeight="false" outlineLevel="0" collapsed="false">
      <c r="B429" s="2"/>
    </row>
    <row r="430" s="3" customFormat="true" ht="12.75" hidden="false" customHeight="false" outlineLevel="0" collapsed="false">
      <c r="B430" s="2"/>
    </row>
    <row r="431" s="3" customFormat="true" ht="12.75" hidden="false" customHeight="false" outlineLevel="0" collapsed="false">
      <c r="B431" s="2"/>
    </row>
    <row r="432" s="3" customFormat="true" ht="12.75" hidden="false" customHeight="false" outlineLevel="0" collapsed="false">
      <c r="B432" s="2"/>
    </row>
    <row r="433" s="3" customFormat="true" ht="12.75" hidden="false" customHeight="false" outlineLevel="0" collapsed="false">
      <c r="B433" s="2"/>
    </row>
    <row r="434" s="3" customFormat="true" ht="12.75" hidden="false" customHeight="false" outlineLevel="0" collapsed="false">
      <c r="B434" s="2"/>
    </row>
    <row r="435" s="3" customFormat="true" ht="12.75" hidden="false" customHeight="false" outlineLevel="0" collapsed="false">
      <c r="B435" s="2"/>
    </row>
    <row r="436" s="3" customFormat="true" ht="12.75" hidden="false" customHeight="false" outlineLevel="0" collapsed="false">
      <c r="B436" s="2"/>
    </row>
    <row r="437" s="3" customFormat="true" ht="12.75" hidden="false" customHeight="false" outlineLevel="0" collapsed="false">
      <c r="B437" s="2"/>
    </row>
    <row r="438" s="3" customFormat="true" ht="12.75" hidden="false" customHeight="false" outlineLevel="0" collapsed="false">
      <c r="B438" s="2"/>
    </row>
    <row r="439" s="3" customFormat="true" ht="12.75" hidden="false" customHeight="false" outlineLevel="0" collapsed="false">
      <c r="B439" s="2"/>
    </row>
    <row r="440" s="3" customFormat="true" ht="12.75" hidden="false" customHeight="false" outlineLevel="0" collapsed="false">
      <c r="B440" s="2"/>
    </row>
    <row r="441" s="3" customFormat="true" ht="12.75" hidden="false" customHeight="false" outlineLevel="0" collapsed="false">
      <c r="B441" s="2"/>
    </row>
    <row r="442" s="3" customFormat="true" ht="12.75" hidden="false" customHeight="false" outlineLevel="0" collapsed="false">
      <c r="B442" s="2"/>
    </row>
    <row r="443" s="3" customFormat="true" ht="12.75" hidden="false" customHeight="false" outlineLevel="0" collapsed="false">
      <c r="B443" s="2"/>
    </row>
    <row r="444" s="3" customFormat="true" ht="12.75" hidden="false" customHeight="false" outlineLevel="0" collapsed="false">
      <c r="B444" s="2"/>
    </row>
    <row r="445" s="3" customFormat="true" ht="12.75" hidden="false" customHeight="false" outlineLevel="0" collapsed="false">
      <c r="B445" s="2"/>
    </row>
    <row r="446" s="3" customFormat="true" ht="12.75" hidden="false" customHeight="false" outlineLevel="0" collapsed="false">
      <c r="B446" s="2"/>
    </row>
    <row r="447" s="3" customFormat="true" ht="12.75" hidden="false" customHeight="false" outlineLevel="0" collapsed="false">
      <c r="B447" s="2"/>
    </row>
    <row r="448" s="3" customFormat="true" ht="12.75" hidden="false" customHeight="false" outlineLevel="0" collapsed="false">
      <c r="B448" s="2"/>
    </row>
    <row r="449" s="3" customFormat="true" ht="12.75" hidden="false" customHeight="false" outlineLevel="0" collapsed="false">
      <c r="B449" s="2"/>
    </row>
    <row r="450" s="3" customFormat="true" ht="12.75" hidden="false" customHeight="false" outlineLevel="0" collapsed="false">
      <c r="B450" s="2"/>
    </row>
    <row r="451" s="3" customFormat="true" ht="12.75" hidden="false" customHeight="false" outlineLevel="0" collapsed="false">
      <c r="B451" s="2"/>
    </row>
    <row r="452" s="3" customFormat="true" ht="12.75" hidden="false" customHeight="false" outlineLevel="0" collapsed="false">
      <c r="B452" s="2"/>
    </row>
    <row r="453" s="3" customFormat="true" ht="12.75" hidden="false" customHeight="false" outlineLevel="0" collapsed="false">
      <c r="B453" s="2"/>
    </row>
    <row r="454" s="3" customFormat="true" ht="12.75" hidden="false" customHeight="false" outlineLevel="0" collapsed="false">
      <c r="B454" s="2"/>
    </row>
    <row r="455" s="3" customFormat="true" ht="12.75" hidden="false" customHeight="false" outlineLevel="0" collapsed="false">
      <c r="B455" s="2"/>
    </row>
    <row r="456" s="3" customFormat="true" ht="12.75" hidden="false" customHeight="false" outlineLevel="0" collapsed="false">
      <c r="B456" s="2"/>
    </row>
    <row r="457" s="3" customFormat="true" ht="12.75" hidden="false" customHeight="false" outlineLevel="0" collapsed="false">
      <c r="B457" s="2"/>
    </row>
    <row r="458" s="3" customFormat="true" ht="12.75" hidden="false" customHeight="false" outlineLevel="0" collapsed="false">
      <c r="B458" s="2"/>
    </row>
    <row r="459" s="3" customFormat="true" ht="12.75" hidden="false" customHeight="false" outlineLevel="0" collapsed="false">
      <c r="B459" s="2"/>
    </row>
    <row r="460" s="3" customFormat="true" ht="12.75" hidden="false" customHeight="false" outlineLevel="0" collapsed="false">
      <c r="B460" s="2"/>
    </row>
    <row r="461" s="3" customFormat="true" ht="12.75" hidden="false" customHeight="false" outlineLevel="0" collapsed="false">
      <c r="B461" s="2"/>
    </row>
    <row r="462" s="3" customFormat="true" ht="12.75" hidden="false" customHeight="false" outlineLevel="0" collapsed="false">
      <c r="B462" s="2"/>
    </row>
    <row r="463" s="3" customFormat="true" ht="12.75" hidden="false" customHeight="false" outlineLevel="0" collapsed="false">
      <c r="B463" s="2"/>
    </row>
    <row r="464" s="3" customFormat="true" ht="12.75" hidden="false" customHeight="false" outlineLevel="0" collapsed="false">
      <c r="B464" s="2"/>
    </row>
    <row r="465" s="3" customFormat="true" ht="12.75" hidden="false" customHeight="false" outlineLevel="0" collapsed="false">
      <c r="B465" s="2"/>
    </row>
    <row r="466" s="3" customFormat="true" ht="12.75" hidden="false" customHeight="false" outlineLevel="0" collapsed="false">
      <c r="B466" s="2"/>
    </row>
    <row r="467" s="3" customFormat="true" ht="12.75" hidden="false" customHeight="false" outlineLevel="0" collapsed="false">
      <c r="B467" s="2"/>
    </row>
    <row r="468" s="3" customFormat="true" ht="12.75" hidden="false" customHeight="false" outlineLevel="0" collapsed="false">
      <c r="B468" s="2"/>
    </row>
    <row r="469" s="3" customFormat="true" ht="12.75" hidden="false" customHeight="false" outlineLevel="0" collapsed="false">
      <c r="B469" s="2"/>
    </row>
    <row r="470" s="3" customFormat="true" ht="12.75" hidden="false" customHeight="false" outlineLevel="0" collapsed="false">
      <c r="B470" s="2"/>
    </row>
    <row r="471" s="3" customFormat="true" ht="12.75" hidden="false" customHeight="false" outlineLevel="0" collapsed="false">
      <c r="B471" s="2"/>
    </row>
    <row r="472" s="3" customFormat="true" ht="12.75" hidden="false" customHeight="false" outlineLevel="0" collapsed="false">
      <c r="B472" s="2"/>
    </row>
    <row r="473" s="3" customFormat="true" ht="12.75" hidden="false" customHeight="false" outlineLevel="0" collapsed="false">
      <c r="B473" s="2"/>
    </row>
    <row r="474" s="3" customFormat="true" ht="12.75" hidden="false" customHeight="false" outlineLevel="0" collapsed="false">
      <c r="B474" s="2"/>
    </row>
    <row r="475" s="3" customFormat="true" ht="12.75" hidden="false" customHeight="false" outlineLevel="0" collapsed="false">
      <c r="B475" s="2"/>
    </row>
    <row r="476" s="3" customFormat="true" ht="12.75" hidden="false" customHeight="false" outlineLevel="0" collapsed="false">
      <c r="B476" s="2"/>
    </row>
    <row r="477" s="3" customFormat="true" ht="12.75" hidden="false" customHeight="false" outlineLevel="0" collapsed="false">
      <c r="B477" s="2"/>
    </row>
    <row r="478" s="3" customFormat="true" ht="12.75" hidden="false" customHeight="false" outlineLevel="0" collapsed="false">
      <c r="B478" s="2"/>
    </row>
    <row r="479" s="3" customFormat="true" ht="12.75" hidden="false" customHeight="false" outlineLevel="0" collapsed="false">
      <c r="B479" s="2"/>
    </row>
    <row r="480" s="3" customFormat="true" ht="12.75" hidden="false" customHeight="false" outlineLevel="0" collapsed="false">
      <c r="B480" s="2"/>
    </row>
    <row r="481" s="3" customFormat="true" ht="12.75" hidden="false" customHeight="false" outlineLevel="0" collapsed="false">
      <c r="B481" s="2"/>
    </row>
    <row r="482" s="3" customFormat="true" ht="12.75" hidden="false" customHeight="false" outlineLevel="0" collapsed="false">
      <c r="B482" s="2"/>
    </row>
    <row r="483" s="3" customFormat="true" ht="12.75" hidden="false" customHeight="false" outlineLevel="0" collapsed="false">
      <c r="B483" s="2"/>
    </row>
    <row r="484" s="3" customFormat="true" ht="12.75" hidden="false" customHeight="false" outlineLevel="0" collapsed="false">
      <c r="B484" s="2"/>
    </row>
    <row r="485" s="3" customFormat="true" ht="12.75" hidden="false" customHeight="false" outlineLevel="0" collapsed="false">
      <c r="B485" s="2"/>
    </row>
    <row r="486" s="3" customFormat="true" ht="12.75" hidden="false" customHeight="false" outlineLevel="0" collapsed="false">
      <c r="B486" s="2"/>
    </row>
    <row r="487" s="3" customFormat="true" ht="12.75" hidden="false" customHeight="false" outlineLevel="0" collapsed="false">
      <c r="B487" s="2"/>
    </row>
    <row r="488" s="3" customFormat="true" ht="12.75" hidden="false" customHeight="false" outlineLevel="0" collapsed="false">
      <c r="B488" s="2"/>
    </row>
    <row r="489" s="3" customFormat="true" ht="12.75" hidden="false" customHeight="false" outlineLevel="0" collapsed="false">
      <c r="B489" s="2"/>
    </row>
    <row r="490" s="3" customFormat="true" ht="12.75" hidden="false" customHeight="false" outlineLevel="0" collapsed="false">
      <c r="B490" s="2"/>
    </row>
    <row r="491" s="3" customFormat="true" ht="12.75" hidden="false" customHeight="false" outlineLevel="0" collapsed="false">
      <c r="B491" s="2"/>
    </row>
    <row r="492" s="3" customFormat="true" ht="12.75" hidden="false" customHeight="false" outlineLevel="0" collapsed="false">
      <c r="B492" s="2"/>
    </row>
    <row r="493" s="3" customFormat="true" ht="12.75" hidden="false" customHeight="false" outlineLevel="0" collapsed="false">
      <c r="B493" s="2"/>
    </row>
    <row r="494" s="3" customFormat="true" ht="12.75" hidden="false" customHeight="false" outlineLevel="0" collapsed="false">
      <c r="B494" s="2"/>
    </row>
    <row r="495" s="3" customFormat="true" ht="12.75" hidden="false" customHeight="false" outlineLevel="0" collapsed="false">
      <c r="B495" s="2"/>
    </row>
    <row r="496" s="3" customFormat="true" ht="12.75" hidden="false" customHeight="false" outlineLevel="0" collapsed="false">
      <c r="B496" s="2"/>
    </row>
    <row r="497" s="3" customFormat="true" ht="12.75" hidden="false" customHeight="false" outlineLevel="0" collapsed="false">
      <c r="B497" s="2"/>
    </row>
    <row r="498" s="3" customFormat="true" ht="12.75" hidden="false" customHeight="false" outlineLevel="0" collapsed="false">
      <c r="B498" s="2"/>
    </row>
    <row r="499" s="3" customFormat="true" ht="12.75" hidden="false" customHeight="false" outlineLevel="0" collapsed="false">
      <c r="B499" s="2"/>
    </row>
    <row r="500" s="3" customFormat="true" ht="12.75" hidden="false" customHeight="false" outlineLevel="0" collapsed="false">
      <c r="B500" s="2"/>
    </row>
    <row r="501" s="3" customFormat="true" ht="12.75" hidden="false" customHeight="false" outlineLevel="0" collapsed="false">
      <c r="B501" s="2"/>
    </row>
    <row r="502" s="3" customFormat="true" ht="12.75" hidden="false" customHeight="false" outlineLevel="0" collapsed="false">
      <c r="B502" s="2"/>
    </row>
    <row r="503" s="3" customFormat="true" ht="12.75" hidden="false" customHeight="false" outlineLevel="0" collapsed="false">
      <c r="B503" s="2"/>
    </row>
    <row r="504" s="3" customFormat="true" ht="12.75" hidden="false" customHeight="false" outlineLevel="0" collapsed="false">
      <c r="B504" s="2"/>
    </row>
    <row r="505" s="3" customFormat="true" ht="12.75" hidden="false" customHeight="false" outlineLevel="0" collapsed="false">
      <c r="B505" s="2"/>
    </row>
    <row r="506" s="3" customFormat="true" ht="12.75" hidden="false" customHeight="false" outlineLevel="0" collapsed="false">
      <c r="B506" s="2"/>
    </row>
    <row r="507" s="3" customFormat="true" ht="12.75" hidden="false" customHeight="false" outlineLevel="0" collapsed="false">
      <c r="B507" s="2"/>
    </row>
    <row r="508" s="3" customFormat="true" ht="12.75" hidden="false" customHeight="false" outlineLevel="0" collapsed="false">
      <c r="B508" s="2"/>
    </row>
    <row r="509" s="3" customFormat="true" ht="12.75" hidden="false" customHeight="false" outlineLevel="0" collapsed="false">
      <c r="B509" s="2"/>
    </row>
    <row r="510" s="3" customFormat="true" ht="12.75" hidden="false" customHeight="false" outlineLevel="0" collapsed="false">
      <c r="B510" s="2"/>
    </row>
    <row r="511" s="3" customFormat="true" ht="12.75" hidden="false" customHeight="false" outlineLevel="0" collapsed="false">
      <c r="B511" s="2"/>
    </row>
    <row r="512" s="3" customFormat="true" ht="12.75" hidden="false" customHeight="false" outlineLevel="0" collapsed="false">
      <c r="B512" s="2"/>
    </row>
    <row r="513" s="3" customFormat="true" ht="12.75" hidden="false" customHeight="false" outlineLevel="0" collapsed="false">
      <c r="B513" s="2"/>
    </row>
    <row r="514" s="3" customFormat="true" ht="12.75" hidden="false" customHeight="false" outlineLevel="0" collapsed="false">
      <c r="B514" s="2"/>
    </row>
    <row r="515" s="3" customFormat="true" ht="12.75" hidden="false" customHeight="false" outlineLevel="0" collapsed="false">
      <c r="B515" s="2"/>
    </row>
    <row r="516" s="3" customFormat="true" ht="12.75" hidden="false" customHeight="false" outlineLevel="0" collapsed="false">
      <c r="B516" s="2"/>
    </row>
    <row r="517" s="3" customFormat="true" ht="12.75" hidden="false" customHeight="false" outlineLevel="0" collapsed="false">
      <c r="B517" s="2"/>
    </row>
    <row r="518" s="3" customFormat="true" ht="12.75" hidden="false" customHeight="false" outlineLevel="0" collapsed="false">
      <c r="B518" s="2"/>
    </row>
    <row r="519" s="3" customFormat="true" ht="12.75" hidden="false" customHeight="false" outlineLevel="0" collapsed="false">
      <c r="B519" s="2"/>
    </row>
    <row r="520" s="3" customFormat="true" ht="12.75" hidden="false" customHeight="false" outlineLevel="0" collapsed="false">
      <c r="B520" s="2"/>
    </row>
    <row r="521" s="3" customFormat="true" ht="12.75" hidden="false" customHeight="false" outlineLevel="0" collapsed="false">
      <c r="B521" s="2"/>
    </row>
    <row r="522" s="3" customFormat="true" ht="12.75" hidden="false" customHeight="false" outlineLevel="0" collapsed="false">
      <c r="B522" s="2"/>
    </row>
    <row r="523" s="3" customFormat="true" ht="12.75" hidden="false" customHeight="false" outlineLevel="0" collapsed="false">
      <c r="B523" s="2"/>
    </row>
    <row r="524" s="3" customFormat="true" ht="12.75" hidden="false" customHeight="false" outlineLevel="0" collapsed="false">
      <c r="B524" s="2"/>
    </row>
    <row r="525" s="3" customFormat="true" ht="12.75" hidden="false" customHeight="false" outlineLevel="0" collapsed="false">
      <c r="B525" s="2"/>
    </row>
    <row r="526" s="3" customFormat="true" ht="12.75" hidden="false" customHeight="false" outlineLevel="0" collapsed="false">
      <c r="B526" s="2"/>
    </row>
    <row r="527" s="3" customFormat="true" ht="12.75" hidden="false" customHeight="false" outlineLevel="0" collapsed="false">
      <c r="B527" s="2"/>
    </row>
    <row r="528" s="3" customFormat="true" ht="12.75" hidden="false" customHeight="false" outlineLevel="0" collapsed="false">
      <c r="B528" s="2"/>
    </row>
    <row r="529" s="3" customFormat="true" ht="12.75" hidden="false" customHeight="false" outlineLevel="0" collapsed="false">
      <c r="B529" s="2"/>
    </row>
    <row r="530" s="3" customFormat="true" ht="12.75" hidden="false" customHeight="false" outlineLevel="0" collapsed="false">
      <c r="B530" s="2"/>
    </row>
    <row r="531" s="3" customFormat="true" ht="12.75" hidden="false" customHeight="false" outlineLevel="0" collapsed="false">
      <c r="B531" s="2"/>
    </row>
    <row r="532" s="3" customFormat="true" ht="12.75" hidden="false" customHeight="false" outlineLevel="0" collapsed="false">
      <c r="B532" s="2"/>
    </row>
    <row r="533" s="3" customFormat="true" ht="12.75" hidden="false" customHeight="false" outlineLevel="0" collapsed="false">
      <c r="B533" s="2"/>
    </row>
    <row r="534" s="3" customFormat="true" ht="12.75" hidden="false" customHeight="false" outlineLevel="0" collapsed="false">
      <c r="B534" s="2"/>
    </row>
    <row r="535" s="3" customFormat="true" ht="12.75" hidden="false" customHeight="false" outlineLevel="0" collapsed="false">
      <c r="B535" s="2"/>
    </row>
    <row r="536" s="3" customFormat="true" ht="12.75" hidden="false" customHeight="false" outlineLevel="0" collapsed="false">
      <c r="B536" s="2"/>
    </row>
    <row r="537" s="3" customFormat="true" ht="12.75" hidden="false" customHeight="false" outlineLevel="0" collapsed="false">
      <c r="B537" s="2"/>
    </row>
    <row r="538" s="3" customFormat="true" ht="12.75" hidden="false" customHeight="false" outlineLevel="0" collapsed="false">
      <c r="B538" s="2"/>
    </row>
    <row r="539" s="3" customFormat="true" ht="12.75" hidden="false" customHeight="false" outlineLevel="0" collapsed="false">
      <c r="B539" s="2"/>
    </row>
    <row r="540" s="3" customFormat="true" ht="12.75" hidden="false" customHeight="false" outlineLevel="0" collapsed="false">
      <c r="B540" s="2"/>
    </row>
    <row r="541" s="3" customFormat="true" ht="12.75" hidden="false" customHeight="false" outlineLevel="0" collapsed="false">
      <c r="B541" s="2"/>
    </row>
    <row r="542" s="3" customFormat="true" ht="12.75" hidden="false" customHeight="false" outlineLevel="0" collapsed="false">
      <c r="B542" s="2"/>
    </row>
    <row r="543" s="3" customFormat="true" ht="12.75" hidden="false" customHeight="false" outlineLevel="0" collapsed="false">
      <c r="B543" s="2"/>
    </row>
    <row r="544" s="3" customFormat="true" ht="12.75" hidden="false" customHeight="false" outlineLevel="0" collapsed="false">
      <c r="B544" s="2"/>
    </row>
    <row r="545" s="3" customFormat="true" ht="12.75" hidden="false" customHeight="false" outlineLevel="0" collapsed="false">
      <c r="B545" s="2"/>
    </row>
    <row r="546" s="3" customFormat="true" ht="12.75" hidden="false" customHeight="false" outlineLevel="0" collapsed="false">
      <c r="B546" s="2"/>
    </row>
    <row r="547" s="3" customFormat="true" ht="12.75" hidden="false" customHeight="false" outlineLevel="0" collapsed="false">
      <c r="B547" s="2"/>
    </row>
    <row r="548" s="3" customFormat="true" ht="12.75" hidden="false" customHeight="false" outlineLevel="0" collapsed="false">
      <c r="B548" s="2"/>
    </row>
    <row r="549" s="3" customFormat="true" ht="12.75" hidden="false" customHeight="false" outlineLevel="0" collapsed="false">
      <c r="B549" s="2"/>
    </row>
    <row r="550" s="3" customFormat="true" ht="12.75" hidden="false" customHeight="false" outlineLevel="0" collapsed="false">
      <c r="B550" s="2"/>
    </row>
    <row r="551" s="3" customFormat="true" ht="12.75" hidden="false" customHeight="false" outlineLevel="0" collapsed="false">
      <c r="B551" s="2"/>
    </row>
    <row r="552" s="3" customFormat="true" ht="12.75" hidden="false" customHeight="false" outlineLevel="0" collapsed="false">
      <c r="B552" s="2"/>
    </row>
    <row r="553" s="3" customFormat="true" ht="12.75" hidden="false" customHeight="false" outlineLevel="0" collapsed="false">
      <c r="B553" s="2"/>
    </row>
    <row r="554" s="3" customFormat="true" ht="12.75" hidden="false" customHeight="false" outlineLevel="0" collapsed="false">
      <c r="B554" s="2"/>
    </row>
    <row r="555" s="3" customFormat="true" ht="12.75" hidden="false" customHeight="false" outlineLevel="0" collapsed="false">
      <c r="B555" s="2"/>
    </row>
    <row r="556" s="3" customFormat="true" ht="12.75" hidden="false" customHeight="false" outlineLevel="0" collapsed="false">
      <c r="B556" s="2"/>
    </row>
    <row r="557" s="3" customFormat="true" ht="12.75" hidden="false" customHeight="false" outlineLevel="0" collapsed="false">
      <c r="B557" s="2"/>
    </row>
    <row r="558" s="3" customFormat="true" ht="12.75" hidden="false" customHeight="false" outlineLevel="0" collapsed="false">
      <c r="B558" s="2"/>
    </row>
    <row r="559" s="3" customFormat="true" ht="12.75" hidden="false" customHeight="false" outlineLevel="0" collapsed="false">
      <c r="B559" s="2"/>
    </row>
    <row r="560" s="3" customFormat="true" ht="12.75" hidden="false" customHeight="false" outlineLevel="0" collapsed="false">
      <c r="B560" s="2"/>
    </row>
    <row r="561" s="3" customFormat="true" ht="12.75" hidden="false" customHeight="false" outlineLevel="0" collapsed="false">
      <c r="B561" s="2"/>
    </row>
    <row r="562" s="3" customFormat="true" ht="12.75" hidden="false" customHeight="false" outlineLevel="0" collapsed="false">
      <c r="B562" s="2"/>
    </row>
    <row r="563" s="3" customFormat="true" ht="12.75" hidden="false" customHeight="false" outlineLevel="0" collapsed="false">
      <c r="B563" s="2"/>
    </row>
    <row r="564" s="3" customFormat="true" ht="12.75" hidden="false" customHeight="false" outlineLevel="0" collapsed="false">
      <c r="B564" s="2"/>
    </row>
    <row r="565" s="3" customFormat="true" ht="12.75" hidden="false" customHeight="false" outlineLevel="0" collapsed="false">
      <c r="B565" s="2"/>
    </row>
    <row r="566" s="3" customFormat="true" ht="12.75" hidden="false" customHeight="false" outlineLevel="0" collapsed="false">
      <c r="B566" s="2"/>
    </row>
    <row r="567" s="3" customFormat="true" ht="12.75" hidden="false" customHeight="false" outlineLevel="0" collapsed="false">
      <c r="B567" s="2"/>
    </row>
    <row r="568" s="3" customFormat="true" ht="12.75" hidden="false" customHeight="false" outlineLevel="0" collapsed="false">
      <c r="B568" s="2"/>
    </row>
    <row r="569" s="3" customFormat="true" ht="12.75" hidden="false" customHeight="false" outlineLevel="0" collapsed="false">
      <c r="B569" s="2"/>
    </row>
    <row r="570" s="3" customFormat="true" ht="12.75" hidden="false" customHeight="false" outlineLevel="0" collapsed="false">
      <c r="B570" s="2"/>
    </row>
    <row r="571" s="3" customFormat="true" ht="12.75" hidden="false" customHeight="false" outlineLevel="0" collapsed="false">
      <c r="B571" s="2"/>
    </row>
    <row r="572" s="3" customFormat="true" ht="12.75" hidden="false" customHeight="false" outlineLevel="0" collapsed="false">
      <c r="B572" s="2"/>
    </row>
    <row r="573" s="3" customFormat="true" ht="12.75" hidden="false" customHeight="false" outlineLevel="0" collapsed="false">
      <c r="B573" s="2"/>
    </row>
    <row r="574" s="3" customFormat="true" ht="12.75" hidden="false" customHeight="false" outlineLevel="0" collapsed="false">
      <c r="B574" s="2"/>
    </row>
    <row r="575" s="3" customFormat="true" ht="12.75" hidden="false" customHeight="false" outlineLevel="0" collapsed="false">
      <c r="B575" s="2"/>
    </row>
    <row r="576" s="3" customFormat="true" ht="12.75" hidden="false" customHeight="false" outlineLevel="0" collapsed="false">
      <c r="B576" s="2"/>
    </row>
    <row r="577" s="3" customFormat="true" ht="12.75" hidden="false" customHeight="false" outlineLevel="0" collapsed="false">
      <c r="B577" s="2"/>
    </row>
    <row r="578" s="3" customFormat="true" ht="12.75" hidden="false" customHeight="false" outlineLevel="0" collapsed="false">
      <c r="B578" s="2"/>
    </row>
    <row r="579" s="3" customFormat="true" ht="12.75" hidden="false" customHeight="false" outlineLevel="0" collapsed="false">
      <c r="B579" s="2"/>
    </row>
    <row r="580" s="3" customFormat="true" ht="12.75" hidden="false" customHeight="false" outlineLevel="0" collapsed="false">
      <c r="B580" s="2"/>
    </row>
    <row r="581" s="3" customFormat="true" ht="12.75" hidden="false" customHeight="false" outlineLevel="0" collapsed="false">
      <c r="B581" s="2"/>
    </row>
    <row r="582" s="3" customFormat="true" ht="12.75" hidden="false" customHeight="false" outlineLevel="0" collapsed="false">
      <c r="B582" s="2"/>
    </row>
    <row r="583" s="3" customFormat="true" ht="12.75" hidden="false" customHeight="false" outlineLevel="0" collapsed="false">
      <c r="B583" s="2"/>
    </row>
    <row r="584" s="3" customFormat="true" ht="12.75" hidden="false" customHeight="false" outlineLevel="0" collapsed="false">
      <c r="B584" s="2"/>
    </row>
    <row r="585" s="3" customFormat="true" ht="12.75" hidden="false" customHeight="false" outlineLevel="0" collapsed="false">
      <c r="B585" s="2"/>
    </row>
    <row r="586" s="3" customFormat="true" ht="12.75" hidden="false" customHeight="false" outlineLevel="0" collapsed="false">
      <c r="B586" s="2"/>
    </row>
    <row r="587" s="3" customFormat="true" ht="12.75" hidden="false" customHeight="false" outlineLevel="0" collapsed="false">
      <c r="B587" s="2"/>
    </row>
    <row r="588" s="3" customFormat="true" ht="12.75" hidden="false" customHeight="false" outlineLevel="0" collapsed="false">
      <c r="B588" s="2"/>
    </row>
    <row r="589" s="3" customFormat="true" ht="12.75" hidden="false" customHeight="false" outlineLevel="0" collapsed="false">
      <c r="B589" s="2"/>
    </row>
    <row r="590" s="3" customFormat="true" ht="12.75" hidden="false" customHeight="false" outlineLevel="0" collapsed="false">
      <c r="B590" s="2"/>
    </row>
    <row r="591" s="3" customFormat="true" ht="12.75" hidden="false" customHeight="false" outlineLevel="0" collapsed="false">
      <c r="B591" s="2"/>
    </row>
    <row r="592" s="3" customFormat="true" ht="12.75" hidden="false" customHeight="false" outlineLevel="0" collapsed="false">
      <c r="B592" s="2"/>
    </row>
    <row r="593" s="3" customFormat="true" ht="12.75" hidden="false" customHeight="false" outlineLevel="0" collapsed="false">
      <c r="B593" s="2"/>
    </row>
    <row r="594" s="3" customFormat="true" ht="12.75" hidden="false" customHeight="false" outlineLevel="0" collapsed="false">
      <c r="B594" s="2"/>
    </row>
    <row r="595" s="3" customFormat="true" ht="12.75" hidden="false" customHeight="false" outlineLevel="0" collapsed="false">
      <c r="B595" s="2"/>
    </row>
    <row r="596" s="3" customFormat="true" ht="12.75" hidden="false" customHeight="false" outlineLevel="0" collapsed="false">
      <c r="B596" s="2"/>
    </row>
    <row r="597" s="3" customFormat="true" ht="12.75" hidden="false" customHeight="false" outlineLevel="0" collapsed="false">
      <c r="B597" s="2"/>
    </row>
    <row r="598" s="3" customFormat="true" ht="12.75" hidden="false" customHeight="false" outlineLevel="0" collapsed="false">
      <c r="B598" s="2"/>
    </row>
    <row r="599" s="3" customFormat="true" ht="12.75" hidden="false" customHeight="false" outlineLevel="0" collapsed="false">
      <c r="B599" s="2"/>
    </row>
  </sheetData>
  <mergeCells count="32">
    <mergeCell ref="O11:S11"/>
    <mergeCell ref="N12:S12"/>
    <mergeCell ref="F15:J15"/>
    <mergeCell ref="E16:K16"/>
    <mergeCell ref="P16:S16"/>
    <mergeCell ref="F17:J17"/>
    <mergeCell ref="P17:S17"/>
    <mergeCell ref="P18:S20"/>
    <mergeCell ref="P23:S23"/>
    <mergeCell ref="P24:R24"/>
    <mergeCell ref="Q29:S29"/>
    <mergeCell ref="M31:T34"/>
    <mergeCell ref="C32:J32"/>
    <mergeCell ref="C33:J33"/>
    <mergeCell ref="C34:J34"/>
    <mergeCell ref="O35:T35"/>
    <mergeCell ref="O36:Q36"/>
    <mergeCell ref="O37:Q37"/>
    <mergeCell ref="O38:Q38"/>
    <mergeCell ref="O39:Q39"/>
    <mergeCell ref="O40:S40"/>
    <mergeCell ref="O41:Q41"/>
    <mergeCell ref="C42:J42"/>
    <mergeCell ref="O42:Q42"/>
    <mergeCell ref="C43:J43"/>
    <mergeCell ref="O43:Q43"/>
    <mergeCell ref="O44:Q44"/>
    <mergeCell ref="O46:T46"/>
    <mergeCell ref="O47:Q47"/>
    <mergeCell ref="O48:Q48"/>
    <mergeCell ref="O49:Q49"/>
    <mergeCell ref="O50:Q50"/>
  </mergeCells>
  <printOptions headings="false" gridLines="false" gridLinesSet="true" horizontalCentered="false" verticalCentered="false"/>
  <pageMargins left="0" right="0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89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1" ySplit="5" topLeftCell="F33" activePane="bottomRight" state="frozen"/>
      <selection pane="topLeft" activeCell="A1" activeCellId="0" sqref="A1"/>
      <selection pane="topRight" activeCell="F1" activeCellId="0" sqref="F1"/>
      <selection pane="bottomLeft" activeCell="A33" activeCellId="0" sqref="A33"/>
      <selection pane="bottomRight" activeCell="G55" activeCellId="0" sqref="G55"/>
    </sheetView>
  </sheetViews>
  <sheetFormatPr defaultColWidth="9.15625" defaultRowHeight="12.75" zeroHeight="false" outlineLevelRow="0" outlineLevelCol="0"/>
  <cols>
    <col collapsed="false" customWidth="true" hidden="false" outlineLevel="0" max="1" min="1" style="333" width="8.86"/>
    <col collapsed="false" customWidth="true" hidden="false" outlineLevel="0" max="2" min="2" style="333" width="12.86"/>
    <col collapsed="false" customWidth="true" hidden="false" outlineLevel="0" max="3" min="3" style="333" width="13.57"/>
    <col collapsed="false" customWidth="true" hidden="false" outlineLevel="0" max="4" min="4" style="333" width="13.01"/>
    <col collapsed="false" customWidth="true" hidden="false" outlineLevel="0" max="5" min="5" style="333" width="14.01"/>
    <col collapsed="false" customWidth="true" hidden="false" outlineLevel="0" max="6" min="6" style="333" width="14.15"/>
    <col collapsed="false" customWidth="true" hidden="false" outlineLevel="0" max="7" min="7" style="333" width="15.29"/>
    <col collapsed="false" customWidth="true" hidden="false" outlineLevel="0" max="8" min="8" style="333" width="14.86"/>
    <col collapsed="false" customWidth="true" hidden="false" outlineLevel="0" max="9" min="9" style="333" width="15.86"/>
    <col collapsed="false" customWidth="true" hidden="false" outlineLevel="0" max="10" min="10" style="333" width="16"/>
    <col collapsed="false" customWidth="true" hidden="false" outlineLevel="0" max="11" min="11" style="333" width="15.29"/>
    <col collapsed="false" customWidth="false" hidden="false" outlineLevel="0" max="1024" min="12" style="333" width="9.14"/>
  </cols>
  <sheetData>
    <row r="1" s="380" customFormat="true" ht="15.75" hidden="false" customHeight="false" outlineLevel="0" collapsed="false">
      <c r="B1" s="501"/>
      <c r="C1" s="501"/>
      <c r="D1" s="381" t="s">
        <v>328</v>
      </c>
      <c r="E1" s="381"/>
      <c r="F1" s="381"/>
      <c r="G1" s="382" t="s">
        <v>405</v>
      </c>
      <c r="H1" s="382"/>
      <c r="I1" s="382"/>
      <c r="J1" s="501"/>
      <c r="K1" s="502" t="s">
        <v>406</v>
      </c>
    </row>
    <row r="2" s="349" customFormat="true" ht="12" hidden="false" customHeight="false" outlineLevel="0" collapsed="false">
      <c r="F2" s="383"/>
      <c r="K2" s="383" t="s">
        <v>110</v>
      </c>
    </row>
    <row r="3" s="349" customFormat="true" ht="15.75" hidden="false" customHeight="true" outlineLevel="0" collapsed="false">
      <c r="A3" s="385" t="s">
        <v>407</v>
      </c>
      <c r="B3" s="131" t="s">
        <v>317</v>
      </c>
      <c r="C3" s="131" t="s">
        <v>408</v>
      </c>
      <c r="D3" s="269" t="s">
        <v>409</v>
      </c>
      <c r="E3" s="269"/>
      <c r="F3" s="269"/>
      <c r="G3" s="269" t="s">
        <v>410</v>
      </c>
      <c r="H3" s="269"/>
      <c r="I3" s="269"/>
      <c r="J3" s="131" t="s">
        <v>411</v>
      </c>
      <c r="K3" s="131" t="s">
        <v>412</v>
      </c>
    </row>
    <row r="4" s="349" customFormat="true" ht="15" hidden="false" customHeight="true" outlineLevel="0" collapsed="false">
      <c r="A4" s="385"/>
      <c r="B4" s="131"/>
      <c r="C4" s="131"/>
      <c r="D4" s="147" t="s">
        <v>340</v>
      </c>
      <c r="E4" s="147" t="s">
        <v>341</v>
      </c>
      <c r="F4" s="131" t="s">
        <v>413</v>
      </c>
      <c r="G4" s="147" t="s">
        <v>340</v>
      </c>
      <c r="H4" s="147" t="s">
        <v>341</v>
      </c>
      <c r="I4" s="131" t="s">
        <v>175</v>
      </c>
      <c r="J4" s="131"/>
      <c r="K4" s="131"/>
    </row>
    <row r="5" s="505" customFormat="true" ht="11.25" hidden="false" customHeight="true" outlineLevel="0" collapsed="false">
      <c r="A5" s="385"/>
      <c r="B5" s="503" t="n">
        <v>1</v>
      </c>
      <c r="C5" s="503" t="n">
        <v>2</v>
      </c>
      <c r="D5" s="504" t="n">
        <v>3</v>
      </c>
      <c r="E5" s="427" t="n">
        <v>4</v>
      </c>
      <c r="F5" s="504" t="s">
        <v>414</v>
      </c>
      <c r="G5" s="503" t="n">
        <v>6</v>
      </c>
      <c r="H5" s="503" t="n">
        <v>7</v>
      </c>
      <c r="I5" s="503" t="s">
        <v>415</v>
      </c>
      <c r="J5" s="427" t="n">
        <v>9</v>
      </c>
      <c r="K5" s="427" t="s">
        <v>416</v>
      </c>
    </row>
    <row r="6" customFormat="false" ht="11.85" hidden="false" customHeight="true" outlineLevel="0" collapsed="false">
      <c r="A6" s="506" t="s">
        <v>203</v>
      </c>
      <c r="B6" s="358" t="n">
        <v>115781.9</v>
      </c>
      <c r="C6" s="178" t="n">
        <v>12.31</v>
      </c>
      <c r="D6" s="358" t="n">
        <v>1762.9</v>
      </c>
      <c r="E6" s="178" t="n">
        <v>855.33</v>
      </c>
      <c r="F6" s="178" t="n">
        <f aca="false">D6+E6</f>
        <v>2618.23</v>
      </c>
      <c r="G6" s="358" t="n">
        <v>11081.4</v>
      </c>
      <c r="H6" s="178" t="n">
        <v>215758.99</v>
      </c>
      <c r="I6" s="178" t="n">
        <f aca="false">G6+H6</f>
        <v>226840.39</v>
      </c>
      <c r="J6" s="178" t="n">
        <v>68779.06</v>
      </c>
      <c r="K6" s="178" t="n">
        <f aca="false">B6+C6+F6+I6+J6</f>
        <v>414031.89</v>
      </c>
      <c r="M6" s="401"/>
    </row>
    <row r="7" customFormat="false" ht="11.85" hidden="false" customHeight="true" outlineLevel="0" collapsed="false">
      <c r="A7" s="507" t="s">
        <v>205</v>
      </c>
      <c r="B7" s="355" t="n">
        <v>137011.5</v>
      </c>
      <c r="C7" s="168" t="n">
        <v>9.4</v>
      </c>
      <c r="D7" s="355" t="n">
        <v>2162.1</v>
      </c>
      <c r="E7" s="168" t="n">
        <v>2320.9</v>
      </c>
      <c r="F7" s="168" t="n">
        <f aca="false">D7+E7</f>
        <v>4483</v>
      </c>
      <c r="G7" s="355" t="n">
        <v>14837.8</v>
      </c>
      <c r="H7" s="168" t="n">
        <v>273618.9</v>
      </c>
      <c r="I7" s="168" t="n">
        <f aca="false">G7+H7</f>
        <v>288456.7</v>
      </c>
      <c r="J7" s="168" t="n">
        <v>83570.1</v>
      </c>
      <c r="K7" s="168" t="n">
        <f aca="false">B7+C7+F7+I7+J7</f>
        <v>513530.7</v>
      </c>
      <c r="M7" s="401"/>
    </row>
    <row r="8" customFormat="false" ht="11.85" hidden="false" customHeight="true" outlineLevel="0" collapsed="false">
      <c r="A8" s="506" t="s">
        <v>282</v>
      </c>
      <c r="B8" s="358" t="n">
        <v>155823.7</v>
      </c>
      <c r="C8" s="178" t="n">
        <v>5.8</v>
      </c>
      <c r="D8" s="358" t="n">
        <v>2533.9</v>
      </c>
      <c r="E8" s="178" t="n">
        <v>3231.1</v>
      </c>
      <c r="F8" s="178" t="n">
        <v>5765</v>
      </c>
      <c r="G8" s="358" t="n">
        <v>12790.5</v>
      </c>
      <c r="H8" s="178" t="n">
        <v>334233.6</v>
      </c>
      <c r="I8" s="178" t="n">
        <v>347024.1</v>
      </c>
      <c r="J8" s="178" t="n">
        <v>92021.6</v>
      </c>
      <c r="K8" s="178" t="n">
        <v>600640.2</v>
      </c>
      <c r="M8" s="401"/>
    </row>
    <row r="9" s="508" customFormat="true" ht="11.85" hidden="false" customHeight="true" outlineLevel="0" collapsed="false">
      <c r="A9" s="305" t="s">
        <v>207</v>
      </c>
      <c r="B9" s="355" t="n">
        <v>174978.3</v>
      </c>
      <c r="C9" s="192" t="n">
        <v>2.3</v>
      </c>
      <c r="D9" s="355" t="n">
        <v>3450</v>
      </c>
      <c r="E9" s="192" t="n">
        <v>5171.6</v>
      </c>
      <c r="F9" s="192" t="n">
        <v>8621.6</v>
      </c>
      <c r="G9" s="355" t="n">
        <v>5968.1</v>
      </c>
      <c r="H9" s="192" t="n">
        <v>371817.6</v>
      </c>
      <c r="I9" s="168" t="n">
        <v>377785.7</v>
      </c>
      <c r="J9" s="192" t="n">
        <v>100452.9</v>
      </c>
      <c r="K9" s="168" t="n">
        <v>661840.8</v>
      </c>
      <c r="M9" s="401"/>
    </row>
    <row r="10" s="394" customFormat="true" ht="11.85" hidden="false" customHeight="true" outlineLevel="0" collapsed="false">
      <c r="A10" s="304" t="s">
        <v>208</v>
      </c>
      <c r="B10" s="358" t="n">
        <v>194106.4</v>
      </c>
      <c r="C10" s="358" t="n">
        <v>0</v>
      </c>
      <c r="D10" s="358" t="n">
        <v>5184.7</v>
      </c>
      <c r="E10" s="358" t="n">
        <v>5839.1</v>
      </c>
      <c r="F10" s="358" t="n">
        <v>11023.8</v>
      </c>
      <c r="G10" s="358" t="n">
        <v>7468.8</v>
      </c>
      <c r="H10" s="358" t="n">
        <v>419702.1</v>
      </c>
      <c r="I10" s="358" t="n">
        <v>427170.9</v>
      </c>
      <c r="J10" s="358" t="n">
        <v>112230.3</v>
      </c>
      <c r="K10" s="358" t="n">
        <v>744531.4</v>
      </c>
      <c r="L10" s="508"/>
      <c r="M10" s="401"/>
    </row>
    <row r="11" s="394" customFormat="true" ht="11.85" hidden="false" customHeight="true" outlineLevel="0" collapsed="false">
      <c r="A11" s="305" t="s">
        <v>209</v>
      </c>
      <c r="B11" s="190" t="n">
        <v>215482.2</v>
      </c>
      <c r="C11" s="190" t="n">
        <v>0</v>
      </c>
      <c r="D11" s="190" t="n">
        <v>5215.7</v>
      </c>
      <c r="E11" s="190" t="n">
        <v>7348.3</v>
      </c>
      <c r="F11" s="190" t="n">
        <v>12564</v>
      </c>
      <c r="G11" s="190" t="n">
        <v>11313.3</v>
      </c>
      <c r="H11" s="190" t="n">
        <v>475125.2</v>
      </c>
      <c r="I11" s="190" t="n">
        <v>486438.5</v>
      </c>
      <c r="J11" s="190" t="n">
        <v>124669.9</v>
      </c>
      <c r="K11" s="190" t="n">
        <v>839154.6</v>
      </c>
      <c r="M11" s="509"/>
    </row>
    <row r="12" s="394" customFormat="true" ht="11.85" hidden="false" customHeight="true" outlineLevel="0" collapsed="false">
      <c r="A12" s="304" t="s">
        <v>211</v>
      </c>
      <c r="B12" s="196" t="n">
        <v>252862.6</v>
      </c>
      <c r="C12" s="196" t="n">
        <v>0</v>
      </c>
      <c r="D12" s="196" t="n">
        <v>6541.6</v>
      </c>
      <c r="E12" s="196" t="n">
        <v>9916</v>
      </c>
      <c r="F12" s="196" t="n">
        <v>16457.6</v>
      </c>
      <c r="G12" s="196" t="n">
        <v>9139.7</v>
      </c>
      <c r="H12" s="196" t="n">
        <v>565645.2</v>
      </c>
      <c r="I12" s="196" t="n">
        <v>574784.9</v>
      </c>
      <c r="J12" s="196" t="n">
        <v>135861.7</v>
      </c>
      <c r="K12" s="196" t="n">
        <v>979966.8</v>
      </c>
      <c r="M12" s="509"/>
    </row>
    <row r="13" s="394" customFormat="true" ht="11.85" hidden="false" customHeight="true" outlineLevel="0" collapsed="false">
      <c r="A13" s="510" t="s">
        <v>212</v>
      </c>
      <c r="B13" s="201" t="n">
        <v>288377.6</v>
      </c>
      <c r="C13" s="201" t="n">
        <v>0</v>
      </c>
      <c r="D13" s="201" t="n">
        <v>7732.4</v>
      </c>
      <c r="E13" s="201" t="n">
        <v>14235.7</v>
      </c>
      <c r="F13" s="201" t="n">
        <v>21968.1</v>
      </c>
      <c r="G13" s="201" t="n">
        <v>9154.4</v>
      </c>
      <c r="H13" s="201" t="n">
        <v>651090.5</v>
      </c>
      <c r="I13" s="201" t="n">
        <v>660244.9</v>
      </c>
      <c r="J13" s="201" t="n">
        <v>159057.3</v>
      </c>
      <c r="K13" s="201" t="n">
        <v>1129647.9</v>
      </c>
      <c r="M13" s="509"/>
    </row>
    <row r="14" s="394" customFormat="true" ht="11.85" hidden="false" customHeight="true" outlineLevel="0" collapsed="false">
      <c r="A14" s="478" t="s">
        <v>213</v>
      </c>
      <c r="B14" s="209" t="n">
        <f aca="false">B26</f>
        <v>329523</v>
      </c>
      <c r="C14" s="209" t="n">
        <f aca="false">C26</f>
        <v>0</v>
      </c>
      <c r="D14" s="209" t="n">
        <f aca="false">D26</f>
        <v>1415.9</v>
      </c>
      <c r="E14" s="209" t="n">
        <f aca="false">E26</f>
        <v>20902.7</v>
      </c>
      <c r="F14" s="209" t="n">
        <f aca="false">F26</f>
        <v>22318.6</v>
      </c>
      <c r="G14" s="209" t="n">
        <f aca="false">G26</f>
        <v>10709.7</v>
      </c>
      <c r="H14" s="209" t="n">
        <f aca="false">H26</f>
        <v>766225.4</v>
      </c>
      <c r="I14" s="209" t="n">
        <f aca="false">I26</f>
        <v>776935.1</v>
      </c>
      <c r="J14" s="209" t="n">
        <f aca="false">J26</f>
        <v>183088.4</v>
      </c>
      <c r="K14" s="209" t="n">
        <f aca="false">K26</f>
        <v>1311865.1</v>
      </c>
      <c r="M14" s="509"/>
      <c r="N14" s="511"/>
    </row>
    <row r="15" s="394" customFormat="true" ht="11.85" hidden="false" customHeight="true" outlineLevel="0" collapsed="false">
      <c r="A15" s="512" t="s">
        <v>214</v>
      </c>
      <c r="B15" s="190" t="n">
        <v>287398.8</v>
      </c>
      <c r="C15" s="190" t="n">
        <v>0</v>
      </c>
      <c r="D15" s="190" t="n">
        <v>5731</v>
      </c>
      <c r="E15" s="190" t="n">
        <v>22366.5</v>
      </c>
      <c r="F15" s="192" t="n">
        <f aca="false">D15+E15</f>
        <v>28097.5</v>
      </c>
      <c r="G15" s="190" t="n">
        <v>9740.2</v>
      </c>
      <c r="H15" s="190" t="n">
        <v>653699.2</v>
      </c>
      <c r="I15" s="190" t="n">
        <f aca="false">G15+H15</f>
        <v>663439.4</v>
      </c>
      <c r="J15" s="171" t="n">
        <v>159360.3</v>
      </c>
      <c r="K15" s="192" t="n">
        <f aca="false">B15+C15+F15+I15+J15</f>
        <v>1138296</v>
      </c>
      <c r="M15" s="509"/>
      <c r="N15" s="511"/>
    </row>
    <row r="16" s="394" customFormat="true" ht="11.85" hidden="false" customHeight="true" outlineLevel="0" collapsed="false">
      <c r="A16" s="513" t="s">
        <v>215</v>
      </c>
      <c r="B16" s="196" t="n">
        <v>297903.9</v>
      </c>
      <c r="C16" s="196" t="n">
        <v>0</v>
      </c>
      <c r="D16" s="196" t="n">
        <v>3372.1</v>
      </c>
      <c r="E16" s="196" t="n">
        <v>23429.3</v>
      </c>
      <c r="F16" s="186" t="n">
        <f aca="false">D16+E16</f>
        <v>26801.4</v>
      </c>
      <c r="G16" s="196" t="n">
        <v>9628</v>
      </c>
      <c r="H16" s="196" t="n">
        <v>665110.5</v>
      </c>
      <c r="I16" s="196" t="n">
        <f aca="false">G16+H16</f>
        <v>674738.5</v>
      </c>
      <c r="J16" s="180" t="n">
        <v>161237.9</v>
      </c>
      <c r="K16" s="186" t="n">
        <f aca="false">B16+C16+F16+I16+J16</f>
        <v>1160681.7</v>
      </c>
      <c r="M16" s="509"/>
      <c r="N16" s="511"/>
    </row>
    <row r="17" s="394" customFormat="true" ht="11.85" hidden="false" customHeight="true" outlineLevel="0" collapsed="false">
      <c r="A17" s="512" t="s">
        <v>216</v>
      </c>
      <c r="B17" s="190" t="n">
        <v>295026.4</v>
      </c>
      <c r="C17" s="190" t="n">
        <v>0</v>
      </c>
      <c r="D17" s="190" t="n">
        <v>1611</v>
      </c>
      <c r="E17" s="190" t="n">
        <v>15995.4</v>
      </c>
      <c r="F17" s="190" t="n">
        <f aca="false">D17+E17</f>
        <v>17606.4</v>
      </c>
      <c r="G17" s="190" t="n">
        <v>9680.4</v>
      </c>
      <c r="H17" s="190" t="n">
        <v>681442.3</v>
      </c>
      <c r="I17" s="190" t="n">
        <f aca="false">G17+H17</f>
        <v>691122.7</v>
      </c>
      <c r="J17" s="171" t="n">
        <v>163216.7</v>
      </c>
      <c r="K17" s="171" t="n">
        <f aca="false">B17+C17+F17+I17+J17</f>
        <v>1166972.2</v>
      </c>
      <c r="M17" s="509"/>
      <c r="N17" s="511"/>
    </row>
    <row r="18" s="394" customFormat="true" ht="11.85" hidden="false" customHeight="true" outlineLevel="0" collapsed="false">
      <c r="A18" s="513" t="s">
        <v>217</v>
      </c>
      <c r="B18" s="196" t="n">
        <v>297386.7</v>
      </c>
      <c r="C18" s="196" t="n">
        <v>0</v>
      </c>
      <c r="D18" s="196" t="n">
        <v>1272.8</v>
      </c>
      <c r="E18" s="196" t="n">
        <v>16128.7</v>
      </c>
      <c r="F18" s="196" t="n">
        <f aca="false">D18+E18</f>
        <v>17401.5</v>
      </c>
      <c r="G18" s="196" t="n">
        <v>9890.9</v>
      </c>
      <c r="H18" s="196" t="n">
        <v>690478.3</v>
      </c>
      <c r="I18" s="196" t="n">
        <f aca="false">G18+H18</f>
        <v>700369.2</v>
      </c>
      <c r="J18" s="180" t="n">
        <v>166151.5</v>
      </c>
      <c r="K18" s="180" t="n">
        <f aca="false">B18+C18+F18+I18+J18</f>
        <v>1181308.9</v>
      </c>
      <c r="M18" s="509"/>
      <c r="N18" s="511"/>
    </row>
    <row r="19" s="394" customFormat="true" ht="11.85" hidden="false" customHeight="true" outlineLevel="0" collapsed="false">
      <c r="A19" s="512" t="s">
        <v>218</v>
      </c>
      <c r="B19" s="190" t="n">
        <v>309438</v>
      </c>
      <c r="C19" s="190" t="n">
        <v>0</v>
      </c>
      <c r="D19" s="190" t="n">
        <v>1275.6</v>
      </c>
      <c r="E19" s="190" t="n">
        <v>16453.9</v>
      </c>
      <c r="F19" s="190" t="n">
        <f aca="false">D19+E19</f>
        <v>17729.5</v>
      </c>
      <c r="G19" s="190" t="n">
        <v>10083.4</v>
      </c>
      <c r="H19" s="190" t="n">
        <v>702363.2</v>
      </c>
      <c r="I19" s="190" t="n">
        <f aca="false">G19+H19</f>
        <v>712446.6</v>
      </c>
      <c r="J19" s="171" t="n">
        <v>168754</v>
      </c>
      <c r="K19" s="171" t="n">
        <f aca="false">B19+C19+F19+I19+J19</f>
        <v>1208368.1</v>
      </c>
      <c r="M19" s="509"/>
      <c r="N19" s="511"/>
    </row>
    <row r="20" s="394" customFormat="true" ht="11.85" hidden="false" customHeight="true" outlineLevel="0" collapsed="false">
      <c r="A20" s="513" t="s">
        <v>219</v>
      </c>
      <c r="B20" s="196" t="n">
        <v>299184.5</v>
      </c>
      <c r="C20" s="196" t="n">
        <v>0</v>
      </c>
      <c r="D20" s="196" t="n">
        <v>1278</v>
      </c>
      <c r="E20" s="196" t="n">
        <v>17100.9</v>
      </c>
      <c r="F20" s="196" t="n">
        <f aca="false">D20+E20</f>
        <v>18378.9</v>
      </c>
      <c r="G20" s="196" t="n">
        <v>10454.4</v>
      </c>
      <c r="H20" s="196" t="n">
        <v>717200</v>
      </c>
      <c r="I20" s="196" t="n">
        <f aca="false">G20+H20</f>
        <v>727654.4</v>
      </c>
      <c r="J20" s="180" t="n">
        <v>172922.5</v>
      </c>
      <c r="K20" s="180" t="n">
        <f aca="false">B20+C20+F20+I20+J20</f>
        <v>1218140.3</v>
      </c>
      <c r="M20" s="509"/>
      <c r="N20" s="511"/>
    </row>
    <row r="21" s="394" customFormat="true" ht="11.85" hidden="false" customHeight="true" outlineLevel="0" collapsed="false">
      <c r="A21" s="512" t="s">
        <v>220</v>
      </c>
      <c r="B21" s="190" t="n">
        <v>298083.1</v>
      </c>
      <c r="C21" s="190" t="n">
        <v>0</v>
      </c>
      <c r="D21" s="190" t="n">
        <v>1270.1</v>
      </c>
      <c r="E21" s="190" t="n">
        <v>18066.8</v>
      </c>
      <c r="F21" s="190" t="n">
        <f aca="false">D21+E21</f>
        <v>19336.9</v>
      </c>
      <c r="G21" s="190" t="n">
        <v>10157.7</v>
      </c>
      <c r="H21" s="190" t="n">
        <v>720538.7</v>
      </c>
      <c r="I21" s="190" t="n">
        <f aca="false">G21+H21</f>
        <v>730696.4</v>
      </c>
      <c r="J21" s="171" t="n">
        <v>175115</v>
      </c>
      <c r="K21" s="171" t="n">
        <f aca="false">B21+C21+F21+I21+J21</f>
        <v>1223231.4</v>
      </c>
      <c r="M21" s="509"/>
      <c r="N21" s="511"/>
    </row>
    <row r="22" s="394" customFormat="true" ht="11.85" hidden="false" customHeight="true" outlineLevel="0" collapsed="false">
      <c r="A22" s="513" t="s">
        <v>221</v>
      </c>
      <c r="B22" s="196" t="n">
        <v>296258.5</v>
      </c>
      <c r="C22" s="196" t="n">
        <v>0</v>
      </c>
      <c r="D22" s="196" t="n">
        <v>1420.6</v>
      </c>
      <c r="E22" s="196" t="n">
        <v>19898.3</v>
      </c>
      <c r="F22" s="196" t="n">
        <f aca="false">D22+E22</f>
        <v>21318.9</v>
      </c>
      <c r="G22" s="196" t="n">
        <v>10328</v>
      </c>
      <c r="H22" s="196" t="n">
        <v>728423.7</v>
      </c>
      <c r="I22" s="196" t="n">
        <f aca="false">G22+H22</f>
        <v>738751.7</v>
      </c>
      <c r="J22" s="180" t="n">
        <v>177190.5</v>
      </c>
      <c r="K22" s="180" t="n">
        <f aca="false">B22+C22+F22+I22+J22</f>
        <v>1233519.6</v>
      </c>
      <c r="M22" s="509"/>
      <c r="N22" s="511"/>
    </row>
    <row r="23" s="394" customFormat="true" ht="11.85" hidden="false" customHeight="true" outlineLevel="0" collapsed="false">
      <c r="A23" s="512" t="s">
        <v>222</v>
      </c>
      <c r="B23" s="190" t="n">
        <v>299363.9</v>
      </c>
      <c r="C23" s="190" t="n">
        <v>0</v>
      </c>
      <c r="D23" s="190" t="n">
        <v>1419.5</v>
      </c>
      <c r="E23" s="190" t="n">
        <v>20563.5</v>
      </c>
      <c r="F23" s="190" t="n">
        <f aca="false">D23+E23</f>
        <v>21983</v>
      </c>
      <c r="G23" s="190" t="n">
        <v>10157.1</v>
      </c>
      <c r="H23" s="190" t="n">
        <v>736241.3</v>
      </c>
      <c r="I23" s="190" t="n">
        <f aca="false">G23+H23</f>
        <v>746398.4</v>
      </c>
      <c r="J23" s="171" t="n">
        <v>177931.5</v>
      </c>
      <c r="K23" s="171" t="n">
        <f aca="false">B23+C23+F23+I23+J23</f>
        <v>1245676.8</v>
      </c>
      <c r="M23" s="509"/>
      <c r="N23" s="511"/>
    </row>
    <row r="24" s="394" customFormat="true" ht="11.85" hidden="false" customHeight="true" outlineLevel="0" collapsed="false">
      <c r="A24" s="513" t="s">
        <v>223</v>
      </c>
      <c r="B24" s="196" t="n">
        <v>299709.9</v>
      </c>
      <c r="C24" s="196" t="n">
        <v>0</v>
      </c>
      <c r="D24" s="196" t="n">
        <v>1391.5</v>
      </c>
      <c r="E24" s="196" t="n">
        <v>20351.4</v>
      </c>
      <c r="F24" s="196" t="n">
        <f aca="false">D24+E24</f>
        <v>21742.9</v>
      </c>
      <c r="G24" s="196" t="n">
        <v>11170.6</v>
      </c>
      <c r="H24" s="196" t="n">
        <v>744557.4</v>
      </c>
      <c r="I24" s="196" t="n">
        <f aca="false">G24+H24</f>
        <v>755728</v>
      </c>
      <c r="J24" s="180" t="n">
        <v>179205.5</v>
      </c>
      <c r="K24" s="180" t="n">
        <f aca="false">B24+C24+F24+I24+J24</f>
        <v>1256386.3</v>
      </c>
      <c r="M24" s="509"/>
      <c r="N24" s="511"/>
    </row>
    <row r="25" s="394" customFormat="true" ht="11.85" hidden="false" customHeight="true" outlineLevel="0" collapsed="false">
      <c r="A25" s="512" t="s">
        <v>224</v>
      </c>
      <c r="B25" s="190" t="n">
        <v>307264.6</v>
      </c>
      <c r="C25" s="190" t="n">
        <v>0</v>
      </c>
      <c r="D25" s="190" t="n">
        <v>1394.7</v>
      </c>
      <c r="E25" s="190" t="n">
        <v>20577.9</v>
      </c>
      <c r="F25" s="190" t="n">
        <f aca="false">D25+E25</f>
        <v>21972.6</v>
      </c>
      <c r="G25" s="190" t="n">
        <v>11219.9</v>
      </c>
      <c r="H25" s="190" t="n">
        <v>754610.4</v>
      </c>
      <c r="I25" s="190" t="n">
        <f aca="false">G25+H25</f>
        <v>765830.3</v>
      </c>
      <c r="J25" s="171" t="n">
        <v>180183.7</v>
      </c>
      <c r="K25" s="171" t="n">
        <f aca="false">B25+C25+F25+I25+J25</f>
        <v>1275251.2</v>
      </c>
      <c r="M25" s="509"/>
      <c r="N25" s="511"/>
    </row>
    <row r="26" s="394" customFormat="true" ht="11.85" hidden="false" customHeight="true" outlineLevel="0" collapsed="false">
      <c r="A26" s="513" t="s">
        <v>225</v>
      </c>
      <c r="B26" s="196" t="n">
        <v>329523</v>
      </c>
      <c r="C26" s="196" t="n">
        <v>0</v>
      </c>
      <c r="D26" s="196" t="n">
        <v>1415.9</v>
      </c>
      <c r="E26" s="196" t="n">
        <v>20902.7</v>
      </c>
      <c r="F26" s="196" t="n">
        <f aca="false">D26+E26</f>
        <v>22318.6</v>
      </c>
      <c r="G26" s="196" t="n">
        <v>10709.7</v>
      </c>
      <c r="H26" s="196" t="n">
        <v>766225.4</v>
      </c>
      <c r="I26" s="196" t="n">
        <f aca="false">G26+H26</f>
        <v>776935.1</v>
      </c>
      <c r="J26" s="180" t="n">
        <v>183088.4</v>
      </c>
      <c r="K26" s="180" t="n">
        <f aca="false">B26+C26+F26+I26+J26</f>
        <v>1311865.1</v>
      </c>
      <c r="M26" s="509"/>
      <c r="N26" s="511"/>
    </row>
    <row r="27" s="515" customFormat="true" ht="11.85" hidden="false" customHeight="true" outlineLevel="0" collapsed="false">
      <c r="A27" s="514" t="s">
        <v>226</v>
      </c>
      <c r="B27" s="201" t="n">
        <f aca="false">B39</f>
        <v>398418.5</v>
      </c>
      <c r="C27" s="201" t="n">
        <f aca="false">C39</f>
        <v>0</v>
      </c>
      <c r="D27" s="201" t="n">
        <f aca="false">D39</f>
        <v>2252.4</v>
      </c>
      <c r="E27" s="201" t="n">
        <f aca="false">E39</f>
        <v>28546.6</v>
      </c>
      <c r="F27" s="201" t="n">
        <f aca="false">F39</f>
        <v>30799</v>
      </c>
      <c r="G27" s="201" t="n">
        <f aca="false">G39</f>
        <v>12577.7</v>
      </c>
      <c r="H27" s="201" t="n">
        <f aca="false">H39</f>
        <v>846542.1</v>
      </c>
      <c r="I27" s="201" t="n">
        <f aca="false">I39</f>
        <v>859119.8</v>
      </c>
      <c r="J27" s="201" t="n">
        <f aca="false">J39</f>
        <v>203477.6</v>
      </c>
      <c r="K27" s="201" t="n">
        <f aca="false">K39</f>
        <v>1491814.9</v>
      </c>
    </row>
    <row r="28" s="400" customFormat="true" ht="11.85" hidden="false" customHeight="true" outlineLevel="0" collapsed="false">
      <c r="A28" s="513" t="s">
        <v>214</v>
      </c>
      <c r="B28" s="196" t="n">
        <v>336817.9</v>
      </c>
      <c r="C28" s="196" t="n">
        <v>0</v>
      </c>
      <c r="D28" s="196" t="n">
        <v>1508.4</v>
      </c>
      <c r="E28" s="196" t="n">
        <v>20318.1</v>
      </c>
      <c r="F28" s="196" t="n">
        <f aca="false">D28+E28</f>
        <v>21826.5</v>
      </c>
      <c r="G28" s="196" t="n">
        <v>10822.8</v>
      </c>
      <c r="H28" s="196" t="n">
        <v>761097.5</v>
      </c>
      <c r="I28" s="196" t="n">
        <f aca="false">G28+H28</f>
        <v>771920.3</v>
      </c>
      <c r="J28" s="180" t="n">
        <v>182126</v>
      </c>
      <c r="K28" s="180" t="n">
        <f aca="false">B28+C28+F28+I28+J28</f>
        <v>1312690.7</v>
      </c>
    </row>
    <row r="29" customFormat="false" ht="11.85" hidden="false" customHeight="true" outlineLevel="0" collapsed="false">
      <c r="A29" s="512" t="s">
        <v>215</v>
      </c>
      <c r="B29" s="190" t="n">
        <v>345237.7</v>
      </c>
      <c r="C29" s="190" t="n">
        <v>0</v>
      </c>
      <c r="D29" s="190" t="n">
        <v>1393</v>
      </c>
      <c r="E29" s="190" t="n">
        <v>20807.8</v>
      </c>
      <c r="F29" s="190" t="n">
        <f aca="false">D29+E29</f>
        <v>22200.8</v>
      </c>
      <c r="G29" s="190" t="n">
        <v>10800.9</v>
      </c>
      <c r="H29" s="190" t="n">
        <v>770069</v>
      </c>
      <c r="I29" s="190" t="n">
        <f aca="false">G29+H29</f>
        <v>780869.9</v>
      </c>
      <c r="J29" s="171" t="n">
        <v>182078.6</v>
      </c>
      <c r="K29" s="171" t="n">
        <f aca="false">B29+C29+F29+I29+J29</f>
        <v>1330387</v>
      </c>
      <c r="L29" s="401"/>
    </row>
    <row r="30" customFormat="false" ht="11.85" hidden="false" customHeight="true" outlineLevel="0" collapsed="false">
      <c r="A30" s="513" t="s">
        <v>216</v>
      </c>
      <c r="B30" s="196" t="n">
        <v>343600.9</v>
      </c>
      <c r="C30" s="196" t="n">
        <v>0</v>
      </c>
      <c r="D30" s="196" t="n">
        <v>1393.8</v>
      </c>
      <c r="E30" s="196" t="n">
        <v>21309.4</v>
      </c>
      <c r="F30" s="196" t="n">
        <f aca="false">D30+E30</f>
        <v>22703.2</v>
      </c>
      <c r="G30" s="196" t="n">
        <v>11029.2</v>
      </c>
      <c r="H30" s="196" t="n">
        <v>776926.9</v>
      </c>
      <c r="I30" s="196" t="n">
        <f aca="false">G30+H30</f>
        <v>787956.1</v>
      </c>
      <c r="J30" s="180" t="n">
        <v>183415.1</v>
      </c>
      <c r="K30" s="180" t="n">
        <f aca="false">B30+C30+F30+I30+J30</f>
        <v>1337675.3</v>
      </c>
      <c r="L30" s="401"/>
    </row>
    <row r="31" customFormat="false" ht="11.85" hidden="false" customHeight="true" outlineLevel="0" collapsed="false">
      <c r="A31" s="512" t="s">
        <v>217</v>
      </c>
      <c r="B31" s="190" t="n">
        <v>348476.2</v>
      </c>
      <c r="C31" s="190" t="n">
        <v>0</v>
      </c>
      <c r="D31" s="190" t="n">
        <v>1396.3</v>
      </c>
      <c r="E31" s="190" t="n">
        <v>21541.2</v>
      </c>
      <c r="F31" s="190" t="n">
        <f aca="false">D31+E31</f>
        <v>22937.5</v>
      </c>
      <c r="G31" s="190" t="n">
        <v>11549.4</v>
      </c>
      <c r="H31" s="190" t="n">
        <v>788084.5</v>
      </c>
      <c r="I31" s="190" t="n">
        <f aca="false">G31+H31</f>
        <v>799633.9</v>
      </c>
      <c r="J31" s="171" t="n">
        <v>185777.7</v>
      </c>
      <c r="K31" s="171" t="n">
        <f aca="false">B31+C31+F31+I31+J31</f>
        <v>1356825.3</v>
      </c>
      <c r="L31" s="401"/>
    </row>
    <row r="32" customFormat="false" ht="11.85" hidden="false" customHeight="true" outlineLevel="0" collapsed="false">
      <c r="A32" s="513" t="s">
        <v>218</v>
      </c>
      <c r="B32" s="196" t="n">
        <v>354452.7</v>
      </c>
      <c r="C32" s="196" t="n">
        <v>0</v>
      </c>
      <c r="D32" s="196" t="n">
        <v>1512.6</v>
      </c>
      <c r="E32" s="196" t="n">
        <v>22381.6</v>
      </c>
      <c r="F32" s="196" t="n">
        <f aca="false">D32+E32</f>
        <v>23894.2</v>
      </c>
      <c r="G32" s="196" t="n">
        <v>12251.6</v>
      </c>
      <c r="H32" s="196" t="n">
        <v>796895.7</v>
      </c>
      <c r="I32" s="196" t="n">
        <f aca="false">G32+H32</f>
        <v>809147.3</v>
      </c>
      <c r="J32" s="180" t="n">
        <v>187089</v>
      </c>
      <c r="K32" s="180" t="n">
        <f aca="false">B32+C32+F32+I32+J32</f>
        <v>1374583.2</v>
      </c>
      <c r="L32" s="401"/>
    </row>
    <row r="33" customFormat="false" ht="11.85" hidden="false" customHeight="true" outlineLevel="0" collapsed="false">
      <c r="A33" s="512" t="s">
        <v>219</v>
      </c>
      <c r="B33" s="190" t="n">
        <v>358178.7</v>
      </c>
      <c r="C33" s="190" t="n">
        <v>0</v>
      </c>
      <c r="D33" s="190" t="n">
        <v>1948.6</v>
      </c>
      <c r="E33" s="190" t="n">
        <v>24355.2</v>
      </c>
      <c r="F33" s="190" t="n">
        <f aca="false">D33+E33</f>
        <v>26303.8</v>
      </c>
      <c r="G33" s="190" t="n">
        <v>13104.4</v>
      </c>
      <c r="H33" s="190" t="n">
        <v>808091.3</v>
      </c>
      <c r="I33" s="190" t="n">
        <f aca="false">G33+H33</f>
        <v>821195.7</v>
      </c>
      <c r="J33" s="171" t="n">
        <v>191683.6</v>
      </c>
      <c r="K33" s="171" t="n">
        <f aca="false">B33+C33+F33+I33+J33</f>
        <v>1397361.8</v>
      </c>
      <c r="L33" s="401"/>
    </row>
    <row r="34" customFormat="false" ht="11.85" hidden="false" customHeight="true" outlineLevel="0" collapsed="false">
      <c r="A34" s="513" t="s">
        <v>220</v>
      </c>
      <c r="B34" s="196" t="n">
        <v>364951.6</v>
      </c>
      <c r="C34" s="196" t="n">
        <v>0</v>
      </c>
      <c r="D34" s="196" t="n">
        <v>1929.4</v>
      </c>
      <c r="E34" s="196" t="n">
        <v>24751.1</v>
      </c>
      <c r="F34" s="196" t="n">
        <f aca="false">D34+E34</f>
        <v>26680.5</v>
      </c>
      <c r="G34" s="196" t="n">
        <v>13910.6</v>
      </c>
      <c r="H34" s="196" t="n">
        <v>812359.7</v>
      </c>
      <c r="I34" s="196" t="n">
        <f aca="false">G34+H34</f>
        <v>826270.3</v>
      </c>
      <c r="J34" s="180" t="n">
        <v>192693.1</v>
      </c>
      <c r="K34" s="180" t="n">
        <f aca="false">B34+C34+F34+I34+J34</f>
        <v>1410595.5</v>
      </c>
      <c r="L34" s="401"/>
    </row>
    <row r="35" customFormat="false" ht="11.85" hidden="false" customHeight="true" outlineLevel="0" collapsed="false">
      <c r="A35" s="512" t="s">
        <v>221</v>
      </c>
      <c r="B35" s="190" t="n">
        <v>363563.3</v>
      </c>
      <c r="C35" s="190" t="n">
        <v>0</v>
      </c>
      <c r="D35" s="190" t="n">
        <v>1932.8</v>
      </c>
      <c r="E35" s="190" t="n">
        <v>25240.2</v>
      </c>
      <c r="F35" s="190" t="n">
        <f aca="false">D35+E35</f>
        <v>27173</v>
      </c>
      <c r="G35" s="190" t="n">
        <v>13777.6</v>
      </c>
      <c r="H35" s="190" t="n">
        <v>818468.8</v>
      </c>
      <c r="I35" s="190" t="n">
        <f aca="false">G35+H35</f>
        <v>832246.4</v>
      </c>
      <c r="J35" s="171" t="n">
        <v>194182.8</v>
      </c>
      <c r="K35" s="171" t="n">
        <f aca="false">B35+C35+F35+I35+J35</f>
        <v>1417165.5</v>
      </c>
      <c r="L35" s="401"/>
    </row>
    <row r="36" customFormat="false" ht="11.85" hidden="false" customHeight="true" outlineLevel="0" collapsed="false">
      <c r="A36" s="513" t="s">
        <v>222</v>
      </c>
      <c r="B36" s="196" t="n">
        <v>367293.9</v>
      </c>
      <c r="C36" s="196" t="n">
        <v>0</v>
      </c>
      <c r="D36" s="196" t="n">
        <v>1824.4</v>
      </c>
      <c r="E36" s="196" t="n">
        <v>25401</v>
      </c>
      <c r="F36" s="196" t="n">
        <f aca="false">D36+E36</f>
        <v>27225.4</v>
      </c>
      <c r="G36" s="196" t="n">
        <v>13897</v>
      </c>
      <c r="H36" s="196" t="n">
        <v>826658.5</v>
      </c>
      <c r="I36" s="196" t="n">
        <f aca="false">G36+H36</f>
        <v>840555.5</v>
      </c>
      <c r="J36" s="180" t="n">
        <v>196128.9</v>
      </c>
      <c r="K36" s="180" t="n">
        <f aca="false">B36+C36+F36+I36+J36</f>
        <v>1431203.7</v>
      </c>
      <c r="L36" s="401"/>
    </row>
    <row r="37" customFormat="false" ht="11.85" hidden="false" customHeight="true" outlineLevel="0" collapsed="false">
      <c r="A37" s="512" t="s">
        <v>223</v>
      </c>
      <c r="B37" s="190" t="n">
        <v>371868.9</v>
      </c>
      <c r="C37" s="190" t="n">
        <v>0</v>
      </c>
      <c r="D37" s="190" t="n">
        <v>1801.6</v>
      </c>
      <c r="E37" s="190" t="n">
        <v>27764.8</v>
      </c>
      <c r="F37" s="190" t="n">
        <f aca="false">D37+E37</f>
        <v>29566.4</v>
      </c>
      <c r="G37" s="190" t="n">
        <v>13254.8</v>
      </c>
      <c r="H37" s="190" t="n">
        <v>830169.2</v>
      </c>
      <c r="I37" s="190" t="n">
        <f aca="false">G37+H37</f>
        <v>843424</v>
      </c>
      <c r="J37" s="171" t="n">
        <v>198586.7</v>
      </c>
      <c r="K37" s="171" t="n">
        <f aca="false">B37+C37+F37+I37+J37</f>
        <v>1443446</v>
      </c>
      <c r="L37" s="401"/>
    </row>
    <row r="38" customFormat="false" ht="11.85" hidden="false" customHeight="true" outlineLevel="0" collapsed="false">
      <c r="A38" s="513" t="s">
        <v>224</v>
      </c>
      <c r="B38" s="196" t="n">
        <v>394789</v>
      </c>
      <c r="C38" s="196" t="n">
        <v>0</v>
      </c>
      <c r="D38" s="196" t="n">
        <v>2256.4</v>
      </c>
      <c r="E38" s="196" t="n">
        <v>27921.1</v>
      </c>
      <c r="F38" s="196" t="n">
        <f aca="false">D38+E38</f>
        <v>30177.5</v>
      </c>
      <c r="G38" s="196" t="n">
        <v>13626.4</v>
      </c>
      <c r="H38" s="196" t="n">
        <v>840591.5</v>
      </c>
      <c r="I38" s="196" t="n">
        <f aca="false">G38+H38</f>
        <v>854217.9</v>
      </c>
      <c r="J38" s="180" t="n">
        <v>201487</v>
      </c>
      <c r="K38" s="180" t="n">
        <f aca="false">B38+C38+F38+I38+J38</f>
        <v>1480671.4</v>
      </c>
      <c r="L38" s="401"/>
    </row>
    <row r="39" customFormat="false" ht="11.85" hidden="false" customHeight="true" outlineLevel="0" collapsed="false">
      <c r="A39" s="512" t="s">
        <v>225</v>
      </c>
      <c r="B39" s="190" t="n">
        <v>398418.5</v>
      </c>
      <c r="C39" s="190" t="n">
        <v>0</v>
      </c>
      <c r="D39" s="190" t="n">
        <v>2252.4</v>
      </c>
      <c r="E39" s="190" t="n">
        <v>28546.6</v>
      </c>
      <c r="F39" s="190" t="n">
        <f aca="false">D39+E39</f>
        <v>30799</v>
      </c>
      <c r="G39" s="190" t="n">
        <v>12577.7</v>
      </c>
      <c r="H39" s="190" t="n">
        <v>846542.1</v>
      </c>
      <c r="I39" s="190" t="n">
        <f aca="false">G39+H39</f>
        <v>859119.8</v>
      </c>
      <c r="J39" s="171" t="n">
        <v>203477.6</v>
      </c>
      <c r="K39" s="171" t="n">
        <f aca="false">B39+C39+F39+I39+J39</f>
        <v>1491814.9</v>
      </c>
      <c r="L39" s="401"/>
    </row>
    <row r="40" customFormat="false" ht="11.85" hidden="false" customHeight="true" outlineLevel="0" collapsed="false">
      <c r="A40" s="223" t="s">
        <v>227</v>
      </c>
      <c r="B40" s="209" t="n">
        <f aca="false">B52</f>
        <v>478321.3</v>
      </c>
      <c r="C40" s="209" t="n">
        <f aca="false">C52</f>
        <v>0</v>
      </c>
      <c r="D40" s="209" t="n">
        <f aca="false">D52</f>
        <v>2519.4</v>
      </c>
      <c r="E40" s="209" t="n">
        <f aca="false">E52</f>
        <v>30302.1</v>
      </c>
      <c r="F40" s="209" t="n">
        <f aca="false">F52</f>
        <v>32821.5</v>
      </c>
      <c r="G40" s="209" t="n">
        <f aca="false">G52</f>
        <v>17966.6</v>
      </c>
      <c r="H40" s="209" t="n">
        <f aca="false">H52</f>
        <v>922464.1</v>
      </c>
      <c r="I40" s="209" t="n">
        <f aca="false">I52</f>
        <v>940430.7</v>
      </c>
      <c r="J40" s="209" t="n">
        <f aca="false">J52</f>
        <v>214175.8</v>
      </c>
      <c r="K40" s="209" t="n">
        <f aca="false">K52</f>
        <v>1665749.3</v>
      </c>
      <c r="L40" s="401"/>
    </row>
    <row r="41" customFormat="false" ht="11.85" hidden="false" customHeight="true" outlineLevel="0" collapsed="false">
      <c r="A41" s="215" t="s">
        <v>214</v>
      </c>
      <c r="B41" s="190" t="n">
        <v>417296.4</v>
      </c>
      <c r="C41" s="190" t="n">
        <v>0</v>
      </c>
      <c r="D41" s="190" t="n">
        <v>2227.6</v>
      </c>
      <c r="E41" s="190" t="n">
        <v>27878.3</v>
      </c>
      <c r="F41" s="190" t="n">
        <f aca="false">D41+E41</f>
        <v>30105.9</v>
      </c>
      <c r="G41" s="190" t="n">
        <v>13528.8</v>
      </c>
      <c r="H41" s="190" t="n">
        <v>840310.1</v>
      </c>
      <c r="I41" s="190" t="n">
        <f aca="false">G41+H41</f>
        <v>853838.9</v>
      </c>
      <c r="J41" s="171" t="n">
        <v>202814.9</v>
      </c>
      <c r="K41" s="171" t="n">
        <f aca="false">B41+C41+F41+I41+J41</f>
        <v>1504056.1</v>
      </c>
      <c r="L41" s="401"/>
      <c r="M41" s="401"/>
    </row>
    <row r="42" customFormat="false" ht="11.85" hidden="false" customHeight="true" outlineLevel="0" collapsed="false">
      <c r="A42" s="207" t="s">
        <v>215</v>
      </c>
      <c r="B42" s="161" t="n">
        <v>427217.2</v>
      </c>
      <c r="C42" s="196" t="n">
        <v>0</v>
      </c>
      <c r="D42" s="196" t="n">
        <v>2232.5</v>
      </c>
      <c r="E42" s="196" t="n">
        <v>27459.6</v>
      </c>
      <c r="F42" s="196" t="n">
        <f aca="false">D42+E42</f>
        <v>29692.1</v>
      </c>
      <c r="G42" s="196" t="n">
        <v>13531</v>
      </c>
      <c r="H42" s="196" t="n">
        <v>846077.6</v>
      </c>
      <c r="I42" s="196" t="n">
        <f aca="false">G42+H42</f>
        <v>859608.6</v>
      </c>
      <c r="J42" s="180" t="n">
        <v>202510.3</v>
      </c>
      <c r="K42" s="180" t="n">
        <f aca="false">B42+C42+F42+I42+J42</f>
        <v>1519028.2</v>
      </c>
      <c r="L42" s="401"/>
      <c r="M42" s="401"/>
    </row>
    <row r="43" customFormat="false" ht="11.85" hidden="false" customHeight="true" outlineLevel="0" collapsed="false">
      <c r="A43" s="215" t="s">
        <v>216</v>
      </c>
      <c r="B43" s="170" t="n">
        <v>430673.9</v>
      </c>
      <c r="C43" s="190" t="n">
        <v>0</v>
      </c>
      <c r="D43" s="190" t="n">
        <v>2229.7</v>
      </c>
      <c r="E43" s="190" t="n">
        <v>28064.9</v>
      </c>
      <c r="F43" s="190" t="n">
        <f aca="false">D43+E43</f>
        <v>30294.6</v>
      </c>
      <c r="G43" s="190" t="n">
        <v>14896.9</v>
      </c>
      <c r="H43" s="190" t="n">
        <v>853734.2</v>
      </c>
      <c r="I43" s="190" t="n">
        <f aca="false">G43+H43</f>
        <v>868631.1</v>
      </c>
      <c r="J43" s="171" t="n">
        <v>203274</v>
      </c>
      <c r="K43" s="171" t="n">
        <f aca="false">B43+C43+F43+I43+J43</f>
        <v>1532873.6</v>
      </c>
      <c r="L43" s="401"/>
      <c r="M43" s="401"/>
    </row>
    <row r="44" customFormat="false" ht="11.85" hidden="false" customHeight="true" outlineLevel="0" collapsed="false">
      <c r="A44" s="207" t="s">
        <v>217</v>
      </c>
      <c r="B44" s="178" t="n">
        <v>438518</v>
      </c>
      <c r="C44" s="196" t="n">
        <v>0</v>
      </c>
      <c r="D44" s="196" t="n">
        <v>2299.4</v>
      </c>
      <c r="E44" s="196" t="n">
        <v>27956.1</v>
      </c>
      <c r="F44" s="196" t="n">
        <f aca="false">D44+E44</f>
        <v>30255.5</v>
      </c>
      <c r="G44" s="196" t="n">
        <v>14590</v>
      </c>
      <c r="H44" s="196" t="n">
        <v>861867.7</v>
      </c>
      <c r="I44" s="196" t="n">
        <f aca="false">G44+H44</f>
        <v>876457.7</v>
      </c>
      <c r="J44" s="180" t="n">
        <v>204934.2</v>
      </c>
      <c r="K44" s="180" t="n">
        <f aca="false">B44+C44+F44+I44+J44</f>
        <v>1550165.4</v>
      </c>
      <c r="L44" s="401"/>
      <c r="M44" s="401"/>
    </row>
    <row r="45" customFormat="false" ht="11.85" hidden="false" customHeight="true" outlineLevel="0" collapsed="false">
      <c r="A45" s="215" t="s">
        <v>218</v>
      </c>
      <c r="B45" s="516" t="n">
        <v>446364.9</v>
      </c>
      <c r="C45" s="190" t="n">
        <v>0</v>
      </c>
      <c r="D45" s="190" t="n">
        <v>2326.8</v>
      </c>
      <c r="E45" s="190" t="n">
        <v>28414.8</v>
      </c>
      <c r="F45" s="190" t="n">
        <f aca="false">D45+E45</f>
        <v>30741.6</v>
      </c>
      <c r="G45" s="190" t="n">
        <v>15686.5</v>
      </c>
      <c r="H45" s="190" t="n">
        <v>869329.3</v>
      </c>
      <c r="I45" s="190" t="n">
        <f aca="false">G45+H45</f>
        <v>885015.8</v>
      </c>
      <c r="J45" s="171" t="n">
        <v>207038.4</v>
      </c>
      <c r="K45" s="171" t="n">
        <f aca="false">B45+C45+F45+I45+J45</f>
        <v>1569160.7</v>
      </c>
      <c r="L45" s="401"/>
      <c r="M45" s="401"/>
    </row>
    <row r="46" customFormat="false" ht="11.85" hidden="false" customHeight="true" outlineLevel="0" collapsed="false">
      <c r="A46" s="207" t="s">
        <v>219</v>
      </c>
      <c r="B46" s="414" t="n">
        <v>449427.3</v>
      </c>
      <c r="C46" s="196" t="n">
        <v>0</v>
      </c>
      <c r="D46" s="196" t="n">
        <v>2523.1</v>
      </c>
      <c r="E46" s="196" t="n">
        <v>28342.7</v>
      </c>
      <c r="F46" s="196" t="n">
        <f aca="false">D46+E46</f>
        <v>30865.8</v>
      </c>
      <c r="G46" s="196" t="n">
        <v>19270.8</v>
      </c>
      <c r="H46" s="196" t="n">
        <v>885068.3</v>
      </c>
      <c r="I46" s="196" t="n">
        <f aca="false">G46+H46</f>
        <v>904339.1</v>
      </c>
      <c r="J46" s="180" t="n">
        <v>210291.7</v>
      </c>
      <c r="K46" s="180" t="n">
        <f aca="false">B46+C46+F46+I46+J46</f>
        <v>1594923.9</v>
      </c>
      <c r="L46" s="401"/>
      <c r="M46" s="401"/>
    </row>
    <row r="47" customFormat="false" ht="11.85" hidden="false" customHeight="true" outlineLevel="0" collapsed="false">
      <c r="A47" s="215" t="s">
        <v>220</v>
      </c>
      <c r="B47" s="516" t="n">
        <v>458117.8</v>
      </c>
      <c r="C47" s="190" t="n">
        <v>0</v>
      </c>
      <c r="D47" s="190" t="n">
        <v>2495.4</v>
      </c>
      <c r="E47" s="190" t="n">
        <v>28406.2</v>
      </c>
      <c r="F47" s="190" t="n">
        <f aca="false">D47+E47</f>
        <v>30901.6</v>
      </c>
      <c r="G47" s="190" t="n">
        <v>18484.5</v>
      </c>
      <c r="H47" s="190" t="n">
        <v>882419.7</v>
      </c>
      <c r="I47" s="190" t="n">
        <f aca="false">G47+H47</f>
        <v>900904.2</v>
      </c>
      <c r="J47" s="171" t="n">
        <v>210829.7</v>
      </c>
      <c r="K47" s="190" t="n">
        <f aca="false">B47+C47+F47+I47+J47</f>
        <v>1600753.3</v>
      </c>
      <c r="L47" s="401"/>
      <c r="M47" s="401"/>
    </row>
    <row r="48" customFormat="false" ht="11.85" hidden="false" customHeight="true" outlineLevel="0" collapsed="false">
      <c r="A48" s="207" t="s">
        <v>221</v>
      </c>
      <c r="B48" s="414" t="n">
        <v>459423.6</v>
      </c>
      <c r="C48" s="196" t="n">
        <v>0</v>
      </c>
      <c r="D48" s="196" t="n">
        <v>2501.9</v>
      </c>
      <c r="E48" s="196" t="n">
        <v>28862.6</v>
      </c>
      <c r="F48" s="196" t="n">
        <f aca="false">D48+E48</f>
        <v>31364.5</v>
      </c>
      <c r="G48" s="196" t="n">
        <v>18794.7</v>
      </c>
      <c r="H48" s="196" t="n">
        <v>887806.7</v>
      </c>
      <c r="I48" s="196" t="n">
        <f aca="false">G48+H48</f>
        <v>906601.4</v>
      </c>
      <c r="J48" s="180" t="n">
        <v>212477.8</v>
      </c>
      <c r="K48" s="180" t="n">
        <f aca="false">B48+C48+F48+I48+J48</f>
        <v>1609867.3</v>
      </c>
      <c r="L48" s="401"/>
      <c r="M48" s="401"/>
    </row>
    <row r="49" customFormat="false" ht="11.85" hidden="false" customHeight="true" outlineLevel="0" collapsed="false">
      <c r="A49" s="215" t="s">
        <v>222</v>
      </c>
      <c r="B49" s="516" t="n">
        <v>432501.6</v>
      </c>
      <c r="C49" s="190" t="n">
        <v>0</v>
      </c>
      <c r="D49" s="190" t="n">
        <v>2507.4</v>
      </c>
      <c r="E49" s="190" t="n">
        <v>28976.9</v>
      </c>
      <c r="F49" s="190" t="n">
        <f aca="false">D49+E49</f>
        <v>31484.3</v>
      </c>
      <c r="G49" s="190" t="n">
        <v>18930.2</v>
      </c>
      <c r="H49" s="190" t="n">
        <v>895586.4</v>
      </c>
      <c r="I49" s="190" t="n">
        <f aca="false">G49+H49</f>
        <v>914516.6</v>
      </c>
      <c r="J49" s="171" t="n">
        <v>212010.7</v>
      </c>
      <c r="K49" s="171" t="n">
        <f aca="false">B49+C49+F49+I49+J49</f>
        <v>1590513.2</v>
      </c>
      <c r="L49" s="401"/>
      <c r="M49" s="401"/>
    </row>
    <row r="50" customFormat="false" ht="11.85" hidden="false" customHeight="true" outlineLevel="0" collapsed="false">
      <c r="A50" s="207" t="s">
        <v>223</v>
      </c>
      <c r="B50" s="414" t="n">
        <v>466506.3</v>
      </c>
      <c r="C50" s="196" t="n">
        <v>0</v>
      </c>
      <c r="D50" s="196" t="n">
        <v>2509.5</v>
      </c>
      <c r="E50" s="196" t="n">
        <v>29672.3</v>
      </c>
      <c r="F50" s="196" t="n">
        <f aca="false">D50+E50</f>
        <v>32181.8</v>
      </c>
      <c r="G50" s="196" t="n">
        <v>18701.9</v>
      </c>
      <c r="H50" s="196" t="n">
        <v>903079.4</v>
      </c>
      <c r="I50" s="196" t="n">
        <f aca="false">G50+H50</f>
        <v>921781.3</v>
      </c>
      <c r="J50" s="180" t="n">
        <v>212132.6</v>
      </c>
      <c r="K50" s="180" t="n">
        <f aca="false">B50+C50+F50+I50+J50</f>
        <v>1632602</v>
      </c>
      <c r="L50" s="401"/>
      <c r="M50" s="401"/>
    </row>
    <row r="51" customFormat="false" ht="11.85" hidden="false" customHeight="true" outlineLevel="0" collapsed="false">
      <c r="A51" s="215" t="s">
        <v>224</v>
      </c>
      <c r="B51" s="516" t="n">
        <v>461247.4</v>
      </c>
      <c r="C51" s="190" t="n">
        <v>0</v>
      </c>
      <c r="D51" s="190" t="n">
        <v>2509.6</v>
      </c>
      <c r="E51" s="190" t="n">
        <v>29866.4</v>
      </c>
      <c r="F51" s="190" t="n">
        <f aca="false">D51+E51</f>
        <v>32376</v>
      </c>
      <c r="G51" s="190" t="n">
        <v>18617.4</v>
      </c>
      <c r="H51" s="190" t="n">
        <v>916667.7</v>
      </c>
      <c r="I51" s="190" t="n">
        <f aca="false">G51+H51</f>
        <v>935285.1</v>
      </c>
      <c r="J51" s="171" t="n">
        <v>212819.7</v>
      </c>
      <c r="K51" s="171" t="n">
        <f aca="false">B51+C51+F51+I51+J51</f>
        <v>1641728.2</v>
      </c>
      <c r="L51" s="401"/>
      <c r="M51" s="401"/>
    </row>
    <row r="52" customFormat="false" ht="11.85" hidden="false" customHeight="true" outlineLevel="0" collapsed="false">
      <c r="A52" s="225" t="s">
        <v>225</v>
      </c>
      <c r="B52" s="517" t="n">
        <v>478321.3</v>
      </c>
      <c r="C52" s="226" t="n">
        <v>0</v>
      </c>
      <c r="D52" s="226" t="n">
        <v>2519.4</v>
      </c>
      <c r="E52" s="226" t="n">
        <v>30302.1</v>
      </c>
      <c r="F52" s="226" t="n">
        <f aca="false">D52+E52</f>
        <v>32821.5</v>
      </c>
      <c r="G52" s="226" t="n">
        <v>17966.6</v>
      </c>
      <c r="H52" s="226" t="n">
        <v>922464.1</v>
      </c>
      <c r="I52" s="226" t="n">
        <f aca="false">G52+H52</f>
        <v>940430.7</v>
      </c>
      <c r="J52" s="228" t="n">
        <v>214175.8</v>
      </c>
      <c r="K52" s="228" t="n">
        <f aca="false">B52+C52+F52+I52+J52</f>
        <v>1665749.3</v>
      </c>
      <c r="L52" s="401"/>
      <c r="M52" s="401"/>
    </row>
    <row r="53" s="408" customFormat="true" ht="12.75" hidden="false" customHeight="false" outlineLevel="0" collapsed="false">
      <c r="A53" s="518" t="s">
        <v>417</v>
      </c>
      <c r="B53" s="435" t="s">
        <v>418</v>
      </c>
      <c r="C53" s="435"/>
      <c r="D53" s="435"/>
      <c r="E53" s="435"/>
      <c r="F53" s="435"/>
      <c r="G53" s="519" t="s">
        <v>419</v>
      </c>
      <c r="H53" s="493"/>
      <c r="I53" s="493"/>
      <c r="J53" s="493"/>
      <c r="K53" s="493"/>
      <c r="L53" s="401"/>
    </row>
    <row r="54" s="522" customFormat="true" ht="12.75" hidden="false" customHeight="false" outlineLevel="0" collapsed="false">
      <c r="A54" s="400"/>
      <c r="B54" s="520" t="s">
        <v>420</v>
      </c>
      <c r="C54" s="520"/>
      <c r="D54" s="520"/>
      <c r="E54" s="520"/>
      <c r="F54" s="520"/>
      <c r="G54" s="520"/>
      <c r="H54" s="520"/>
      <c r="I54" s="520"/>
      <c r="J54" s="520"/>
      <c r="K54" s="520"/>
      <c r="L54" s="401"/>
      <c r="M54" s="521"/>
    </row>
    <row r="55" s="408" customFormat="true" ht="12.75" hidden="false" customHeight="false" outlineLevel="0" collapsed="false">
      <c r="A55" s="333"/>
      <c r="B55" s="333"/>
      <c r="C55" s="333"/>
      <c r="D55" s="333"/>
      <c r="E55" s="333"/>
      <c r="F55" s="333"/>
      <c r="G55" s="333"/>
      <c r="H55" s="333"/>
      <c r="I55" s="333"/>
      <c r="J55" s="523"/>
      <c r="K55" s="333"/>
      <c r="L55" s="401"/>
      <c r="M55" s="521"/>
    </row>
    <row r="56" s="408" customFormat="true" ht="12.75" hidden="false" customHeight="false" outlineLevel="0" collapsed="false">
      <c r="A56" s="524"/>
      <c r="B56" s="525"/>
      <c r="C56" s="525"/>
      <c r="D56" s="525"/>
      <c r="E56" s="525"/>
      <c r="F56" s="525"/>
      <c r="G56" s="525"/>
      <c r="H56" s="525"/>
      <c r="I56" s="525"/>
      <c r="J56" s="525"/>
      <c r="K56" s="526"/>
      <c r="L56" s="401"/>
      <c r="M56" s="521"/>
    </row>
    <row r="57" s="408" customFormat="true" ht="12.75" hidden="false" customHeight="false" outlineLevel="0" collapsed="false">
      <c r="A57" s="524"/>
      <c r="B57" s="525"/>
      <c r="C57" s="527"/>
      <c r="D57" s="525"/>
      <c r="E57" s="525"/>
      <c r="F57" s="525"/>
      <c r="G57" s="525"/>
      <c r="H57" s="525"/>
      <c r="I57" s="525"/>
      <c r="J57" s="527"/>
      <c r="K57" s="526"/>
      <c r="L57" s="401"/>
      <c r="M57" s="521"/>
    </row>
    <row r="58" s="408" customFormat="true" ht="12.75" hidden="false" customHeight="false" outlineLevel="0" collapsed="false">
      <c r="C58" s="527"/>
      <c r="D58" s="509"/>
      <c r="E58" s="509"/>
      <c r="F58" s="509"/>
      <c r="G58" s="509"/>
      <c r="H58" s="509"/>
      <c r="I58" s="509"/>
      <c r="J58" s="509"/>
      <c r="K58" s="401"/>
      <c r="L58" s="401"/>
      <c r="M58" s="521"/>
    </row>
    <row r="59" s="408" customFormat="true" ht="12.75" hidden="false" customHeight="false" outlineLevel="0" collapsed="false">
      <c r="C59" s="527"/>
      <c r="D59" s="509"/>
      <c r="E59" s="509"/>
      <c r="F59" s="509"/>
      <c r="G59" s="509"/>
      <c r="H59" s="509"/>
      <c r="I59" s="509"/>
      <c r="J59" s="509"/>
      <c r="K59" s="401"/>
      <c r="L59" s="401"/>
      <c r="M59" s="521"/>
    </row>
    <row r="60" s="408" customFormat="true" ht="12.75" hidden="false" customHeight="false" outlineLevel="0" collapsed="false">
      <c r="B60" s="509"/>
      <c r="C60" s="527"/>
      <c r="D60" s="509"/>
      <c r="E60" s="509"/>
      <c r="F60" s="509"/>
      <c r="G60" s="509"/>
      <c r="H60" s="509"/>
      <c r="I60" s="509"/>
      <c r="J60" s="509"/>
      <c r="K60" s="401"/>
      <c r="L60" s="401"/>
      <c r="M60" s="521"/>
    </row>
    <row r="61" s="408" customFormat="true" ht="12.75" hidden="false" customHeight="false" outlineLevel="0" collapsed="false">
      <c r="C61" s="527"/>
      <c r="D61" s="509"/>
      <c r="E61" s="509"/>
      <c r="F61" s="509"/>
      <c r="G61" s="509"/>
      <c r="H61" s="509"/>
      <c r="I61" s="509"/>
      <c r="K61" s="401"/>
      <c r="L61" s="509"/>
      <c r="M61" s="521"/>
    </row>
    <row r="62" s="408" customFormat="true" ht="12.75" hidden="false" customHeight="false" outlineLevel="0" collapsed="false">
      <c r="B62" s="509"/>
      <c r="C62" s="527"/>
      <c r="D62" s="509"/>
      <c r="E62" s="509"/>
      <c r="F62" s="509"/>
      <c r="G62" s="509"/>
      <c r="H62" s="509"/>
      <c r="I62" s="509"/>
      <c r="K62" s="401"/>
      <c r="L62" s="509"/>
      <c r="M62" s="521"/>
    </row>
    <row r="63" s="408" customFormat="true" ht="12.75" hidden="false" customHeight="false" outlineLevel="0" collapsed="false">
      <c r="B63" s="509"/>
      <c r="C63" s="401"/>
      <c r="D63" s="509"/>
      <c r="E63" s="509"/>
      <c r="F63" s="509"/>
      <c r="G63" s="509"/>
      <c r="H63" s="509"/>
      <c r="I63" s="509"/>
      <c r="K63" s="401"/>
      <c r="L63" s="509"/>
    </row>
    <row r="64" s="408" customFormat="true" ht="12.75" hidden="false" customHeight="false" outlineLevel="0" collapsed="false">
      <c r="B64" s="509"/>
      <c r="C64" s="401"/>
      <c r="D64" s="509"/>
      <c r="E64" s="509"/>
      <c r="F64" s="509"/>
      <c r="G64" s="509"/>
      <c r="H64" s="509"/>
      <c r="I64" s="509"/>
      <c r="K64" s="401"/>
      <c r="L64" s="509"/>
    </row>
    <row r="65" s="408" customFormat="true" ht="12.75" hidden="false" customHeight="false" outlineLevel="0" collapsed="false">
      <c r="B65" s="509"/>
      <c r="C65" s="509"/>
      <c r="D65" s="509"/>
      <c r="E65" s="509"/>
      <c r="F65" s="509"/>
      <c r="G65" s="509"/>
      <c r="H65" s="509"/>
      <c r="I65" s="509"/>
      <c r="K65" s="401"/>
      <c r="L65" s="509"/>
    </row>
    <row r="66" customFormat="false" ht="12.75" hidden="false" customHeight="false" outlineLevel="0" collapsed="false">
      <c r="A66" s="408"/>
      <c r="B66" s="509"/>
      <c r="C66" s="509"/>
      <c r="D66" s="509"/>
      <c r="E66" s="509"/>
      <c r="F66" s="509"/>
      <c r="G66" s="509"/>
      <c r="H66" s="509"/>
      <c r="I66" s="509"/>
      <c r="J66" s="509"/>
      <c r="K66" s="408"/>
      <c r="L66" s="509"/>
    </row>
    <row r="67" customFormat="false" ht="12.75" hidden="false" customHeight="false" outlineLevel="0" collapsed="false">
      <c r="A67" s="408"/>
      <c r="B67" s="408"/>
      <c r="C67" s="509"/>
      <c r="D67" s="509"/>
      <c r="E67" s="509"/>
      <c r="F67" s="509"/>
      <c r="G67" s="509"/>
      <c r="H67" s="509"/>
      <c r="I67" s="509"/>
      <c r="J67" s="509"/>
      <c r="K67" s="408"/>
      <c r="L67" s="509"/>
    </row>
    <row r="68" customFormat="false" ht="12.75" hidden="false" customHeight="false" outlineLevel="0" collapsed="false">
      <c r="A68" s="408"/>
      <c r="B68" s="408"/>
      <c r="C68" s="509"/>
      <c r="D68" s="509"/>
      <c r="E68" s="509"/>
      <c r="F68" s="509"/>
      <c r="G68" s="509"/>
      <c r="H68" s="509"/>
      <c r="I68" s="509"/>
      <c r="J68" s="509"/>
      <c r="K68" s="408"/>
      <c r="L68" s="509"/>
    </row>
    <row r="69" customFormat="false" ht="12.75" hidden="false" customHeight="false" outlineLevel="0" collapsed="false">
      <c r="C69" s="509"/>
      <c r="D69" s="509"/>
      <c r="E69" s="509"/>
      <c r="F69" s="401"/>
      <c r="G69" s="509"/>
      <c r="H69" s="509"/>
      <c r="I69" s="401"/>
      <c r="J69" s="509"/>
      <c r="L69" s="509"/>
    </row>
    <row r="70" customFormat="false" ht="12.75" hidden="false" customHeight="false" outlineLevel="0" collapsed="false">
      <c r="C70" s="509"/>
      <c r="D70" s="509"/>
      <c r="E70" s="509"/>
      <c r="F70" s="401"/>
      <c r="G70" s="509"/>
      <c r="H70" s="509"/>
      <c r="I70" s="401"/>
      <c r="J70" s="509"/>
      <c r="L70" s="509"/>
    </row>
    <row r="71" customFormat="false" ht="12.75" hidden="false" customHeight="false" outlineLevel="0" collapsed="false">
      <c r="C71" s="509"/>
      <c r="D71" s="509"/>
      <c r="E71" s="509"/>
      <c r="G71" s="509"/>
      <c r="H71" s="509"/>
      <c r="J71" s="509"/>
      <c r="L71" s="509"/>
    </row>
    <row r="72" customFormat="false" ht="12.75" hidden="false" customHeight="false" outlineLevel="0" collapsed="false">
      <c r="C72" s="509"/>
      <c r="D72" s="509"/>
      <c r="E72" s="509"/>
      <c r="G72" s="509"/>
      <c r="H72" s="509"/>
      <c r="J72" s="509"/>
      <c r="L72" s="509"/>
    </row>
    <row r="73" customFormat="false" ht="12.75" hidden="false" customHeight="false" outlineLevel="0" collapsed="false">
      <c r="C73" s="509"/>
      <c r="D73" s="509"/>
      <c r="E73" s="509"/>
      <c r="G73" s="509"/>
      <c r="H73" s="509"/>
      <c r="J73" s="509"/>
      <c r="L73" s="509"/>
    </row>
    <row r="74" customFormat="false" ht="12.75" hidden="false" customHeight="false" outlineLevel="0" collapsed="false">
      <c r="C74" s="509"/>
      <c r="D74" s="509"/>
      <c r="E74" s="509"/>
      <c r="G74" s="509"/>
      <c r="H74" s="509"/>
      <c r="J74" s="509"/>
      <c r="L74" s="509"/>
    </row>
    <row r="75" customFormat="false" ht="12.75" hidden="false" customHeight="false" outlineLevel="0" collapsed="false">
      <c r="C75" s="509"/>
      <c r="D75" s="509"/>
      <c r="E75" s="509"/>
      <c r="G75" s="509"/>
      <c r="H75" s="509"/>
      <c r="J75" s="509"/>
      <c r="L75" s="509"/>
    </row>
    <row r="76" customFormat="false" ht="12.75" hidden="false" customHeight="false" outlineLevel="0" collapsed="false">
      <c r="C76" s="509"/>
      <c r="D76" s="509"/>
      <c r="E76" s="509"/>
      <c r="G76" s="509"/>
      <c r="H76" s="509"/>
      <c r="J76" s="509"/>
      <c r="L76" s="509"/>
    </row>
    <row r="77" customFormat="false" ht="12.75" hidden="false" customHeight="false" outlineLevel="0" collapsed="false">
      <c r="C77" s="509"/>
      <c r="D77" s="509"/>
      <c r="E77" s="509"/>
      <c r="G77" s="509"/>
      <c r="H77" s="509"/>
      <c r="J77" s="509"/>
    </row>
    <row r="78" customFormat="false" ht="12.75" hidden="false" customHeight="false" outlineLevel="0" collapsed="false">
      <c r="C78" s="509"/>
      <c r="D78" s="509"/>
      <c r="E78" s="509"/>
      <c r="G78" s="509"/>
      <c r="H78" s="509"/>
    </row>
    <row r="79" customFormat="false" ht="12.75" hidden="false" customHeight="false" outlineLevel="0" collapsed="false">
      <c r="B79" s="401"/>
      <c r="C79" s="401"/>
      <c r="D79" s="401"/>
      <c r="E79" s="401"/>
      <c r="F79" s="401"/>
      <c r="G79" s="401"/>
      <c r="H79" s="401"/>
      <c r="I79" s="401"/>
      <c r="J79" s="401"/>
      <c r="K79" s="401"/>
    </row>
    <row r="80" customFormat="false" ht="12.75" hidden="false" customHeight="false" outlineLevel="0" collapsed="false">
      <c r="B80" s="401"/>
      <c r="C80" s="401"/>
      <c r="D80" s="401"/>
      <c r="E80" s="401"/>
      <c r="F80" s="401"/>
      <c r="G80" s="401"/>
      <c r="H80" s="401"/>
      <c r="I80" s="401"/>
      <c r="J80" s="401"/>
      <c r="K80" s="401"/>
    </row>
    <row r="81" customFormat="false" ht="12.75" hidden="false" customHeight="false" outlineLevel="0" collapsed="false">
      <c r="B81" s="401"/>
      <c r="C81" s="401"/>
      <c r="D81" s="401"/>
      <c r="E81" s="401"/>
      <c r="F81" s="401"/>
      <c r="G81" s="401"/>
      <c r="H81" s="401"/>
      <c r="I81" s="401"/>
      <c r="J81" s="401"/>
      <c r="K81" s="401"/>
    </row>
    <row r="82" customFormat="false" ht="12.75" hidden="false" customHeight="false" outlineLevel="0" collapsed="false">
      <c r="B82" s="401"/>
      <c r="C82" s="401"/>
      <c r="D82" s="401"/>
      <c r="E82" s="401"/>
      <c r="F82" s="401"/>
      <c r="G82" s="401"/>
      <c r="H82" s="401"/>
      <c r="I82" s="401"/>
      <c r="J82" s="401"/>
      <c r="K82" s="401"/>
    </row>
    <row r="83" customFormat="false" ht="12.75" hidden="false" customHeight="false" outlineLevel="0" collapsed="false">
      <c r="B83" s="401"/>
      <c r="C83" s="401"/>
      <c r="D83" s="401"/>
      <c r="E83" s="401"/>
      <c r="F83" s="401"/>
      <c r="G83" s="401"/>
      <c r="H83" s="401"/>
      <c r="I83" s="401"/>
      <c r="J83" s="401"/>
      <c r="K83" s="401"/>
    </row>
    <row r="84" customFormat="false" ht="12.75" hidden="false" customHeight="false" outlineLevel="0" collapsed="false">
      <c r="B84" s="401"/>
      <c r="C84" s="401"/>
      <c r="D84" s="401"/>
      <c r="E84" s="401"/>
      <c r="F84" s="401"/>
      <c r="G84" s="401"/>
      <c r="H84" s="401"/>
      <c r="I84" s="401"/>
      <c r="J84" s="401"/>
      <c r="K84" s="401"/>
    </row>
    <row r="85" customFormat="false" ht="12.75" hidden="false" customHeight="false" outlineLevel="0" collapsed="false">
      <c r="B85" s="401"/>
      <c r="C85" s="401"/>
      <c r="D85" s="401"/>
      <c r="E85" s="401"/>
      <c r="F85" s="401"/>
      <c r="G85" s="401"/>
      <c r="H85" s="401"/>
      <c r="I85" s="401"/>
      <c r="J85" s="401"/>
      <c r="K85" s="401"/>
    </row>
    <row r="86" customFormat="false" ht="12.75" hidden="false" customHeight="false" outlineLevel="0" collapsed="false">
      <c r="B86" s="401"/>
      <c r="C86" s="401"/>
      <c r="D86" s="401"/>
      <c r="E86" s="401"/>
      <c r="F86" s="401"/>
      <c r="G86" s="401"/>
      <c r="H86" s="401"/>
      <c r="I86" s="401"/>
      <c r="J86" s="401"/>
      <c r="K86" s="401"/>
    </row>
    <row r="87" customFormat="false" ht="12.75" hidden="false" customHeight="false" outlineLevel="0" collapsed="false">
      <c r="B87" s="401"/>
      <c r="C87" s="401"/>
      <c r="D87" s="401"/>
      <c r="E87" s="401"/>
      <c r="F87" s="401"/>
      <c r="G87" s="401"/>
      <c r="H87" s="401"/>
      <c r="I87" s="401"/>
      <c r="J87" s="401"/>
      <c r="K87" s="401"/>
    </row>
    <row r="88" customFormat="false" ht="12.75" hidden="false" customHeight="false" outlineLevel="0" collapsed="false">
      <c r="B88" s="401"/>
      <c r="C88" s="401"/>
      <c r="D88" s="401"/>
      <c r="E88" s="401"/>
      <c r="F88" s="401"/>
      <c r="G88" s="401"/>
      <c r="H88" s="401"/>
      <c r="I88" s="401"/>
      <c r="J88" s="401"/>
      <c r="K88" s="401"/>
    </row>
    <row r="89" customFormat="false" ht="12.75" hidden="false" customHeight="false" outlineLevel="0" collapsed="false">
      <c r="B89" s="401"/>
      <c r="C89" s="401"/>
      <c r="D89" s="401"/>
      <c r="E89" s="401"/>
      <c r="F89" s="401"/>
      <c r="G89" s="401"/>
      <c r="H89" s="401"/>
      <c r="I89" s="401"/>
      <c r="J89" s="401"/>
      <c r="K89" s="401"/>
    </row>
  </sheetData>
  <mergeCells count="9">
    <mergeCell ref="D1:F1"/>
    <mergeCell ref="G1:I1"/>
    <mergeCell ref="A3:A5"/>
    <mergeCell ref="B3:B4"/>
    <mergeCell ref="C3:C4"/>
    <mergeCell ref="D3:F3"/>
    <mergeCell ref="G3:I3"/>
    <mergeCell ref="J3:J4"/>
    <mergeCell ref="K3:K4"/>
  </mergeCells>
  <conditionalFormatting sqref="B6:K10 A6:A14">
    <cfRule type="expression" priority="2" aboveAverage="0" equalAverage="0" bottom="0" percent="0" rank="0" text="" dxfId="10">
      <formula>MOD(ROW(),2)=1</formula>
    </cfRule>
  </conditionalFormatting>
  <conditionalFormatting sqref="A13:A14">
    <cfRule type="expression" priority="3" aboveAverage="0" equalAverage="0" bottom="0" percent="0" rank="0" text="" dxfId="11">
      <formula>MOD(ROW(),2)=1</formula>
    </cfRule>
    <cfRule type="expression" priority="4" aboveAverage="0" equalAverage="0" bottom="0" percent="0" rank="0" text="" dxfId="0">
      <formula>MOD(ROW(),2)=1</formula>
    </cfRule>
  </conditionalFormatting>
  <conditionalFormatting sqref="A13:A14">
    <cfRule type="expression" priority="5" aboveAverage="0" equalAverage="0" bottom="0" percent="0" rank="0" text="" dxfId="0">
      <formula>MOD(row,0)=0</formula>
    </cfRule>
  </conditionalFormatting>
  <conditionalFormatting sqref="A13:A14">
    <cfRule type="expression" priority="6" aboveAverage="0" equalAverage="0" bottom="0" percent="0" rank="0" text="" dxfId="0">
      <formula>MOD((((#ref!))),0)=0</formula>
    </cfRule>
  </conditionalFormatting>
  <printOptions headings="false" gridLines="false" gridLinesSet="true" horizontalCentered="false" verticalCentered="false"/>
  <pageMargins left="0.629861111111111" right="0.511805555555555" top="0.511805555555555" bottom="0.315277777777778" header="0.511805555555555" footer="0.315277777777778"/>
  <pageSetup paperSize="1" scale="100" firstPageNumber="20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>&amp;C&amp;"Times New Roman,Regular"&amp;8&amp;P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V5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2" ySplit="8" topLeftCell="AS9" activePane="bottomRight" state="frozen"/>
      <selection pane="topLeft" activeCell="A1" activeCellId="0" sqref="A1"/>
      <selection pane="topRight" activeCell="AS1" activeCellId="0" sqref="AS1"/>
      <selection pane="bottomLeft" activeCell="A9" activeCellId="0" sqref="A9"/>
      <selection pane="bottomRight" activeCell="AW11" activeCellId="0" sqref="AW11"/>
    </sheetView>
  </sheetViews>
  <sheetFormatPr defaultColWidth="9.15625" defaultRowHeight="12.75" zeroHeight="false" outlineLevelRow="0" outlineLevelCol="0"/>
  <cols>
    <col collapsed="false" customWidth="true" hidden="false" outlineLevel="0" max="1" min="1" style="528" width="2.14"/>
    <col collapsed="false" customWidth="true" hidden="false" outlineLevel="0" max="2" min="2" style="528" width="5.01"/>
    <col collapsed="false" customWidth="true" hidden="false" outlineLevel="0" max="3" min="3" style="528" width="7.71"/>
    <col collapsed="false" customWidth="true" hidden="false" outlineLevel="0" max="4" min="4" style="528" width="7"/>
    <col collapsed="false" customWidth="true" hidden="false" outlineLevel="0" max="5" min="5" style="528" width="6.15"/>
    <col collapsed="false" customWidth="true" hidden="false" outlineLevel="0" max="6" min="6" style="528" width="5.57"/>
    <col collapsed="false" customWidth="true" hidden="false" outlineLevel="0" max="7" min="7" style="528" width="6.86"/>
    <col collapsed="false" customWidth="true" hidden="false" outlineLevel="0" max="8" min="8" style="528" width="7.86"/>
    <col collapsed="false" customWidth="true" hidden="false" outlineLevel="0" max="9" min="9" style="528" width="7.42"/>
    <col collapsed="false" customWidth="true" hidden="false" outlineLevel="0" max="10" min="10" style="528" width="7"/>
    <col collapsed="false" customWidth="true" hidden="false" outlineLevel="0" max="11" min="11" style="528" width="6.71"/>
    <col collapsed="false" customWidth="true" hidden="false" outlineLevel="0" max="12" min="12" style="528" width="6.42"/>
    <col collapsed="false" customWidth="true" hidden="false" outlineLevel="0" max="13" min="13" style="528" width="5.86"/>
    <col collapsed="false" customWidth="true" hidden="false" outlineLevel="0" max="14" min="14" style="528" width="5.43"/>
    <col collapsed="false" customWidth="true" hidden="false" outlineLevel="0" max="15" min="15" style="528" width="7.15"/>
    <col collapsed="false" customWidth="true" hidden="false" outlineLevel="0" max="16" min="16" style="528" width="5.43"/>
    <col collapsed="false" customWidth="true" hidden="false" outlineLevel="0" max="17" min="17" style="528" width="6.71"/>
    <col collapsed="false" customWidth="true" hidden="false" outlineLevel="0" max="18" min="18" style="528" width="5.57"/>
    <col collapsed="false" customWidth="true" hidden="false" outlineLevel="0" max="19" min="19" style="528" width="6.28"/>
    <col collapsed="false" customWidth="true" hidden="false" outlineLevel="0" max="20" min="20" style="528" width="5.43"/>
    <col collapsed="false" customWidth="true" hidden="false" outlineLevel="0" max="21" min="21" style="528" width="6.01"/>
    <col collapsed="false" customWidth="true" hidden="false" outlineLevel="0" max="22" min="22" style="528" width="5.14"/>
    <col collapsed="false" customWidth="true" hidden="false" outlineLevel="0" max="23" min="23" style="528" width="7.42"/>
    <col collapsed="false" customWidth="true" hidden="false" outlineLevel="0" max="24" min="24" style="528" width="5.43"/>
    <col collapsed="false" customWidth="true" hidden="false" outlineLevel="0" max="25" min="25" style="528" width="7.71"/>
    <col collapsed="false" customWidth="true" hidden="false" outlineLevel="0" max="26" min="26" style="529" width="2.14"/>
    <col collapsed="false" customWidth="true" hidden="false" outlineLevel="0" max="27" min="27" style="528" width="5.01"/>
    <col collapsed="false" customWidth="true" hidden="false" outlineLevel="0" max="28" min="28" style="528" width="7.71"/>
    <col collapsed="false" customWidth="true" hidden="false" outlineLevel="0" max="29" min="29" style="528" width="6.86"/>
    <col collapsed="false" customWidth="true" hidden="false" outlineLevel="0" max="31" min="30" style="528" width="5.01"/>
    <col collapsed="false" customWidth="true" hidden="false" outlineLevel="0" max="32" min="32" style="528" width="6.86"/>
    <col collapsed="false" customWidth="true" hidden="false" outlineLevel="0" max="33" min="33" style="528" width="5.7"/>
    <col collapsed="false" customWidth="true" hidden="false" outlineLevel="0" max="34" min="34" style="528" width="6.42"/>
    <col collapsed="false" customWidth="true" hidden="false" outlineLevel="0" max="35" min="35" style="528" width="5.01"/>
    <col collapsed="false" customWidth="true" hidden="false" outlineLevel="0" max="36" min="36" style="528" width="6.71"/>
    <col collapsed="false" customWidth="true" hidden="false" outlineLevel="0" max="37" min="37" style="528" width="4.43"/>
    <col collapsed="false" customWidth="true" hidden="false" outlineLevel="0" max="38" min="38" style="528" width="6.28"/>
    <col collapsed="false" customWidth="true" hidden="false" outlineLevel="0" max="39" min="39" style="528" width="7.57"/>
    <col collapsed="false" customWidth="false" hidden="false" outlineLevel="0" max="40" min="40" style="528" width="9.14"/>
    <col collapsed="false" customWidth="true" hidden="false" outlineLevel="0" max="41" min="41" style="528" width="8.14"/>
    <col collapsed="false" customWidth="true" hidden="false" outlineLevel="0" max="42" min="42" style="528" width="8.57"/>
    <col collapsed="false" customWidth="true" hidden="false" outlineLevel="0" max="43" min="43" style="528" width="7.15"/>
    <col collapsed="false" customWidth="true" hidden="false" outlineLevel="0" max="44" min="44" style="528" width="7.86"/>
    <col collapsed="false" customWidth="true" hidden="false" outlineLevel="0" max="45" min="45" style="528" width="6.57"/>
    <col collapsed="false" customWidth="true" hidden="false" outlineLevel="0" max="47" min="46" style="528" width="7.71"/>
    <col collapsed="false" customWidth="true" hidden="false" outlineLevel="0" max="48" min="48" style="528" width="8.57"/>
    <col collapsed="false" customWidth="true" hidden="false" outlineLevel="0" max="49" min="49" style="528" width="8.29"/>
    <col collapsed="false" customWidth="true" hidden="false" outlineLevel="0" max="50" min="50" style="529" width="2.14"/>
    <col collapsed="false" customWidth="true" hidden="false" outlineLevel="0" max="51" min="51" style="528" width="4.29"/>
    <col collapsed="false" customWidth="true" hidden="false" outlineLevel="0" max="52" min="52" style="528" width="6.42"/>
    <col collapsed="false" customWidth="true" hidden="false" outlineLevel="0" max="53" min="53" style="528" width="4.71"/>
    <col collapsed="false" customWidth="true" hidden="false" outlineLevel="0" max="54" min="54" style="528" width="6.86"/>
    <col collapsed="false" customWidth="true" hidden="false" outlineLevel="0" max="55" min="55" style="528" width="6.15"/>
    <col collapsed="false" customWidth="true" hidden="false" outlineLevel="0" max="56" min="56" style="528" width="7.57"/>
    <col collapsed="false" customWidth="true" hidden="false" outlineLevel="0" max="57" min="57" style="528" width="6.57"/>
    <col collapsed="false" customWidth="true" hidden="false" outlineLevel="0" max="58" min="58" style="528" width="6.86"/>
    <col collapsed="false" customWidth="true" hidden="false" outlineLevel="0" max="59" min="59" style="528" width="7.57"/>
    <col collapsed="false" customWidth="true" hidden="false" outlineLevel="0" max="60" min="60" style="528" width="6.86"/>
    <col collapsed="false" customWidth="true" hidden="false" outlineLevel="0" max="61" min="61" style="528" width="7.42"/>
    <col collapsed="false" customWidth="true" hidden="false" outlineLevel="0" max="62" min="62" style="528" width="7.57"/>
    <col collapsed="false" customWidth="true" hidden="false" outlineLevel="0" max="63" min="63" style="528" width="7.15"/>
    <col collapsed="false" customWidth="true" hidden="false" outlineLevel="0" max="64" min="64" style="528" width="6.28"/>
    <col collapsed="false" customWidth="true" hidden="false" outlineLevel="0" max="65" min="65" style="528" width="6.57"/>
    <col collapsed="false" customWidth="true" hidden="false" outlineLevel="0" max="66" min="66" style="528" width="8.14"/>
    <col collapsed="false" customWidth="true" hidden="false" outlineLevel="0" max="67" min="67" style="528" width="6.86"/>
    <col collapsed="false" customWidth="true" hidden="false" outlineLevel="0" max="68" min="68" style="528" width="7.71"/>
    <col collapsed="false" customWidth="true" hidden="false" outlineLevel="0" max="69" min="69" style="528" width="4.86"/>
    <col collapsed="false" customWidth="true" hidden="false" outlineLevel="0" max="70" min="70" style="528" width="7.15"/>
    <col collapsed="false" customWidth="true" hidden="false" outlineLevel="0" max="71" min="71" style="528" width="6.15"/>
    <col collapsed="false" customWidth="true" hidden="false" outlineLevel="0" max="72" min="72" style="528" width="6.71"/>
    <col collapsed="false" customWidth="true" hidden="false" outlineLevel="0" max="73" min="73" style="528" width="6.01"/>
    <col collapsed="false" customWidth="true" hidden="false" outlineLevel="0" max="74" min="74" style="528" width="5.86"/>
    <col collapsed="false" customWidth="false" hidden="false" outlineLevel="0" max="1024" min="75" style="528" width="9.14"/>
  </cols>
  <sheetData>
    <row r="1" s="530" customFormat="true" ht="33" hidden="false" customHeight="true" outlineLevel="0" collapsed="false">
      <c r="H1" s="531" t="s">
        <v>421</v>
      </c>
      <c r="I1" s="531"/>
      <c r="J1" s="531"/>
      <c r="K1" s="531"/>
      <c r="L1" s="531"/>
      <c r="M1" s="531"/>
      <c r="N1" s="531"/>
      <c r="O1" s="531"/>
      <c r="P1" s="531"/>
      <c r="Q1" s="531"/>
      <c r="R1" s="531"/>
      <c r="S1" s="531"/>
      <c r="V1" s="532" t="s">
        <v>422</v>
      </c>
      <c r="W1" s="532"/>
      <c r="X1" s="532"/>
      <c r="Y1" s="532"/>
      <c r="Z1" s="533"/>
      <c r="AH1" s="531" t="s">
        <v>423</v>
      </c>
      <c r="AI1" s="531"/>
      <c r="AJ1" s="531"/>
      <c r="AK1" s="531"/>
      <c r="AL1" s="531"/>
      <c r="AM1" s="531"/>
      <c r="AN1" s="531"/>
      <c r="AO1" s="531"/>
      <c r="AP1" s="531"/>
      <c r="AQ1" s="531"/>
      <c r="AR1" s="531"/>
      <c r="AT1" s="534" t="s">
        <v>422</v>
      </c>
      <c r="AU1" s="534"/>
      <c r="AV1" s="534"/>
      <c r="AW1" s="534"/>
      <c r="AX1" s="533"/>
      <c r="BD1" s="535"/>
      <c r="BE1" s="535"/>
      <c r="BF1" s="535"/>
      <c r="BG1" s="531" t="s">
        <v>421</v>
      </c>
      <c r="BH1" s="531"/>
      <c r="BI1" s="531"/>
      <c r="BJ1" s="531"/>
      <c r="BK1" s="531"/>
      <c r="BL1" s="531"/>
      <c r="BM1" s="531"/>
      <c r="BN1" s="531"/>
      <c r="BO1" s="531"/>
      <c r="BP1" s="535"/>
      <c r="BQ1" s="535"/>
      <c r="BS1" s="534" t="s">
        <v>424</v>
      </c>
      <c r="BT1" s="534"/>
      <c r="BU1" s="534"/>
      <c r="BV1" s="534"/>
    </row>
    <row r="2" s="536" customFormat="true" ht="14.25" hidden="false" customHeight="true" outlineLevel="0" collapsed="false">
      <c r="J2" s="532"/>
      <c r="K2" s="537"/>
      <c r="L2" s="537"/>
      <c r="M2" s="537"/>
      <c r="N2" s="537"/>
      <c r="O2" s="537"/>
      <c r="P2" s="537"/>
      <c r="Q2" s="537"/>
      <c r="R2" s="537"/>
      <c r="S2" s="537"/>
      <c r="T2" s="538"/>
      <c r="U2" s="538"/>
      <c r="V2" s="539"/>
      <c r="W2" s="540" t="s">
        <v>425</v>
      </c>
      <c r="X2" s="540"/>
      <c r="Y2" s="540"/>
      <c r="Z2" s="541"/>
      <c r="AH2" s="537"/>
      <c r="AI2" s="537"/>
      <c r="AJ2" s="537"/>
      <c r="AK2" s="537"/>
      <c r="AL2" s="537"/>
      <c r="AM2" s="537"/>
      <c r="AN2" s="537"/>
      <c r="AO2" s="537"/>
      <c r="AP2" s="538"/>
      <c r="AQ2" s="538"/>
      <c r="AR2" s="538"/>
      <c r="AS2" s="538"/>
      <c r="AT2" s="539"/>
      <c r="AU2" s="542" t="s">
        <v>426</v>
      </c>
      <c r="AV2" s="542"/>
      <c r="AW2" s="542"/>
      <c r="AX2" s="541"/>
      <c r="BC2" s="537"/>
      <c r="BD2" s="537"/>
      <c r="BE2" s="537"/>
      <c r="BF2" s="537"/>
      <c r="BG2" s="537"/>
      <c r="BH2" s="537"/>
      <c r="BI2" s="537"/>
      <c r="BM2" s="532"/>
      <c r="BN2" s="532"/>
      <c r="BO2" s="532"/>
      <c r="BP2" s="532"/>
      <c r="BQ2" s="532"/>
      <c r="BR2" s="530"/>
      <c r="BT2" s="542" t="s">
        <v>110</v>
      </c>
      <c r="BU2" s="542"/>
      <c r="BV2" s="542"/>
    </row>
    <row r="3" s="549" customFormat="true" ht="12.75" hidden="false" customHeight="true" outlineLevel="0" collapsed="false">
      <c r="A3" s="451" t="s">
        <v>427</v>
      </c>
      <c r="B3" s="451"/>
      <c r="C3" s="543" t="s">
        <v>428</v>
      </c>
      <c r="D3" s="543"/>
      <c r="E3" s="543"/>
      <c r="F3" s="543"/>
      <c r="G3" s="543"/>
      <c r="H3" s="543"/>
      <c r="I3" s="544" t="s">
        <v>429</v>
      </c>
      <c r="J3" s="544"/>
      <c r="K3" s="545" t="s">
        <v>430</v>
      </c>
      <c r="L3" s="545"/>
      <c r="M3" s="545"/>
      <c r="N3" s="545"/>
      <c r="O3" s="545"/>
      <c r="P3" s="545"/>
      <c r="Q3" s="545"/>
      <c r="R3" s="545"/>
      <c r="S3" s="545"/>
      <c r="T3" s="545"/>
      <c r="U3" s="545"/>
      <c r="V3" s="545"/>
      <c r="W3" s="545"/>
      <c r="X3" s="545"/>
      <c r="Y3" s="545"/>
      <c r="Z3" s="451" t="s">
        <v>427</v>
      </c>
      <c r="AA3" s="451"/>
      <c r="AB3" s="543" t="s">
        <v>431</v>
      </c>
      <c r="AC3" s="543"/>
      <c r="AD3" s="543"/>
      <c r="AE3" s="543"/>
      <c r="AF3" s="543"/>
      <c r="AG3" s="543"/>
      <c r="AH3" s="543"/>
      <c r="AI3" s="543"/>
      <c r="AJ3" s="543"/>
      <c r="AK3" s="543"/>
      <c r="AL3" s="543"/>
      <c r="AM3" s="543"/>
      <c r="AN3" s="543"/>
      <c r="AO3" s="543"/>
      <c r="AP3" s="543"/>
      <c r="AQ3" s="543"/>
      <c r="AR3" s="543"/>
      <c r="AS3" s="543"/>
      <c r="AT3" s="543"/>
      <c r="AU3" s="543"/>
      <c r="AV3" s="543"/>
      <c r="AW3" s="543"/>
      <c r="AX3" s="451" t="s">
        <v>427</v>
      </c>
      <c r="AY3" s="451"/>
      <c r="AZ3" s="543" t="s">
        <v>432</v>
      </c>
      <c r="BA3" s="543"/>
      <c r="BB3" s="543"/>
      <c r="BC3" s="543"/>
      <c r="BD3" s="543"/>
      <c r="BE3" s="543"/>
      <c r="BF3" s="543" t="s">
        <v>433</v>
      </c>
      <c r="BG3" s="543"/>
      <c r="BH3" s="543"/>
      <c r="BI3" s="543"/>
      <c r="BJ3" s="546" t="s">
        <v>434</v>
      </c>
      <c r="BK3" s="546"/>
      <c r="BL3" s="546"/>
      <c r="BM3" s="543" t="s">
        <v>435</v>
      </c>
      <c r="BN3" s="543"/>
      <c r="BO3" s="543"/>
      <c r="BP3" s="543"/>
      <c r="BQ3" s="543" t="s">
        <v>436</v>
      </c>
      <c r="BR3" s="543"/>
      <c r="BS3" s="543"/>
      <c r="BT3" s="543"/>
      <c r="BU3" s="547" t="s">
        <v>437</v>
      </c>
      <c r="BV3" s="548" t="s">
        <v>438</v>
      </c>
    </row>
    <row r="4" s="549" customFormat="true" ht="15.75" hidden="false" customHeight="true" outlineLevel="0" collapsed="false">
      <c r="A4" s="451"/>
      <c r="B4" s="451"/>
      <c r="C4" s="543"/>
      <c r="D4" s="543"/>
      <c r="E4" s="543"/>
      <c r="F4" s="543"/>
      <c r="G4" s="543"/>
      <c r="H4" s="543"/>
      <c r="I4" s="544"/>
      <c r="J4" s="544"/>
      <c r="K4" s="543" t="s">
        <v>439</v>
      </c>
      <c r="L4" s="543"/>
      <c r="M4" s="543"/>
      <c r="N4" s="543"/>
      <c r="O4" s="543"/>
      <c r="P4" s="543"/>
      <c r="Q4" s="543"/>
      <c r="R4" s="543"/>
      <c r="S4" s="543"/>
      <c r="T4" s="543"/>
      <c r="U4" s="543"/>
      <c r="V4" s="543"/>
      <c r="W4" s="543"/>
      <c r="X4" s="543"/>
      <c r="Y4" s="543"/>
      <c r="Z4" s="451"/>
      <c r="AA4" s="451"/>
      <c r="AB4" s="543" t="s">
        <v>440</v>
      </c>
      <c r="AC4" s="543"/>
      <c r="AD4" s="543"/>
      <c r="AE4" s="543"/>
      <c r="AF4" s="543"/>
      <c r="AG4" s="543"/>
      <c r="AH4" s="543"/>
      <c r="AI4" s="543"/>
      <c r="AJ4" s="543"/>
      <c r="AK4" s="543"/>
      <c r="AL4" s="543"/>
      <c r="AM4" s="543"/>
      <c r="AN4" s="543"/>
      <c r="AO4" s="543"/>
      <c r="AP4" s="550" t="s">
        <v>441</v>
      </c>
      <c r="AQ4" s="550"/>
      <c r="AR4" s="550"/>
      <c r="AS4" s="550"/>
      <c r="AT4" s="551" t="s">
        <v>442</v>
      </c>
      <c r="AU4" s="551"/>
      <c r="AV4" s="551"/>
      <c r="AW4" s="551"/>
      <c r="AX4" s="451"/>
      <c r="AY4" s="451"/>
      <c r="AZ4" s="551" t="s">
        <v>443</v>
      </c>
      <c r="BA4" s="551"/>
      <c r="BB4" s="551"/>
      <c r="BC4" s="551"/>
      <c r="BD4" s="543" t="s">
        <v>175</v>
      </c>
      <c r="BE4" s="543"/>
      <c r="BF4" s="543"/>
      <c r="BG4" s="543"/>
      <c r="BH4" s="543"/>
      <c r="BI4" s="543"/>
      <c r="BJ4" s="546"/>
      <c r="BK4" s="546"/>
      <c r="BL4" s="546"/>
      <c r="BM4" s="543"/>
      <c r="BN4" s="543"/>
      <c r="BO4" s="543"/>
      <c r="BP4" s="543"/>
      <c r="BQ4" s="543"/>
      <c r="BR4" s="543"/>
      <c r="BS4" s="543"/>
      <c r="BT4" s="543"/>
      <c r="BU4" s="547"/>
      <c r="BV4" s="548"/>
    </row>
    <row r="5" s="452" customFormat="true" ht="12" hidden="false" customHeight="true" outlineLevel="0" collapsed="false">
      <c r="A5" s="451"/>
      <c r="B5" s="451"/>
      <c r="C5" s="544" t="s">
        <v>444</v>
      </c>
      <c r="D5" s="544"/>
      <c r="E5" s="544" t="s">
        <v>445</v>
      </c>
      <c r="F5" s="544"/>
      <c r="G5" s="544" t="s">
        <v>175</v>
      </c>
      <c r="H5" s="544"/>
      <c r="I5" s="544"/>
      <c r="J5" s="544"/>
      <c r="K5" s="552" t="s">
        <v>446</v>
      </c>
      <c r="L5" s="552"/>
      <c r="M5" s="552"/>
      <c r="N5" s="552"/>
      <c r="O5" s="553" t="s">
        <v>447</v>
      </c>
      <c r="P5" s="553"/>
      <c r="Q5" s="553"/>
      <c r="R5" s="553"/>
      <c r="S5" s="553" t="s">
        <v>448</v>
      </c>
      <c r="T5" s="553"/>
      <c r="U5" s="553"/>
      <c r="V5" s="553"/>
      <c r="W5" s="553" t="s">
        <v>175</v>
      </c>
      <c r="X5" s="553"/>
      <c r="Y5" s="554" t="s">
        <v>449</v>
      </c>
      <c r="Z5" s="451"/>
      <c r="AA5" s="451"/>
      <c r="AB5" s="553" t="s">
        <v>450</v>
      </c>
      <c r="AC5" s="553"/>
      <c r="AD5" s="553"/>
      <c r="AE5" s="553"/>
      <c r="AF5" s="553" t="s">
        <v>447</v>
      </c>
      <c r="AG5" s="553"/>
      <c r="AH5" s="553"/>
      <c r="AI5" s="553"/>
      <c r="AJ5" s="553" t="s">
        <v>451</v>
      </c>
      <c r="AK5" s="553"/>
      <c r="AL5" s="553"/>
      <c r="AM5" s="553"/>
      <c r="AN5" s="544" t="s">
        <v>175</v>
      </c>
      <c r="AO5" s="544"/>
      <c r="AP5" s="550"/>
      <c r="AQ5" s="550"/>
      <c r="AR5" s="550"/>
      <c r="AS5" s="550"/>
      <c r="AT5" s="551"/>
      <c r="AU5" s="551"/>
      <c r="AV5" s="551"/>
      <c r="AW5" s="551"/>
      <c r="AX5" s="451"/>
      <c r="AY5" s="451"/>
      <c r="AZ5" s="551"/>
      <c r="BA5" s="551"/>
      <c r="BB5" s="551"/>
      <c r="BC5" s="551"/>
      <c r="BD5" s="543"/>
      <c r="BE5" s="543"/>
      <c r="BF5" s="548" t="s">
        <v>439</v>
      </c>
      <c r="BG5" s="548" t="s">
        <v>440</v>
      </c>
      <c r="BH5" s="548" t="s">
        <v>452</v>
      </c>
      <c r="BI5" s="548" t="s">
        <v>175</v>
      </c>
      <c r="BJ5" s="548" t="s">
        <v>453</v>
      </c>
      <c r="BK5" s="544" t="s">
        <v>454</v>
      </c>
      <c r="BL5" s="544"/>
      <c r="BM5" s="548" t="s">
        <v>455</v>
      </c>
      <c r="BN5" s="548" t="s">
        <v>456</v>
      </c>
      <c r="BO5" s="548"/>
      <c r="BP5" s="555" t="s">
        <v>457</v>
      </c>
      <c r="BQ5" s="555" t="s">
        <v>458</v>
      </c>
      <c r="BR5" s="548" t="s">
        <v>459</v>
      </c>
      <c r="BS5" s="548"/>
      <c r="BT5" s="547" t="s">
        <v>460</v>
      </c>
      <c r="BU5" s="547"/>
      <c r="BV5" s="548"/>
    </row>
    <row r="6" s="557" customFormat="true" ht="50.25" hidden="false" customHeight="true" outlineLevel="0" collapsed="false">
      <c r="A6" s="451"/>
      <c r="B6" s="451"/>
      <c r="C6" s="544"/>
      <c r="D6" s="544"/>
      <c r="E6" s="544"/>
      <c r="F6" s="544"/>
      <c r="G6" s="544"/>
      <c r="H6" s="544"/>
      <c r="I6" s="544"/>
      <c r="J6" s="544"/>
      <c r="K6" s="556" t="s">
        <v>461</v>
      </c>
      <c r="L6" s="556"/>
      <c r="M6" s="556" t="s">
        <v>462</v>
      </c>
      <c r="N6" s="556"/>
      <c r="O6" s="556" t="s">
        <v>463</v>
      </c>
      <c r="P6" s="556"/>
      <c r="Q6" s="556" t="s">
        <v>464</v>
      </c>
      <c r="R6" s="556"/>
      <c r="S6" s="556" t="s">
        <v>465</v>
      </c>
      <c r="T6" s="556"/>
      <c r="U6" s="556" t="s">
        <v>464</v>
      </c>
      <c r="V6" s="556"/>
      <c r="W6" s="553"/>
      <c r="X6" s="553"/>
      <c r="Y6" s="554"/>
      <c r="Z6" s="451"/>
      <c r="AA6" s="451"/>
      <c r="AB6" s="556" t="s">
        <v>465</v>
      </c>
      <c r="AC6" s="556"/>
      <c r="AD6" s="556" t="s">
        <v>464</v>
      </c>
      <c r="AE6" s="556"/>
      <c r="AF6" s="556" t="s">
        <v>465</v>
      </c>
      <c r="AG6" s="556"/>
      <c r="AH6" s="556" t="s">
        <v>464</v>
      </c>
      <c r="AI6" s="556"/>
      <c r="AJ6" s="556" t="s">
        <v>465</v>
      </c>
      <c r="AK6" s="556"/>
      <c r="AL6" s="556" t="s">
        <v>462</v>
      </c>
      <c r="AM6" s="556"/>
      <c r="AN6" s="544"/>
      <c r="AO6" s="544"/>
      <c r="AP6" s="556" t="s">
        <v>465</v>
      </c>
      <c r="AQ6" s="556"/>
      <c r="AR6" s="556" t="s">
        <v>464</v>
      </c>
      <c r="AS6" s="556"/>
      <c r="AT6" s="544" t="s">
        <v>466</v>
      </c>
      <c r="AU6" s="544"/>
      <c r="AV6" s="544" t="s">
        <v>467</v>
      </c>
      <c r="AW6" s="544"/>
      <c r="AX6" s="451"/>
      <c r="AY6" s="451"/>
      <c r="AZ6" s="544" t="s">
        <v>468</v>
      </c>
      <c r="BA6" s="544"/>
      <c r="BB6" s="544" t="s">
        <v>175</v>
      </c>
      <c r="BC6" s="544"/>
      <c r="BD6" s="543"/>
      <c r="BE6" s="543"/>
      <c r="BF6" s="548"/>
      <c r="BG6" s="548"/>
      <c r="BH6" s="548"/>
      <c r="BI6" s="548"/>
      <c r="BJ6" s="548"/>
      <c r="BK6" s="544"/>
      <c r="BL6" s="544"/>
      <c r="BM6" s="548"/>
      <c r="BN6" s="548"/>
      <c r="BO6" s="548"/>
      <c r="BP6" s="555"/>
      <c r="BQ6" s="555"/>
      <c r="BR6" s="548"/>
      <c r="BS6" s="548"/>
      <c r="BT6" s="547"/>
      <c r="BU6" s="547"/>
      <c r="BV6" s="548"/>
    </row>
    <row r="7" s="560" customFormat="true" ht="42" hidden="false" customHeight="true" outlineLevel="0" collapsed="false">
      <c r="A7" s="451"/>
      <c r="B7" s="451"/>
      <c r="C7" s="558" t="s">
        <v>469</v>
      </c>
      <c r="D7" s="558" t="s">
        <v>470</v>
      </c>
      <c r="E7" s="558" t="s">
        <v>471</v>
      </c>
      <c r="F7" s="558" t="s">
        <v>470</v>
      </c>
      <c r="G7" s="558" t="s">
        <v>472</v>
      </c>
      <c r="H7" s="558" t="s">
        <v>470</v>
      </c>
      <c r="I7" s="558" t="s">
        <v>472</v>
      </c>
      <c r="J7" s="558" t="s">
        <v>470</v>
      </c>
      <c r="K7" s="558" t="s">
        <v>471</v>
      </c>
      <c r="L7" s="558" t="s">
        <v>470</v>
      </c>
      <c r="M7" s="558" t="s">
        <v>472</v>
      </c>
      <c r="N7" s="559" t="s">
        <v>470</v>
      </c>
      <c r="O7" s="558" t="s">
        <v>471</v>
      </c>
      <c r="P7" s="559" t="s">
        <v>470</v>
      </c>
      <c r="Q7" s="558" t="s">
        <v>471</v>
      </c>
      <c r="R7" s="559" t="s">
        <v>470</v>
      </c>
      <c r="S7" s="558" t="s">
        <v>471</v>
      </c>
      <c r="T7" s="559" t="s">
        <v>470</v>
      </c>
      <c r="U7" s="558" t="s">
        <v>471</v>
      </c>
      <c r="V7" s="559" t="s">
        <v>470</v>
      </c>
      <c r="W7" s="558" t="s">
        <v>472</v>
      </c>
      <c r="X7" s="559" t="s">
        <v>470</v>
      </c>
      <c r="Y7" s="558" t="s">
        <v>470</v>
      </c>
      <c r="Z7" s="451"/>
      <c r="AA7" s="451"/>
      <c r="AB7" s="558" t="s">
        <v>471</v>
      </c>
      <c r="AC7" s="558" t="s">
        <v>470</v>
      </c>
      <c r="AD7" s="558" t="s">
        <v>473</v>
      </c>
      <c r="AE7" s="559" t="s">
        <v>470</v>
      </c>
      <c r="AF7" s="558" t="s">
        <v>471</v>
      </c>
      <c r="AG7" s="559" t="s">
        <v>474</v>
      </c>
      <c r="AH7" s="558" t="s">
        <v>471</v>
      </c>
      <c r="AI7" s="559" t="s">
        <v>470</v>
      </c>
      <c r="AJ7" s="558" t="s">
        <v>471</v>
      </c>
      <c r="AK7" s="559" t="s">
        <v>470</v>
      </c>
      <c r="AL7" s="558" t="s">
        <v>471</v>
      </c>
      <c r="AM7" s="558" t="s">
        <v>470</v>
      </c>
      <c r="AN7" s="558" t="s">
        <v>471</v>
      </c>
      <c r="AO7" s="558" t="s">
        <v>470</v>
      </c>
      <c r="AP7" s="558" t="s">
        <v>472</v>
      </c>
      <c r="AQ7" s="558" t="s">
        <v>470</v>
      </c>
      <c r="AR7" s="558" t="s">
        <v>471</v>
      </c>
      <c r="AS7" s="558" t="s">
        <v>470</v>
      </c>
      <c r="AT7" s="558" t="s">
        <v>471</v>
      </c>
      <c r="AU7" s="558" t="s">
        <v>470</v>
      </c>
      <c r="AV7" s="558" t="s">
        <v>471</v>
      </c>
      <c r="AW7" s="558" t="s">
        <v>470</v>
      </c>
      <c r="AX7" s="451"/>
      <c r="AY7" s="451"/>
      <c r="AZ7" s="558" t="s">
        <v>472</v>
      </c>
      <c r="BA7" s="559" t="s">
        <v>470</v>
      </c>
      <c r="BB7" s="558" t="s">
        <v>471</v>
      </c>
      <c r="BC7" s="559" t="s">
        <v>470</v>
      </c>
      <c r="BD7" s="558" t="s">
        <v>471</v>
      </c>
      <c r="BE7" s="558" t="s">
        <v>470</v>
      </c>
      <c r="BF7" s="558" t="s">
        <v>475</v>
      </c>
      <c r="BG7" s="558" t="s">
        <v>475</v>
      </c>
      <c r="BH7" s="558" t="s">
        <v>476</v>
      </c>
      <c r="BI7" s="558" t="s">
        <v>476</v>
      </c>
      <c r="BJ7" s="558" t="s">
        <v>476</v>
      </c>
      <c r="BK7" s="558" t="s">
        <v>477</v>
      </c>
      <c r="BL7" s="558" t="s">
        <v>470</v>
      </c>
      <c r="BM7" s="558" t="s">
        <v>476</v>
      </c>
      <c r="BN7" s="558" t="s">
        <v>472</v>
      </c>
      <c r="BO7" s="558" t="s">
        <v>470</v>
      </c>
      <c r="BP7" s="558" t="s">
        <v>476</v>
      </c>
      <c r="BQ7" s="558" t="s">
        <v>476</v>
      </c>
      <c r="BR7" s="558" t="s">
        <v>472</v>
      </c>
      <c r="BS7" s="558" t="s">
        <v>470</v>
      </c>
      <c r="BT7" s="558" t="s">
        <v>476</v>
      </c>
      <c r="BU7" s="558" t="s">
        <v>476</v>
      </c>
      <c r="BV7" s="558" t="s">
        <v>476</v>
      </c>
    </row>
    <row r="8" s="565" customFormat="true" ht="15" hidden="false" customHeight="true" outlineLevel="0" collapsed="false">
      <c r="A8" s="451"/>
      <c r="B8" s="451"/>
      <c r="C8" s="561" t="n">
        <v>1</v>
      </c>
      <c r="D8" s="561"/>
      <c r="E8" s="561" t="n">
        <v>2</v>
      </c>
      <c r="F8" s="561"/>
      <c r="G8" s="561" t="s">
        <v>478</v>
      </c>
      <c r="H8" s="561"/>
      <c r="I8" s="561" t="n">
        <v>4</v>
      </c>
      <c r="J8" s="561"/>
      <c r="K8" s="561" t="n">
        <v>5</v>
      </c>
      <c r="L8" s="561"/>
      <c r="M8" s="561" t="n">
        <v>6</v>
      </c>
      <c r="N8" s="561"/>
      <c r="O8" s="561" t="n">
        <v>7</v>
      </c>
      <c r="P8" s="561"/>
      <c r="Q8" s="561" t="n">
        <v>8</v>
      </c>
      <c r="R8" s="561"/>
      <c r="S8" s="561" t="n">
        <v>9</v>
      </c>
      <c r="T8" s="561"/>
      <c r="U8" s="561" t="n">
        <v>10</v>
      </c>
      <c r="V8" s="561"/>
      <c r="W8" s="561" t="s">
        <v>479</v>
      </c>
      <c r="X8" s="561"/>
      <c r="Y8" s="561" t="n">
        <v>12</v>
      </c>
      <c r="Z8" s="451"/>
      <c r="AA8" s="451"/>
      <c r="AB8" s="561" t="n">
        <v>13</v>
      </c>
      <c r="AC8" s="561"/>
      <c r="AD8" s="561" t="n">
        <v>14</v>
      </c>
      <c r="AE8" s="561"/>
      <c r="AF8" s="561" t="n">
        <v>15</v>
      </c>
      <c r="AG8" s="561"/>
      <c r="AH8" s="561" t="n">
        <v>16</v>
      </c>
      <c r="AI8" s="561"/>
      <c r="AJ8" s="561" t="n">
        <v>17</v>
      </c>
      <c r="AK8" s="561"/>
      <c r="AL8" s="561" t="n">
        <v>18</v>
      </c>
      <c r="AM8" s="561"/>
      <c r="AN8" s="561" t="s">
        <v>480</v>
      </c>
      <c r="AO8" s="561"/>
      <c r="AP8" s="561" t="n">
        <v>20</v>
      </c>
      <c r="AQ8" s="561"/>
      <c r="AR8" s="561" t="n">
        <v>21</v>
      </c>
      <c r="AS8" s="561"/>
      <c r="AT8" s="561" t="n">
        <v>22</v>
      </c>
      <c r="AU8" s="561"/>
      <c r="AV8" s="561" t="n">
        <v>23</v>
      </c>
      <c r="AW8" s="561"/>
      <c r="AX8" s="451"/>
      <c r="AY8" s="451"/>
      <c r="AZ8" s="561" t="n">
        <v>24</v>
      </c>
      <c r="BA8" s="561"/>
      <c r="BB8" s="562" t="s">
        <v>481</v>
      </c>
      <c r="BC8" s="562"/>
      <c r="BD8" s="563" t="s">
        <v>482</v>
      </c>
      <c r="BE8" s="563"/>
      <c r="BF8" s="561" t="n">
        <v>27</v>
      </c>
      <c r="BG8" s="561" t="n">
        <v>28</v>
      </c>
      <c r="BH8" s="561" t="n">
        <v>29</v>
      </c>
      <c r="BI8" s="564" t="s">
        <v>483</v>
      </c>
      <c r="BJ8" s="561" t="n">
        <v>31</v>
      </c>
      <c r="BK8" s="561" t="n">
        <v>32</v>
      </c>
      <c r="BL8" s="561" t="n">
        <v>33</v>
      </c>
      <c r="BM8" s="561" t="n">
        <v>34</v>
      </c>
      <c r="BN8" s="561" t="n">
        <v>35</v>
      </c>
      <c r="BO8" s="561"/>
      <c r="BP8" s="561" t="n">
        <v>36</v>
      </c>
      <c r="BQ8" s="561" t="n">
        <v>37</v>
      </c>
      <c r="BR8" s="561" t="n">
        <v>38</v>
      </c>
      <c r="BS8" s="561"/>
      <c r="BT8" s="561" t="n">
        <v>39</v>
      </c>
      <c r="BU8" s="561" t="n">
        <v>40</v>
      </c>
      <c r="BV8" s="561" t="n">
        <v>41</v>
      </c>
    </row>
    <row r="9" s="436" customFormat="true" ht="9.75" hidden="false" customHeight="true" outlineLevel="0" collapsed="false">
      <c r="A9" s="566" t="s">
        <v>227</v>
      </c>
      <c r="B9" s="566"/>
      <c r="C9" s="567"/>
      <c r="D9" s="568"/>
      <c r="E9" s="567"/>
      <c r="F9" s="568"/>
      <c r="G9" s="567"/>
      <c r="H9" s="568"/>
      <c r="I9" s="567"/>
      <c r="J9" s="568"/>
      <c r="K9" s="567"/>
      <c r="L9" s="568"/>
      <c r="M9" s="567"/>
      <c r="N9" s="568"/>
      <c r="O9" s="567"/>
      <c r="P9" s="568"/>
      <c r="Q9" s="567"/>
      <c r="R9" s="568"/>
      <c r="S9" s="567"/>
      <c r="T9" s="568"/>
      <c r="U9" s="567"/>
      <c r="V9" s="568"/>
      <c r="W9" s="567"/>
      <c r="X9" s="568"/>
      <c r="Y9" s="569"/>
      <c r="Z9" s="566" t="s">
        <v>227</v>
      </c>
      <c r="AA9" s="566"/>
      <c r="AB9" s="567"/>
      <c r="AC9" s="568"/>
      <c r="AD9" s="567"/>
      <c r="AE9" s="568"/>
      <c r="AF9" s="567"/>
      <c r="AG9" s="568"/>
      <c r="AH9" s="567"/>
      <c r="AI9" s="568"/>
      <c r="AJ9" s="567"/>
      <c r="AK9" s="568"/>
      <c r="AL9" s="567"/>
      <c r="AM9" s="568"/>
      <c r="AN9" s="567"/>
      <c r="AO9" s="568"/>
      <c r="AP9" s="567"/>
      <c r="AQ9" s="570"/>
      <c r="AR9" s="567"/>
      <c r="AS9" s="568"/>
      <c r="AT9" s="567"/>
      <c r="AU9" s="568"/>
      <c r="AV9" s="567"/>
      <c r="AW9" s="568"/>
      <c r="AX9" s="566" t="s">
        <v>227</v>
      </c>
      <c r="AY9" s="566"/>
      <c r="AZ9" s="567"/>
      <c r="BA9" s="568"/>
      <c r="BB9" s="567"/>
      <c r="BC9" s="568"/>
      <c r="BD9" s="567"/>
      <c r="BE9" s="568"/>
      <c r="BF9" s="567"/>
      <c r="BG9" s="567"/>
      <c r="BH9" s="567"/>
      <c r="BI9" s="567"/>
      <c r="BJ9" s="567"/>
      <c r="BK9" s="567"/>
      <c r="BL9" s="568"/>
      <c r="BM9" s="567"/>
      <c r="BN9" s="567"/>
      <c r="BO9" s="568"/>
      <c r="BP9" s="567"/>
      <c r="BQ9" s="567"/>
      <c r="BR9" s="567"/>
      <c r="BS9" s="568"/>
      <c r="BT9" s="567"/>
      <c r="BU9" s="567"/>
      <c r="BV9" s="571"/>
    </row>
    <row r="10" s="580" customFormat="true" ht="9.75" hidden="false" customHeight="true" outlineLevel="0" collapsed="false">
      <c r="A10" s="572" t="s">
        <v>484</v>
      </c>
      <c r="B10" s="573" t="s">
        <v>485</v>
      </c>
      <c r="C10" s="574" t="n">
        <v>1058774</v>
      </c>
      <c r="D10" s="575" t="n">
        <v>139383.920343206</v>
      </c>
      <c r="E10" s="574" t="n">
        <v>37934</v>
      </c>
      <c r="F10" s="575" t="n">
        <v>2227.891777635</v>
      </c>
      <c r="G10" s="574" t="n">
        <v>1096708</v>
      </c>
      <c r="H10" s="575" t="n">
        <v>141611.812120841</v>
      </c>
      <c r="I10" s="574" t="n">
        <v>114729</v>
      </c>
      <c r="J10" s="575" t="n">
        <v>2247.375935458</v>
      </c>
      <c r="K10" s="574" t="n">
        <v>12584</v>
      </c>
      <c r="L10" s="575" t="n">
        <v>11.9753025</v>
      </c>
      <c r="M10" s="574" t="n">
        <v>0</v>
      </c>
      <c r="N10" s="575" t="n">
        <v>0</v>
      </c>
      <c r="O10" s="574" t="n">
        <v>7454</v>
      </c>
      <c r="P10" s="575" t="n">
        <v>2.394586957</v>
      </c>
      <c r="Q10" s="574" t="n">
        <v>463</v>
      </c>
      <c r="R10" s="575" t="n">
        <v>0.376931948</v>
      </c>
      <c r="S10" s="574" t="n">
        <v>1575</v>
      </c>
      <c r="T10" s="575" t="n">
        <v>0.1627049</v>
      </c>
      <c r="U10" s="574" t="n">
        <v>0</v>
      </c>
      <c r="V10" s="575" t="n">
        <v>0</v>
      </c>
      <c r="W10" s="574" t="n">
        <v>22076</v>
      </c>
      <c r="X10" s="575" t="n">
        <v>14.909526305</v>
      </c>
      <c r="Y10" s="576" t="n">
        <v>16.205300565</v>
      </c>
      <c r="Z10" s="572" t="s">
        <v>484</v>
      </c>
      <c r="AA10" s="573" t="s">
        <v>485</v>
      </c>
      <c r="AB10" s="574" t="n">
        <v>1077298</v>
      </c>
      <c r="AC10" s="575" t="n">
        <v>977.9169679</v>
      </c>
      <c r="AD10" s="574" t="n">
        <v>0</v>
      </c>
      <c r="AE10" s="575" t="n">
        <v>0</v>
      </c>
      <c r="AF10" s="574" t="n">
        <v>46372</v>
      </c>
      <c r="AG10" s="575" t="n">
        <v>13.27864584</v>
      </c>
      <c r="AH10" s="574" t="n">
        <v>0</v>
      </c>
      <c r="AI10" s="575" t="n">
        <v>0</v>
      </c>
      <c r="AJ10" s="574" t="n">
        <v>5412</v>
      </c>
      <c r="AK10" s="575" t="n">
        <v>0.2074942</v>
      </c>
      <c r="AL10" s="574" t="n">
        <v>0</v>
      </c>
      <c r="AM10" s="575" t="n">
        <v>0</v>
      </c>
      <c r="AN10" s="574" t="n">
        <v>1129082</v>
      </c>
      <c r="AO10" s="575" t="n">
        <v>991.40310794</v>
      </c>
      <c r="AP10" s="574" t="n">
        <v>13540</v>
      </c>
      <c r="AQ10" s="575" t="n">
        <v>17.463916418</v>
      </c>
      <c r="AR10" s="574" t="n">
        <v>0</v>
      </c>
      <c r="AS10" s="575" t="n">
        <v>0</v>
      </c>
      <c r="AT10" s="574" t="n">
        <v>0</v>
      </c>
      <c r="AU10" s="575" t="n">
        <v>0</v>
      </c>
      <c r="AV10" s="574" t="n">
        <v>0</v>
      </c>
      <c r="AW10" s="577" t="n">
        <v>0</v>
      </c>
      <c r="AX10" s="572" t="s">
        <v>484</v>
      </c>
      <c r="AY10" s="573" t="s">
        <v>485</v>
      </c>
      <c r="AZ10" s="574" t="n">
        <v>0</v>
      </c>
      <c r="BA10" s="575" t="n">
        <v>0</v>
      </c>
      <c r="BB10" s="574" t="n">
        <v>0</v>
      </c>
      <c r="BC10" s="575" t="n">
        <v>0</v>
      </c>
      <c r="BD10" s="574" t="n">
        <v>1164698</v>
      </c>
      <c r="BE10" s="575" t="n">
        <v>1023.776550663</v>
      </c>
      <c r="BF10" s="574" t="n">
        <v>7853</v>
      </c>
      <c r="BG10" s="574" t="n">
        <v>430129</v>
      </c>
      <c r="BH10" s="574" t="n">
        <v>22676</v>
      </c>
      <c r="BI10" s="574" t="n">
        <v>460658</v>
      </c>
      <c r="BJ10" s="574" t="n">
        <v>0</v>
      </c>
      <c r="BK10" s="574" t="n">
        <v>0</v>
      </c>
      <c r="BL10" s="575" t="n">
        <v>0</v>
      </c>
      <c r="BM10" s="574" t="n">
        <v>132250</v>
      </c>
      <c r="BN10" s="574" t="n">
        <v>21714204</v>
      </c>
      <c r="BO10" s="575" t="n">
        <v>1210.2280303</v>
      </c>
      <c r="BP10" s="574" t="n">
        <v>18278301</v>
      </c>
      <c r="BQ10" s="574" t="n">
        <v>200</v>
      </c>
      <c r="BR10" s="578" t="n">
        <v>446787</v>
      </c>
      <c r="BS10" s="575" t="n">
        <v>627.2391322</v>
      </c>
      <c r="BT10" s="574" t="n">
        <v>110442</v>
      </c>
      <c r="BU10" s="574" t="n">
        <v>257</v>
      </c>
      <c r="BV10" s="579" t="n">
        <v>0</v>
      </c>
    </row>
    <row r="11" s="580" customFormat="true" ht="9.75" hidden="false" customHeight="true" outlineLevel="0" collapsed="false">
      <c r="A11" s="572"/>
      <c r="B11" s="581" t="s">
        <v>486</v>
      </c>
      <c r="C11" s="582" t="n">
        <v>42262</v>
      </c>
      <c r="D11" s="583" t="n">
        <v>2953.279151076</v>
      </c>
      <c r="E11" s="582" t="n">
        <v>4042</v>
      </c>
      <c r="F11" s="583" t="n">
        <v>43.3293803</v>
      </c>
      <c r="G11" s="582" t="n">
        <v>46304</v>
      </c>
      <c r="H11" s="583" t="n">
        <v>2996.608531376</v>
      </c>
      <c r="I11" s="582" t="n">
        <v>822</v>
      </c>
      <c r="J11" s="583" t="n">
        <v>178.724831683</v>
      </c>
      <c r="K11" s="582" t="n">
        <v>0</v>
      </c>
      <c r="L11" s="583" t="n">
        <v>0</v>
      </c>
      <c r="M11" s="582" t="n">
        <v>0</v>
      </c>
      <c r="N11" s="583" t="n">
        <v>0</v>
      </c>
      <c r="O11" s="582" t="n">
        <v>0</v>
      </c>
      <c r="P11" s="583" t="n">
        <v>0</v>
      </c>
      <c r="Q11" s="582" t="n">
        <v>0</v>
      </c>
      <c r="R11" s="583" t="n">
        <v>0</v>
      </c>
      <c r="S11" s="582" t="n">
        <v>0</v>
      </c>
      <c r="T11" s="583" t="n">
        <v>0</v>
      </c>
      <c r="U11" s="582" t="n">
        <v>0</v>
      </c>
      <c r="V11" s="583" t="n">
        <v>0</v>
      </c>
      <c r="W11" s="582" t="n">
        <v>0</v>
      </c>
      <c r="X11" s="583" t="n">
        <v>0</v>
      </c>
      <c r="Y11" s="583" t="n">
        <v>0</v>
      </c>
      <c r="Z11" s="572"/>
      <c r="AA11" s="581" t="s">
        <v>486</v>
      </c>
      <c r="AB11" s="582" t="n">
        <v>18064</v>
      </c>
      <c r="AC11" s="583" t="n">
        <v>14.87809</v>
      </c>
      <c r="AD11" s="582" t="n">
        <v>0</v>
      </c>
      <c r="AE11" s="583" t="n">
        <v>0</v>
      </c>
      <c r="AF11" s="582" t="n">
        <v>808</v>
      </c>
      <c r="AG11" s="583" t="n">
        <v>0.226514178</v>
      </c>
      <c r="AH11" s="582" t="n">
        <v>0</v>
      </c>
      <c r="AI11" s="583" t="n">
        <v>0</v>
      </c>
      <c r="AJ11" s="582" t="n">
        <v>0</v>
      </c>
      <c r="AK11" s="583" t="n">
        <v>0</v>
      </c>
      <c r="AL11" s="582" t="n">
        <v>0</v>
      </c>
      <c r="AM11" s="583" t="n">
        <v>0</v>
      </c>
      <c r="AN11" s="582" t="n">
        <v>18872</v>
      </c>
      <c r="AO11" s="583" t="n">
        <v>15.104604178</v>
      </c>
      <c r="AP11" s="582" t="n">
        <v>0</v>
      </c>
      <c r="AQ11" s="583" t="n">
        <v>0</v>
      </c>
      <c r="AR11" s="582" t="n">
        <v>0</v>
      </c>
      <c r="AS11" s="583" t="n">
        <v>0</v>
      </c>
      <c r="AT11" s="582" t="n">
        <v>0</v>
      </c>
      <c r="AU11" s="583" t="n">
        <v>0</v>
      </c>
      <c r="AV11" s="582" t="n">
        <v>0</v>
      </c>
      <c r="AW11" s="583" t="n">
        <v>0</v>
      </c>
      <c r="AX11" s="572"/>
      <c r="AY11" s="581" t="s">
        <v>486</v>
      </c>
      <c r="AZ11" s="582" t="n">
        <v>0</v>
      </c>
      <c r="BA11" s="583" t="n">
        <v>0</v>
      </c>
      <c r="BB11" s="582" t="n">
        <v>0</v>
      </c>
      <c r="BC11" s="583" t="n">
        <v>0</v>
      </c>
      <c r="BD11" s="582" t="n">
        <v>18872</v>
      </c>
      <c r="BE11" s="583" t="n">
        <v>1</v>
      </c>
      <c r="BF11" s="582" t="n">
        <v>0</v>
      </c>
      <c r="BG11" s="582" t="n">
        <v>6387</v>
      </c>
      <c r="BH11" s="582" t="n">
        <v>0</v>
      </c>
      <c r="BI11" s="582" t="n">
        <v>6387</v>
      </c>
      <c r="BJ11" s="582" t="n">
        <v>0</v>
      </c>
      <c r="BK11" s="582" t="n">
        <v>0</v>
      </c>
      <c r="BL11" s="583" t="n">
        <v>0</v>
      </c>
      <c r="BM11" s="582" t="n">
        <v>0</v>
      </c>
      <c r="BN11" s="582" t="n">
        <v>0</v>
      </c>
      <c r="BO11" s="583" t="n">
        <v>0</v>
      </c>
      <c r="BP11" s="582" t="n">
        <v>0</v>
      </c>
      <c r="BQ11" s="582" t="n">
        <v>0</v>
      </c>
      <c r="BR11" s="584" t="n">
        <v>0</v>
      </c>
      <c r="BS11" s="583" t="n">
        <v>0</v>
      </c>
      <c r="BT11" s="582" t="n">
        <v>0</v>
      </c>
      <c r="BU11" s="582" t="n">
        <v>6</v>
      </c>
      <c r="BV11" s="585" t="n">
        <v>0</v>
      </c>
    </row>
    <row r="12" s="580" customFormat="true" ht="9.75" hidden="false" customHeight="true" outlineLevel="0" collapsed="false">
      <c r="A12" s="572"/>
      <c r="B12" s="469" t="s">
        <v>487</v>
      </c>
      <c r="C12" s="586" t="n">
        <v>3952665</v>
      </c>
      <c r="D12" s="576" t="n">
        <v>390263.429224244</v>
      </c>
      <c r="E12" s="586" t="n">
        <v>3137</v>
      </c>
      <c r="F12" s="576" t="n">
        <v>250.355264941</v>
      </c>
      <c r="G12" s="586" t="n">
        <v>3955802</v>
      </c>
      <c r="H12" s="576" t="n">
        <v>390513.784489185</v>
      </c>
      <c r="I12" s="586" t="n">
        <v>4218212</v>
      </c>
      <c r="J12" s="576" t="n">
        <v>29554.825168969</v>
      </c>
      <c r="K12" s="586" t="n">
        <v>574136</v>
      </c>
      <c r="L12" s="576" t="n">
        <v>336.275754802</v>
      </c>
      <c r="M12" s="586" t="n">
        <v>12291</v>
      </c>
      <c r="N12" s="576" t="n">
        <v>19.2575736515</v>
      </c>
      <c r="O12" s="586" t="n">
        <v>3313519</v>
      </c>
      <c r="P12" s="576" t="n">
        <v>1502.540372787</v>
      </c>
      <c r="Q12" s="586" t="n">
        <v>482433</v>
      </c>
      <c r="R12" s="576" t="n">
        <v>434.3102601755</v>
      </c>
      <c r="S12" s="586" t="n">
        <v>670624</v>
      </c>
      <c r="T12" s="576" t="n">
        <v>151.737052229</v>
      </c>
      <c r="U12" s="586" t="n">
        <v>311883</v>
      </c>
      <c r="V12" s="576" t="n">
        <v>121.346208262</v>
      </c>
      <c r="W12" s="586" t="n">
        <v>5364886</v>
      </c>
      <c r="X12" s="576" t="n">
        <v>2565.467221907</v>
      </c>
      <c r="Y12" s="576" t="n">
        <v>4428.299916103</v>
      </c>
      <c r="Z12" s="572"/>
      <c r="AA12" s="469" t="s">
        <v>487</v>
      </c>
      <c r="AB12" s="586" t="n">
        <v>48503992</v>
      </c>
      <c r="AC12" s="576" t="n">
        <v>37293.562640872</v>
      </c>
      <c r="AD12" s="586" t="n">
        <v>2464</v>
      </c>
      <c r="AE12" s="576" t="n">
        <v>4.7898076075</v>
      </c>
      <c r="AF12" s="586" t="n">
        <v>2330419</v>
      </c>
      <c r="AG12" s="576" t="n">
        <v>1291.205839902</v>
      </c>
      <c r="AH12" s="586" t="n">
        <v>16286</v>
      </c>
      <c r="AI12" s="576" t="n">
        <v>19.302605501</v>
      </c>
      <c r="AJ12" s="586" t="n">
        <v>2326518</v>
      </c>
      <c r="AK12" s="576" t="n">
        <v>137.640684472</v>
      </c>
      <c r="AL12" s="586" t="n">
        <v>16804</v>
      </c>
      <c r="AM12" s="576" t="n">
        <v>6.18866212</v>
      </c>
      <c r="AN12" s="586" t="n">
        <v>53196483</v>
      </c>
      <c r="AO12" s="576" t="n">
        <v>38752.6902404745</v>
      </c>
      <c r="AP12" s="586" t="n">
        <v>447382</v>
      </c>
      <c r="AQ12" s="576" t="n">
        <v>294.190188851</v>
      </c>
      <c r="AR12" s="586" t="n">
        <v>318141</v>
      </c>
      <c r="AS12" s="576" t="n">
        <v>82.0706586195</v>
      </c>
      <c r="AT12" s="586" t="n">
        <v>165608</v>
      </c>
      <c r="AU12" s="576" t="n">
        <v>177.8553552</v>
      </c>
      <c r="AV12" s="586" t="n">
        <v>253864</v>
      </c>
      <c r="AW12" s="576" t="n">
        <v>266.726879439</v>
      </c>
      <c r="AX12" s="572"/>
      <c r="AY12" s="469" t="s">
        <v>487</v>
      </c>
      <c r="AZ12" s="586" t="n">
        <v>71337</v>
      </c>
      <c r="BA12" s="576" t="n">
        <v>26.036130011</v>
      </c>
      <c r="BB12" s="586" t="n">
        <v>490809</v>
      </c>
      <c r="BC12" s="576" t="n">
        <v>470.61836465</v>
      </c>
      <c r="BD12" s="586" t="n">
        <v>59817701</v>
      </c>
      <c r="BE12" s="576" t="n">
        <v>42165.036674502</v>
      </c>
      <c r="BF12" s="586" t="n">
        <v>1332905</v>
      </c>
      <c r="BG12" s="586" t="n">
        <v>16686713</v>
      </c>
      <c r="BH12" s="586" t="n">
        <v>256123</v>
      </c>
      <c r="BI12" s="586" t="n">
        <v>18275741</v>
      </c>
      <c r="BJ12" s="586" t="n">
        <v>2099062</v>
      </c>
      <c r="BK12" s="586" t="n">
        <v>2946643</v>
      </c>
      <c r="BL12" s="576" t="n">
        <v>4570.955261796</v>
      </c>
      <c r="BM12" s="586" t="n">
        <v>819644</v>
      </c>
      <c r="BN12" s="586" t="n">
        <v>622259528</v>
      </c>
      <c r="BO12" s="576" t="n">
        <v>107213.734313343</v>
      </c>
      <c r="BP12" s="586" t="n">
        <v>57728000</v>
      </c>
      <c r="BQ12" s="586" t="n">
        <v>6389</v>
      </c>
      <c r="BR12" s="587" t="n">
        <v>11496471</v>
      </c>
      <c r="BS12" s="576" t="n">
        <v>32989.267312794</v>
      </c>
      <c r="BT12" s="586" t="n">
        <v>3853324</v>
      </c>
      <c r="BU12" s="586" t="n">
        <v>10297</v>
      </c>
      <c r="BV12" s="588" t="n">
        <v>54352</v>
      </c>
    </row>
    <row r="13" s="580" customFormat="true" ht="9.75" hidden="false" customHeight="true" outlineLevel="0" collapsed="false">
      <c r="A13" s="572"/>
      <c r="B13" s="581" t="s">
        <v>488</v>
      </c>
      <c r="C13" s="582" t="n">
        <v>416218</v>
      </c>
      <c r="D13" s="583" t="n">
        <v>41349.519561815</v>
      </c>
      <c r="E13" s="582" t="n">
        <v>398</v>
      </c>
      <c r="F13" s="583" t="n">
        <v>0.854033001</v>
      </c>
      <c r="G13" s="582" t="n">
        <v>416616</v>
      </c>
      <c r="H13" s="583" t="n">
        <v>41350.373594816</v>
      </c>
      <c r="I13" s="582" t="n">
        <v>1183672</v>
      </c>
      <c r="J13" s="583" t="n">
        <v>10952.390524584</v>
      </c>
      <c r="K13" s="582" t="n">
        <v>33954</v>
      </c>
      <c r="L13" s="583" t="n">
        <v>28.8074723</v>
      </c>
      <c r="M13" s="582" t="n">
        <v>618</v>
      </c>
      <c r="N13" s="583" t="n">
        <v>0.738089974</v>
      </c>
      <c r="O13" s="582" t="n">
        <v>935237</v>
      </c>
      <c r="P13" s="583" t="n">
        <v>390.855709307</v>
      </c>
      <c r="Q13" s="582" t="n">
        <v>31129</v>
      </c>
      <c r="R13" s="583" t="n">
        <v>19.730758522</v>
      </c>
      <c r="S13" s="582" t="n">
        <v>224318</v>
      </c>
      <c r="T13" s="583" t="n">
        <v>60.645045294</v>
      </c>
      <c r="U13" s="582" t="n">
        <v>27796</v>
      </c>
      <c r="V13" s="583" t="n">
        <v>8.817366048</v>
      </c>
      <c r="W13" s="582" t="n">
        <v>1253052</v>
      </c>
      <c r="X13" s="583" t="n">
        <v>509.594441445</v>
      </c>
      <c r="Y13" s="583" t="n">
        <v>741.082007286</v>
      </c>
      <c r="Z13" s="572"/>
      <c r="AA13" s="581" t="s">
        <v>488</v>
      </c>
      <c r="AB13" s="582" t="n">
        <v>2160405</v>
      </c>
      <c r="AC13" s="583" t="n">
        <v>2452.582343816</v>
      </c>
      <c r="AD13" s="582" t="n">
        <v>4220</v>
      </c>
      <c r="AE13" s="583" t="n">
        <v>12.257018181</v>
      </c>
      <c r="AF13" s="582" t="n">
        <v>416426</v>
      </c>
      <c r="AG13" s="583" t="n">
        <v>125.791070192</v>
      </c>
      <c r="AH13" s="582" t="n">
        <v>11940</v>
      </c>
      <c r="AI13" s="583" t="n">
        <v>16.401469108</v>
      </c>
      <c r="AJ13" s="582" t="n">
        <v>95871</v>
      </c>
      <c r="AK13" s="583" t="n">
        <v>10.325429734</v>
      </c>
      <c r="AL13" s="582" t="n">
        <v>8654</v>
      </c>
      <c r="AM13" s="583" t="n">
        <v>8.389433231</v>
      </c>
      <c r="AN13" s="582" t="n">
        <v>2697516</v>
      </c>
      <c r="AO13" s="583" t="n">
        <v>2625.746764262</v>
      </c>
      <c r="AP13" s="582" t="n">
        <v>0</v>
      </c>
      <c r="AQ13" s="583" t="n">
        <v>0</v>
      </c>
      <c r="AR13" s="582" t="n">
        <v>51432</v>
      </c>
      <c r="AS13" s="583" t="n">
        <v>20.805269601</v>
      </c>
      <c r="AT13" s="582" t="n">
        <v>35735</v>
      </c>
      <c r="AU13" s="583" t="n">
        <v>65.94396</v>
      </c>
      <c r="AV13" s="582" t="n">
        <v>0</v>
      </c>
      <c r="AW13" s="583" t="n">
        <v>0</v>
      </c>
      <c r="AX13" s="572"/>
      <c r="AY13" s="581" t="s">
        <v>488</v>
      </c>
      <c r="AZ13" s="582" t="n">
        <v>0</v>
      </c>
      <c r="BA13" s="583" t="n">
        <v>0</v>
      </c>
      <c r="BB13" s="582" t="n">
        <v>35735</v>
      </c>
      <c r="BC13" s="583" t="n">
        <v>65.94396</v>
      </c>
      <c r="BD13" s="582" t="n">
        <v>4037735</v>
      </c>
      <c r="BE13" s="583" t="n">
        <v>3222.090435308</v>
      </c>
      <c r="BF13" s="582" t="n">
        <v>133139</v>
      </c>
      <c r="BG13" s="582" t="n">
        <v>317187</v>
      </c>
      <c r="BH13" s="582" t="n">
        <v>88925</v>
      </c>
      <c r="BI13" s="582" t="n">
        <v>539251</v>
      </c>
      <c r="BJ13" s="582" t="n">
        <v>188096</v>
      </c>
      <c r="BK13" s="582" t="n">
        <v>979184</v>
      </c>
      <c r="BL13" s="583" t="n">
        <v>12861.642040555</v>
      </c>
      <c r="BM13" s="582" t="n">
        <v>0</v>
      </c>
      <c r="BN13" s="582" t="n">
        <v>0</v>
      </c>
      <c r="BO13" s="583" t="n">
        <v>0</v>
      </c>
      <c r="BP13" s="582" t="n">
        <v>0</v>
      </c>
      <c r="BQ13" s="582" t="n">
        <v>0</v>
      </c>
      <c r="BR13" s="584" t="n">
        <v>0</v>
      </c>
      <c r="BS13" s="583" t="n">
        <v>0</v>
      </c>
      <c r="BT13" s="582" t="n">
        <v>0</v>
      </c>
      <c r="BU13" s="582" t="n">
        <v>159</v>
      </c>
      <c r="BV13" s="585" t="n">
        <v>0</v>
      </c>
    </row>
    <row r="14" s="580" customFormat="true" ht="9.75" hidden="false" customHeight="true" outlineLevel="0" collapsed="false">
      <c r="A14" s="572"/>
      <c r="B14" s="589" t="s">
        <v>175</v>
      </c>
      <c r="C14" s="590" t="n">
        <v>5469919</v>
      </c>
      <c r="D14" s="591" t="n">
        <v>573950.148280341</v>
      </c>
      <c r="E14" s="590" t="n">
        <v>45511</v>
      </c>
      <c r="F14" s="591" t="n">
        <v>2522.430455877</v>
      </c>
      <c r="G14" s="590" t="n">
        <v>5515430</v>
      </c>
      <c r="H14" s="591" t="n">
        <v>576472.578736218</v>
      </c>
      <c r="I14" s="590" t="n">
        <v>5517435</v>
      </c>
      <c r="J14" s="591" t="n">
        <v>42933.316460694</v>
      </c>
      <c r="K14" s="590" t="n">
        <v>620674</v>
      </c>
      <c r="L14" s="591" t="n">
        <v>377.058529602</v>
      </c>
      <c r="M14" s="590" t="n">
        <v>12909</v>
      </c>
      <c r="N14" s="591" t="n">
        <v>19.9956636255</v>
      </c>
      <c r="O14" s="590" t="n">
        <v>4256210</v>
      </c>
      <c r="P14" s="591" t="n">
        <v>1895.790669051</v>
      </c>
      <c r="Q14" s="590" t="n">
        <v>514025</v>
      </c>
      <c r="R14" s="591" t="n">
        <v>454.4179506455</v>
      </c>
      <c r="S14" s="590" t="n">
        <v>896517</v>
      </c>
      <c r="T14" s="591" t="n">
        <v>212.544802423</v>
      </c>
      <c r="U14" s="590" t="n">
        <v>339679</v>
      </c>
      <c r="V14" s="591" t="n">
        <v>130.16357431</v>
      </c>
      <c r="W14" s="590" t="n">
        <v>6640014</v>
      </c>
      <c r="X14" s="591" t="n">
        <v>3089.971189657</v>
      </c>
      <c r="Y14" s="592" t="n">
        <v>5185.587223954</v>
      </c>
      <c r="Z14" s="572"/>
      <c r="AA14" s="589" t="s">
        <v>175</v>
      </c>
      <c r="AB14" s="590" t="n">
        <v>51759759</v>
      </c>
      <c r="AC14" s="591" t="n">
        <v>40738.940042588</v>
      </c>
      <c r="AD14" s="590" t="n">
        <v>6684</v>
      </c>
      <c r="AE14" s="591" t="n">
        <v>17.0468257885</v>
      </c>
      <c r="AF14" s="590" t="n">
        <v>2794025</v>
      </c>
      <c r="AG14" s="591" t="n">
        <v>1430.502070112</v>
      </c>
      <c r="AH14" s="590" t="n">
        <v>28226</v>
      </c>
      <c r="AI14" s="591" t="n">
        <v>35.704074609</v>
      </c>
      <c r="AJ14" s="590" t="n">
        <v>2427801</v>
      </c>
      <c r="AK14" s="591" t="n">
        <v>148.173608406</v>
      </c>
      <c r="AL14" s="590" t="n">
        <v>25458</v>
      </c>
      <c r="AM14" s="591" t="n">
        <v>14.578095351</v>
      </c>
      <c r="AN14" s="590" t="n">
        <v>57041953</v>
      </c>
      <c r="AO14" s="591" t="n">
        <v>42384.9447168545</v>
      </c>
      <c r="AP14" s="590" t="n">
        <v>460922</v>
      </c>
      <c r="AQ14" s="591" t="n">
        <v>311.654105269</v>
      </c>
      <c r="AR14" s="590" t="n">
        <v>369573</v>
      </c>
      <c r="AS14" s="591" t="n">
        <v>102.8759282205</v>
      </c>
      <c r="AT14" s="590" t="n">
        <v>201343</v>
      </c>
      <c r="AU14" s="591" t="n">
        <v>243.7993152</v>
      </c>
      <c r="AV14" s="590" t="n">
        <v>253864</v>
      </c>
      <c r="AW14" s="591" t="n">
        <v>266.726879439</v>
      </c>
      <c r="AX14" s="572"/>
      <c r="AY14" s="589" t="s">
        <v>175</v>
      </c>
      <c r="AZ14" s="593" t="n">
        <v>71337</v>
      </c>
      <c r="BA14" s="591" t="n">
        <v>26.036130011</v>
      </c>
      <c r="BB14" s="590" t="n">
        <v>526544</v>
      </c>
      <c r="BC14" s="591" t="n">
        <v>536.56232465</v>
      </c>
      <c r="BD14" s="590" t="n">
        <v>65039006</v>
      </c>
      <c r="BE14" s="591" t="n">
        <v>46411.903660473</v>
      </c>
      <c r="BF14" s="590" t="n">
        <v>1473897</v>
      </c>
      <c r="BG14" s="590" t="n">
        <v>17440416</v>
      </c>
      <c r="BH14" s="590" t="n">
        <v>367724</v>
      </c>
      <c r="BI14" s="590" t="n">
        <v>19282037</v>
      </c>
      <c r="BJ14" s="590" t="n">
        <v>2287158</v>
      </c>
      <c r="BK14" s="590" t="n">
        <v>3925827</v>
      </c>
      <c r="BL14" s="591" t="n">
        <v>17432.597302351</v>
      </c>
      <c r="BM14" s="590" t="n">
        <v>951894</v>
      </c>
      <c r="BN14" s="590" t="n">
        <v>643973732</v>
      </c>
      <c r="BO14" s="591" t="n">
        <v>108423.962343643</v>
      </c>
      <c r="BP14" s="590" t="n">
        <v>76006301</v>
      </c>
      <c r="BQ14" s="590" t="n">
        <v>6589</v>
      </c>
      <c r="BR14" s="593" t="n">
        <v>11943258</v>
      </c>
      <c r="BS14" s="591" t="n">
        <v>33616.506444994</v>
      </c>
      <c r="BT14" s="590" t="n">
        <v>3963766</v>
      </c>
      <c r="BU14" s="590" t="n">
        <v>10719</v>
      </c>
      <c r="BV14" s="594" t="n">
        <v>54352</v>
      </c>
    </row>
    <row r="15" s="580" customFormat="true" ht="9.75" hidden="false" customHeight="true" outlineLevel="0" collapsed="false">
      <c r="A15" s="572" t="s">
        <v>489</v>
      </c>
      <c r="B15" s="581" t="s">
        <v>485</v>
      </c>
      <c r="C15" s="595" t="n">
        <v>1057802</v>
      </c>
      <c r="D15" s="583" t="n">
        <v>131155.701337857</v>
      </c>
      <c r="E15" s="595" t="n">
        <v>50123</v>
      </c>
      <c r="F15" s="583" t="n">
        <v>2142.718129062</v>
      </c>
      <c r="G15" s="595" t="n">
        <v>1107925</v>
      </c>
      <c r="H15" s="583" t="n">
        <v>133298.419466919</v>
      </c>
      <c r="I15" s="595" t="n">
        <v>296374</v>
      </c>
      <c r="J15" s="583" t="n">
        <v>2765.842434024</v>
      </c>
      <c r="K15" s="595" t="n">
        <v>14436</v>
      </c>
      <c r="L15" s="583" t="n">
        <v>12.5305931</v>
      </c>
      <c r="M15" s="595" t="n">
        <v>0</v>
      </c>
      <c r="N15" s="583" t="n">
        <v>0</v>
      </c>
      <c r="O15" s="595" t="n">
        <v>8804</v>
      </c>
      <c r="P15" s="583" t="n">
        <v>2.944582266</v>
      </c>
      <c r="Q15" s="595" t="n">
        <v>578</v>
      </c>
      <c r="R15" s="583" t="n">
        <v>0.4756008</v>
      </c>
      <c r="S15" s="595" t="n">
        <v>1444</v>
      </c>
      <c r="T15" s="583" t="n">
        <v>0.1774961</v>
      </c>
      <c r="U15" s="595" t="n">
        <v>0</v>
      </c>
      <c r="V15" s="583" t="n">
        <v>0</v>
      </c>
      <c r="W15" s="595" t="n">
        <v>25262</v>
      </c>
      <c r="X15" s="583" t="n">
        <v>16.128272266</v>
      </c>
      <c r="Y15" s="583" t="n">
        <v>23.690162592</v>
      </c>
      <c r="Z15" s="572" t="s">
        <v>489</v>
      </c>
      <c r="AA15" s="581" t="s">
        <v>485</v>
      </c>
      <c r="AB15" s="582" t="n">
        <v>1168864</v>
      </c>
      <c r="AC15" s="583" t="n">
        <v>999.4186304</v>
      </c>
      <c r="AD15" s="582" t="n">
        <v>0</v>
      </c>
      <c r="AE15" s="583" t="n">
        <v>0</v>
      </c>
      <c r="AF15" s="582" t="n">
        <v>67849</v>
      </c>
      <c r="AG15" s="583" t="n">
        <v>19.2744433065</v>
      </c>
      <c r="AH15" s="582" t="n">
        <v>0</v>
      </c>
      <c r="AI15" s="583" t="n">
        <v>0</v>
      </c>
      <c r="AJ15" s="582" t="n">
        <v>4935</v>
      </c>
      <c r="AK15" s="583" t="n">
        <v>0.2341075</v>
      </c>
      <c r="AL15" s="582" t="n">
        <v>0</v>
      </c>
      <c r="AM15" s="583" t="n">
        <v>0</v>
      </c>
      <c r="AN15" s="582" t="n">
        <v>1241648</v>
      </c>
      <c r="AO15" s="583" t="n">
        <v>1018.9271812065</v>
      </c>
      <c r="AP15" s="582" t="n">
        <v>12500</v>
      </c>
      <c r="AQ15" s="583" t="n">
        <v>13.986465442</v>
      </c>
      <c r="AR15" s="582" t="n">
        <v>0</v>
      </c>
      <c r="AS15" s="583" t="n">
        <v>0</v>
      </c>
      <c r="AT15" s="582" t="n">
        <v>0</v>
      </c>
      <c r="AU15" s="583" t="n">
        <v>0</v>
      </c>
      <c r="AV15" s="582" t="n">
        <v>0</v>
      </c>
      <c r="AW15" s="583" t="n">
        <v>0</v>
      </c>
      <c r="AX15" s="572" t="s">
        <v>489</v>
      </c>
      <c r="AY15" s="581" t="s">
        <v>485</v>
      </c>
      <c r="AZ15" s="582" t="n">
        <v>0</v>
      </c>
      <c r="BA15" s="583" t="n">
        <v>0</v>
      </c>
      <c r="BB15" s="582" t="n">
        <v>0</v>
      </c>
      <c r="BC15" s="583" t="n">
        <v>0</v>
      </c>
      <c r="BD15" s="582" t="n">
        <v>1279410</v>
      </c>
      <c r="BE15" s="583" t="n">
        <v>1049.0419189145</v>
      </c>
      <c r="BF15" s="582" t="n">
        <v>8250</v>
      </c>
      <c r="BG15" s="582" t="n">
        <v>468372</v>
      </c>
      <c r="BH15" s="582" t="n">
        <v>24312</v>
      </c>
      <c r="BI15" s="582" t="n">
        <v>500934</v>
      </c>
      <c r="BJ15" s="582" t="n">
        <v>0</v>
      </c>
      <c r="BK15" s="582" t="n">
        <v>0</v>
      </c>
      <c r="BL15" s="583" t="n">
        <v>0</v>
      </c>
      <c r="BM15" s="582" t="n">
        <v>135427</v>
      </c>
      <c r="BN15" s="582" t="n">
        <v>21082721</v>
      </c>
      <c r="BO15" s="583" t="n">
        <v>1680.0119057</v>
      </c>
      <c r="BP15" s="582" t="n">
        <v>18454030</v>
      </c>
      <c r="BQ15" s="582" t="n">
        <v>200</v>
      </c>
      <c r="BR15" s="582" t="n">
        <v>475906</v>
      </c>
      <c r="BS15" s="583" t="n">
        <v>646.0816336</v>
      </c>
      <c r="BT15" s="582" t="n">
        <v>131665</v>
      </c>
      <c r="BU15" s="582" t="n">
        <v>264</v>
      </c>
      <c r="BV15" s="585" t="n">
        <v>0</v>
      </c>
    </row>
    <row r="16" s="580" customFormat="true" ht="9.75" hidden="false" customHeight="true" outlineLevel="0" collapsed="false">
      <c r="A16" s="572"/>
      <c r="B16" s="469" t="s">
        <v>486</v>
      </c>
      <c r="C16" s="596" t="n">
        <v>42829</v>
      </c>
      <c r="D16" s="576" t="n">
        <v>3637.173531362</v>
      </c>
      <c r="E16" s="596" t="n">
        <v>2983</v>
      </c>
      <c r="F16" s="576" t="n">
        <v>41.5976933</v>
      </c>
      <c r="G16" s="596" t="n">
        <v>45812</v>
      </c>
      <c r="H16" s="576" t="n">
        <v>3678.771224662</v>
      </c>
      <c r="I16" s="596" t="n">
        <v>854</v>
      </c>
      <c r="J16" s="576" t="n">
        <v>115.268175573</v>
      </c>
      <c r="K16" s="596" t="n">
        <v>0</v>
      </c>
      <c r="L16" s="576" t="n">
        <v>0</v>
      </c>
      <c r="M16" s="596" t="n">
        <v>0</v>
      </c>
      <c r="N16" s="576" t="n">
        <v>0</v>
      </c>
      <c r="O16" s="596" t="n">
        <v>0</v>
      </c>
      <c r="P16" s="576" t="n">
        <v>0</v>
      </c>
      <c r="Q16" s="596" t="n">
        <v>0</v>
      </c>
      <c r="R16" s="576" t="n">
        <v>0</v>
      </c>
      <c r="S16" s="596" t="n">
        <v>0</v>
      </c>
      <c r="T16" s="576" t="n">
        <v>0</v>
      </c>
      <c r="U16" s="596" t="n">
        <v>0</v>
      </c>
      <c r="V16" s="576" t="n">
        <v>0</v>
      </c>
      <c r="W16" s="596" t="n">
        <v>0</v>
      </c>
      <c r="X16" s="576" t="n">
        <v>0</v>
      </c>
      <c r="Y16" s="576" t="n">
        <v>0</v>
      </c>
      <c r="Z16" s="572"/>
      <c r="AA16" s="469" t="s">
        <v>486</v>
      </c>
      <c r="AB16" s="586" t="n">
        <v>18092</v>
      </c>
      <c r="AC16" s="576" t="n">
        <v>14.07506</v>
      </c>
      <c r="AD16" s="586" t="n">
        <v>0</v>
      </c>
      <c r="AE16" s="576" t="n">
        <v>0</v>
      </c>
      <c r="AF16" s="586" t="n">
        <v>748</v>
      </c>
      <c r="AG16" s="576" t="n">
        <v>0.247410311</v>
      </c>
      <c r="AH16" s="586" t="n">
        <v>0</v>
      </c>
      <c r="AI16" s="576" t="n">
        <v>0</v>
      </c>
      <c r="AJ16" s="586" t="n">
        <v>0</v>
      </c>
      <c r="AK16" s="576" t="n">
        <v>0</v>
      </c>
      <c r="AL16" s="586" t="n">
        <v>0</v>
      </c>
      <c r="AM16" s="576" t="n">
        <v>0</v>
      </c>
      <c r="AN16" s="586" t="n">
        <v>18840</v>
      </c>
      <c r="AO16" s="576" t="n">
        <v>14.322470311</v>
      </c>
      <c r="AP16" s="586" t="n">
        <v>0</v>
      </c>
      <c r="AQ16" s="576" t="n">
        <v>0</v>
      </c>
      <c r="AR16" s="586" t="n">
        <v>0</v>
      </c>
      <c r="AS16" s="576" t="n">
        <v>0</v>
      </c>
      <c r="AT16" s="586" t="n">
        <v>0</v>
      </c>
      <c r="AU16" s="576" t="n">
        <v>0</v>
      </c>
      <c r="AV16" s="586" t="n">
        <v>0</v>
      </c>
      <c r="AW16" s="576" t="n">
        <v>0</v>
      </c>
      <c r="AX16" s="572"/>
      <c r="AY16" s="469" t="s">
        <v>486</v>
      </c>
      <c r="AZ16" s="586" t="n">
        <v>0</v>
      </c>
      <c r="BA16" s="576" t="n">
        <v>0</v>
      </c>
      <c r="BB16" s="586" t="n">
        <v>0</v>
      </c>
      <c r="BC16" s="576" t="n">
        <v>0</v>
      </c>
      <c r="BD16" s="586" t="n">
        <v>18840</v>
      </c>
      <c r="BE16" s="576" t="n">
        <v>1</v>
      </c>
      <c r="BF16" s="586" t="n">
        <v>0</v>
      </c>
      <c r="BG16" s="586" t="n">
        <v>6808</v>
      </c>
      <c r="BH16" s="586" t="n">
        <v>0</v>
      </c>
      <c r="BI16" s="586" t="n">
        <v>6808</v>
      </c>
      <c r="BJ16" s="586" t="n">
        <v>0</v>
      </c>
      <c r="BK16" s="586" t="n">
        <v>0</v>
      </c>
      <c r="BL16" s="576" t="n">
        <v>0</v>
      </c>
      <c r="BM16" s="586" t="n">
        <v>0</v>
      </c>
      <c r="BN16" s="586" t="n">
        <v>0</v>
      </c>
      <c r="BO16" s="576" t="n">
        <v>0</v>
      </c>
      <c r="BP16" s="586" t="n">
        <v>0</v>
      </c>
      <c r="BQ16" s="586" t="n">
        <v>0</v>
      </c>
      <c r="BR16" s="586" t="n">
        <v>0</v>
      </c>
      <c r="BS16" s="576" t="n">
        <v>0</v>
      </c>
      <c r="BT16" s="586" t="n">
        <v>0</v>
      </c>
      <c r="BU16" s="586" t="n">
        <v>6</v>
      </c>
      <c r="BV16" s="588" t="n">
        <v>0</v>
      </c>
    </row>
    <row r="17" s="580" customFormat="true" ht="9.75" hidden="false" customHeight="true" outlineLevel="0" collapsed="false">
      <c r="A17" s="572"/>
      <c r="B17" s="581" t="s">
        <v>487</v>
      </c>
      <c r="C17" s="595" t="n">
        <v>3990534</v>
      </c>
      <c r="D17" s="583" t="n">
        <v>379756.213742994</v>
      </c>
      <c r="E17" s="595" t="n">
        <v>3654</v>
      </c>
      <c r="F17" s="583" t="n">
        <v>603.64114007</v>
      </c>
      <c r="G17" s="595" t="n">
        <v>3994188</v>
      </c>
      <c r="H17" s="583" t="n">
        <v>380359.854883064</v>
      </c>
      <c r="I17" s="595" t="n">
        <v>7746077</v>
      </c>
      <c r="J17" s="583" t="n">
        <v>32822.390234944</v>
      </c>
      <c r="K17" s="595" t="n">
        <v>660283</v>
      </c>
      <c r="L17" s="583" t="n">
        <v>408.714732318</v>
      </c>
      <c r="M17" s="595" t="n">
        <v>12657</v>
      </c>
      <c r="N17" s="583" t="n">
        <v>21.4069011631</v>
      </c>
      <c r="O17" s="595" t="n">
        <v>3581698</v>
      </c>
      <c r="P17" s="583" t="n">
        <v>1973.88640211</v>
      </c>
      <c r="Q17" s="595" t="n">
        <v>481733</v>
      </c>
      <c r="R17" s="583" t="n">
        <v>423.4068781521</v>
      </c>
      <c r="S17" s="595" t="n">
        <v>771949</v>
      </c>
      <c r="T17" s="583" t="n">
        <v>214.09632062</v>
      </c>
      <c r="U17" s="595" t="n">
        <v>391119</v>
      </c>
      <c r="V17" s="583" t="n">
        <v>136.1714493424</v>
      </c>
      <c r="W17" s="595" t="n">
        <v>5899439</v>
      </c>
      <c r="X17" s="583" t="n">
        <v>3177.6826837056</v>
      </c>
      <c r="Y17" s="583" t="n">
        <v>4704.099413396</v>
      </c>
      <c r="Z17" s="572"/>
      <c r="AA17" s="581" t="s">
        <v>487</v>
      </c>
      <c r="AB17" s="582" t="n">
        <v>49421127</v>
      </c>
      <c r="AC17" s="583" t="n">
        <v>37995.652690593</v>
      </c>
      <c r="AD17" s="582" t="n">
        <v>3206</v>
      </c>
      <c r="AE17" s="583" t="n">
        <v>5.7704864477</v>
      </c>
      <c r="AF17" s="582" t="n">
        <v>2427406</v>
      </c>
      <c r="AG17" s="583" t="n">
        <v>1282.854155354</v>
      </c>
      <c r="AH17" s="582" t="n">
        <v>18988</v>
      </c>
      <c r="AI17" s="583" t="n">
        <v>17.533158499</v>
      </c>
      <c r="AJ17" s="582" t="n">
        <v>2690937</v>
      </c>
      <c r="AK17" s="583" t="n">
        <v>191.27119859</v>
      </c>
      <c r="AL17" s="582" t="n">
        <v>25773</v>
      </c>
      <c r="AM17" s="583" t="n">
        <v>8.103045791</v>
      </c>
      <c r="AN17" s="582" t="n">
        <v>54587437</v>
      </c>
      <c r="AO17" s="583" t="n">
        <v>39501.1847352747</v>
      </c>
      <c r="AP17" s="582" t="n">
        <v>443180</v>
      </c>
      <c r="AQ17" s="583" t="n">
        <v>290.566151789</v>
      </c>
      <c r="AR17" s="582" t="n">
        <v>384706</v>
      </c>
      <c r="AS17" s="583" t="n">
        <v>71.62137226145</v>
      </c>
      <c r="AT17" s="582" t="n">
        <v>164105</v>
      </c>
      <c r="AU17" s="583" t="n">
        <v>167.057148056</v>
      </c>
      <c r="AV17" s="582" t="n">
        <v>284110</v>
      </c>
      <c r="AW17" s="583" t="n">
        <v>307.316782549</v>
      </c>
      <c r="AX17" s="572"/>
      <c r="AY17" s="581" t="s">
        <v>487</v>
      </c>
      <c r="AZ17" s="582" t="n">
        <v>81747</v>
      </c>
      <c r="BA17" s="583" t="n">
        <v>26.667945234</v>
      </c>
      <c r="BB17" s="582" t="n">
        <v>529962</v>
      </c>
      <c r="BC17" s="583" t="n">
        <v>501.041875839</v>
      </c>
      <c r="BD17" s="582" t="n">
        <v>61844724</v>
      </c>
      <c r="BE17" s="583" t="n">
        <v>43542.0968188697</v>
      </c>
      <c r="BF17" s="582" t="n">
        <v>1394002</v>
      </c>
      <c r="BG17" s="582" t="n">
        <v>17434182</v>
      </c>
      <c r="BH17" s="582" t="n">
        <v>279472</v>
      </c>
      <c r="BI17" s="582" t="n">
        <v>19107656</v>
      </c>
      <c r="BJ17" s="582" t="n">
        <v>2279699</v>
      </c>
      <c r="BK17" s="582" t="n">
        <v>3575668</v>
      </c>
      <c r="BL17" s="583" t="n">
        <v>5056.597940675</v>
      </c>
      <c r="BM17" s="582" t="n">
        <v>838328</v>
      </c>
      <c r="BN17" s="582" t="n">
        <v>664006397</v>
      </c>
      <c r="BO17" s="583" t="n">
        <v>114482.788350731</v>
      </c>
      <c r="BP17" s="582" t="n">
        <v>61201049</v>
      </c>
      <c r="BQ17" s="582" t="n">
        <v>7714</v>
      </c>
      <c r="BR17" s="582" t="n">
        <v>18020234</v>
      </c>
      <c r="BS17" s="583" t="n">
        <v>46252.773147711</v>
      </c>
      <c r="BT17" s="582" t="n">
        <v>5126104</v>
      </c>
      <c r="BU17" s="582" t="n">
        <v>10495</v>
      </c>
      <c r="BV17" s="585" t="n">
        <v>58527</v>
      </c>
    </row>
    <row r="18" s="580" customFormat="true" ht="9.75" hidden="false" customHeight="true" outlineLevel="0" collapsed="false">
      <c r="A18" s="572"/>
      <c r="B18" s="469" t="s">
        <v>488</v>
      </c>
      <c r="C18" s="596" t="n">
        <v>415093</v>
      </c>
      <c r="D18" s="576" t="n">
        <v>38493.19000547</v>
      </c>
      <c r="E18" s="596" t="n">
        <v>383</v>
      </c>
      <c r="F18" s="576" t="n">
        <v>0.7277957</v>
      </c>
      <c r="G18" s="596" t="n">
        <v>415476</v>
      </c>
      <c r="H18" s="576" t="n">
        <v>38493.91780117</v>
      </c>
      <c r="I18" s="596" t="n">
        <v>1307454</v>
      </c>
      <c r="J18" s="576" t="n">
        <v>12038.591563144</v>
      </c>
      <c r="K18" s="596" t="n">
        <v>38536</v>
      </c>
      <c r="L18" s="576" t="n">
        <v>31.315602144</v>
      </c>
      <c r="M18" s="596" t="n">
        <v>581</v>
      </c>
      <c r="N18" s="576" t="n">
        <v>0.702301521</v>
      </c>
      <c r="O18" s="596" t="n">
        <v>959518</v>
      </c>
      <c r="P18" s="576" t="n">
        <v>390.791871903</v>
      </c>
      <c r="Q18" s="596" t="n">
        <v>27673</v>
      </c>
      <c r="R18" s="576" t="n">
        <v>16.864497062</v>
      </c>
      <c r="S18" s="596" t="n">
        <v>223763</v>
      </c>
      <c r="T18" s="576" t="n">
        <v>73.873367403</v>
      </c>
      <c r="U18" s="596" t="n">
        <v>25665</v>
      </c>
      <c r="V18" s="576" t="n">
        <v>8.603382359</v>
      </c>
      <c r="W18" s="596" t="n">
        <v>1275736</v>
      </c>
      <c r="X18" s="576" t="n">
        <v>522.151022392</v>
      </c>
      <c r="Y18" s="576" t="n">
        <v>761.612739298</v>
      </c>
      <c r="Z18" s="572"/>
      <c r="AA18" s="469" t="s">
        <v>488</v>
      </c>
      <c r="AB18" s="586" t="n">
        <v>2190220</v>
      </c>
      <c r="AC18" s="576" t="n">
        <v>2361.933326994</v>
      </c>
      <c r="AD18" s="586" t="n">
        <v>3879</v>
      </c>
      <c r="AE18" s="576" t="n">
        <v>11.0811010045</v>
      </c>
      <c r="AF18" s="586" t="n">
        <v>423879</v>
      </c>
      <c r="AG18" s="576" t="n">
        <v>128.210133224</v>
      </c>
      <c r="AH18" s="586" t="n">
        <v>10169</v>
      </c>
      <c r="AI18" s="576" t="n">
        <v>12.454773257</v>
      </c>
      <c r="AJ18" s="586" t="n">
        <v>90163</v>
      </c>
      <c r="AK18" s="576" t="n">
        <v>12.630314471</v>
      </c>
      <c r="AL18" s="586" t="n">
        <v>9131</v>
      </c>
      <c r="AM18" s="576" t="n">
        <v>8.080412647</v>
      </c>
      <c r="AN18" s="586" t="n">
        <v>2727441</v>
      </c>
      <c r="AO18" s="576" t="n">
        <v>2534.3900615975</v>
      </c>
      <c r="AP18" s="586" t="n">
        <v>0</v>
      </c>
      <c r="AQ18" s="576" t="n">
        <v>0</v>
      </c>
      <c r="AR18" s="586" t="n">
        <v>59419</v>
      </c>
      <c r="AS18" s="576" t="n">
        <v>25.834156114</v>
      </c>
      <c r="AT18" s="586" t="n">
        <v>34517</v>
      </c>
      <c r="AU18" s="576" t="n">
        <v>64.20969</v>
      </c>
      <c r="AV18" s="586" t="n">
        <v>0</v>
      </c>
      <c r="AW18" s="576" t="n">
        <v>0</v>
      </c>
      <c r="AX18" s="572"/>
      <c r="AY18" s="469" t="s">
        <v>488</v>
      </c>
      <c r="AZ18" s="586" t="n">
        <v>0</v>
      </c>
      <c r="BA18" s="576" t="n">
        <v>0</v>
      </c>
      <c r="BB18" s="586" t="n">
        <v>34517</v>
      </c>
      <c r="BC18" s="576" t="n">
        <v>64.20969</v>
      </c>
      <c r="BD18" s="586" t="n">
        <v>4097113</v>
      </c>
      <c r="BE18" s="576" t="n">
        <v>3146.5849301035</v>
      </c>
      <c r="BF18" s="586" t="n">
        <v>134950</v>
      </c>
      <c r="BG18" s="586" t="n">
        <v>321731</v>
      </c>
      <c r="BH18" s="586" t="n">
        <v>109798</v>
      </c>
      <c r="BI18" s="586" t="n">
        <v>566479</v>
      </c>
      <c r="BJ18" s="586" t="n">
        <v>192452</v>
      </c>
      <c r="BK18" s="586" t="n">
        <v>1049966</v>
      </c>
      <c r="BL18" s="576" t="n">
        <v>11898.211959252</v>
      </c>
      <c r="BM18" s="586" t="n">
        <v>0</v>
      </c>
      <c r="BN18" s="586" t="n">
        <v>0</v>
      </c>
      <c r="BO18" s="576" t="n">
        <v>0</v>
      </c>
      <c r="BP18" s="586" t="n">
        <v>0</v>
      </c>
      <c r="BQ18" s="586" t="n">
        <v>0</v>
      </c>
      <c r="BR18" s="586" t="n">
        <v>0</v>
      </c>
      <c r="BS18" s="576" t="n">
        <v>0</v>
      </c>
      <c r="BT18" s="586" t="n">
        <v>0</v>
      </c>
      <c r="BU18" s="586" t="n">
        <v>159</v>
      </c>
      <c r="BV18" s="588" t="n">
        <v>0</v>
      </c>
    </row>
    <row r="19" s="580" customFormat="true" ht="9.75" hidden="false" customHeight="true" outlineLevel="0" collapsed="false">
      <c r="A19" s="572"/>
      <c r="B19" s="597" t="s">
        <v>175</v>
      </c>
      <c r="C19" s="598" t="n">
        <v>5506258</v>
      </c>
      <c r="D19" s="599" t="n">
        <v>553042.278617683</v>
      </c>
      <c r="E19" s="598" t="n">
        <v>57143</v>
      </c>
      <c r="F19" s="599" t="n">
        <v>2788.684758132</v>
      </c>
      <c r="G19" s="598" t="n">
        <v>5563401</v>
      </c>
      <c r="H19" s="599" t="n">
        <v>555830.963375815</v>
      </c>
      <c r="I19" s="598" t="n">
        <v>9350759</v>
      </c>
      <c r="J19" s="599" t="n">
        <v>47742.092407685</v>
      </c>
      <c r="K19" s="598" t="n">
        <v>713255</v>
      </c>
      <c r="L19" s="599" t="n">
        <v>452.560927562</v>
      </c>
      <c r="M19" s="598" t="n">
        <v>13238</v>
      </c>
      <c r="N19" s="599" t="n">
        <v>22.1092026841</v>
      </c>
      <c r="O19" s="598" t="n">
        <v>4550020</v>
      </c>
      <c r="P19" s="599" t="n">
        <v>2367.622856279</v>
      </c>
      <c r="Q19" s="598" t="n">
        <v>509984</v>
      </c>
      <c r="R19" s="599" t="n">
        <v>440.7469760141</v>
      </c>
      <c r="S19" s="598" t="n">
        <v>997156</v>
      </c>
      <c r="T19" s="599" t="n">
        <v>288.147184123</v>
      </c>
      <c r="U19" s="598" t="n">
        <v>416784</v>
      </c>
      <c r="V19" s="599" t="n">
        <v>144.7748317014</v>
      </c>
      <c r="W19" s="598" t="n">
        <v>7200437</v>
      </c>
      <c r="X19" s="599" t="n">
        <v>3715.9619783636</v>
      </c>
      <c r="Y19" s="599" t="n">
        <v>5489.402315286</v>
      </c>
      <c r="Z19" s="572"/>
      <c r="AA19" s="597" t="s">
        <v>175</v>
      </c>
      <c r="AB19" s="600" t="n">
        <v>52798303</v>
      </c>
      <c r="AC19" s="599" t="n">
        <v>41371.079707987</v>
      </c>
      <c r="AD19" s="600" t="n">
        <v>7085</v>
      </c>
      <c r="AE19" s="599" t="n">
        <v>16.8515874522</v>
      </c>
      <c r="AF19" s="600" t="n">
        <v>2919882</v>
      </c>
      <c r="AG19" s="599" t="n">
        <v>1430.5861421955</v>
      </c>
      <c r="AH19" s="600" t="n">
        <v>29157</v>
      </c>
      <c r="AI19" s="599" t="n">
        <v>29.987931756</v>
      </c>
      <c r="AJ19" s="600" t="n">
        <v>2786035</v>
      </c>
      <c r="AK19" s="599" t="n">
        <v>204.135620561</v>
      </c>
      <c r="AL19" s="600" t="n">
        <v>34904</v>
      </c>
      <c r="AM19" s="599" t="n">
        <v>16.183458438</v>
      </c>
      <c r="AN19" s="600" t="n">
        <v>58575366</v>
      </c>
      <c r="AO19" s="599" t="n">
        <v>43068.8244483897</v>
      </c>
      <c r="AP19" s="600" t="n">
        <v>455680</v>
      </c>
      <c r="AQ19" s="599" t="n">
        <v>304.552617231</v>
      </c>
      <c r="AR19" s="600" t="n">
        <v>444125</v>
      </c>
      <c r="AS19" s="599" t="n">
        <v>97.45552837545</v>
      </c>
      <c r="AT19" s="600" t="n">
        <v>198622</v>
      </c>
      <c r="AU19" s="599" t="n">
        <v>231.266838056</v>
      </c>
      <c r="AV19" s="600" t="n">
        <v>284110</v>
      </c>
      <c r="AW19" s="599" t="n">
        <v>307.316782549</v>
      </c>
      <c r="AX19" s="572"/>
      <c r="AY19" s="597" t="s">
        <v>175</v>
      </c>
      <c r="AZ19" s="600" t="n">
        <v>81747</v>
      </c>
      <c r="BA19" s="599" t="n">
        <v>26.667945234</v>
      </c>
      <c r="BB19" s="600" t="n">
        <v>564479</v>
      </c>
      <c r="BC19" s="599" t="n">
        <v>565.251565839</v>
      </c>
      <c r="BD19" s="600" t="n">
        <v>67240087</v>
      </c>
      <c r="BE19" s="599" t="n">
        <v>47738.7236678877</v>
      </c>
      <c r="BF19" s="600" t="n">
        <v>1537202</v>
      </c>
      <c r="BG19" s="600" t="n">
        <v>18231093</v>
      </c>
      <c r="BH19" s="600" t="n">
        <v>413582</v>
      </c>
      <c r="BI19" s="600" t="n">
        <v>20181877</v>
      </c>
      <c r="BJ19" s="600" t="n">
        <v>2472151</v>
      </c>
      <c r="BK19" s="600" t="n">
        <v>4625634</v>
      </c>
      <c r="BL19" s="599" t="n">
        <v>16954.809899927</v>
      </c>
      <c r="BM19" s="600" t="n">
        <v>973755</v>
      </c>
      <c r="BN19" s="600" t="n">
        <v>685089118</v>
      </c>
      <c r="BO19" s="599" t="n">
        <v>116162.800256431</v>
      </c>
      <c r="BP19" s="600" t="n">
        <v>79655079</v>
      </c>
      <c r="BQ19" s="600" t="n">
        <v>7914</v>
      </c>
      <c r="BR19" s="600" t="n">
        <v>18496140</v>
      </c>
      <c r="BS19" s="599" t="n">
        <v>46898.854781311</v>
      </c>
      <c r="BT19" s="600" t="n">
        <v>5257769</v>
      </c>
      <c r="BU19" s="600" t="n">
        <v>10924</v>
      </c>
      <c r="BV19" s="601" t="n">
        <v>58527</v>
      </c>
    </row>
    <row r="20" s="580" customFormat="true" ht="9.75" hidden="false" customHeight="true" outlineLevel="0" collapsed="false">
      <c r="A20" s="602" t="s">
        <v>490</v>
      </c>
      <c r="B20" s="469" t="s">
        <v>485</v>
      </c>
      <c r="C20" s="596" t="n">
        <v>1135498</v>
      </c>
      <c r="D20" s="576" t="n">
        <v>140861.55846477</v>
      </c>
      <c r="E20" s="596" t="n">
        <v>54691</v>
      </c>
      <c r="F20" s="576" t="n">
        <v>1816.895468428</v>
      </c>
      <c r="G20" s="596" t="n">
        <v>1190189</v>
      </c>
      <c r="H20" s="576" t="n">
        <v>142678.453933198</v>
      </c>
      <c r="I20" s="596" t="n">
        <v>657095</v>
      </c>
      <c r="J20" s="576" t="n">
        <v>4173.555475921</v>
      </c>
      <c r="K20" s="596" t="n">
        <v>16787</v>
      </c>
      <c r="L20" s="576" t="n">
        <v>15.38942595</v>
      </c>
      <c r="M20" s="596" t="n">
        <v>0</v>
      </c>
      <c r="N20" s="576" t="n">
        <v>0</v>
      </c>
      <c r="O20" s="596" t="n">
        <v>10091</v>
      </c>
      <c r="P20" s="576" t="n">
        <v>3.486093218</v>
      </c>
      <c r="Q20" s="596" t="n">
        <v>253</v>
      </c>
      <c r="R20" s="576" t="n">
        <v>0.187170169</v>
      </c>
      <c r="S20" s="596" t="n">
        <v>1740</v>
      </c>
      <c r="T20" s="576" t="n">
        <v>0.2637617</v>
      </c>
      <c r="U20" s="596" t="n">
        <v>0</v>
      </c>
      <c r="V20" s="576" t="n">
        <v>0</v>
      </c>
      <c r="W20" s="596" t="n">
        <v>28871</v>
      </c>
      <c r="X20" s="576" t="n">
        <v>19.326451037</v>
      </c>
      <c r="Y20" s="576" t="n">
        <v>26.499326679</v>
      </c>
      <c r="Z20" s="602" t="s">
        <v>490</v>
      </c>
      <c r="AA20" s="469" t="s">
        <v>485</v>
      </c>
      <c r="AB20" s="586" t="n">
        <v>1197694</v>
      </c>
      <c r="AC20" s="576" t="n">
        <v>1065.8657612</v>
      </c>
      <c r="AD20" s="586" t="n">
        <v>0</v>
      </c>
      <c r="AE20" s="576" t="n">
        <v>0</v>
      </c>
      <c r="AF20" s="586" t="n">
        <v>67468</v>
      </c>
      <c r="AG20" s="576" t="n">
        <v>18.78006568</v>
      </c>
      <c r="AH20" s="586" t="n">
        <v>0</v>
      </c>
      <c r="AI20" s="576" t="n">
        <v>0</v>
      </c>
      <c r="AJ20" s="586" t="n">
        <v>7289</v>
      </c>
      <c r="AK20" s="576" t="n">
        <v>0.519934</v>
      </c>
      <c r="AL20" s="586" t="n">
        <v>0</v>
      </c>
      <c r="AM20" s="576" t="n">
        <v>0</v>
      </c>
      <c r="AN20" s="586" t="n">
        <v>1272451</v>
      </c>
      <c r="AO20" s="576" t="n">
        <v>1085.16576088</v>
      </c>
      <c r="AP20" s="586" t="n">
        <v>8995</v>
      </c>
      <c r="AQ20" s="576" t="n">
        <v>9.284313643</v>
      </c>
      <c r="AR20" s="586" t="n">
        <v>0</v>
      </c>
      <c r="AS20" s="576" t="n">
        <v>0</v>
      </c>
      <c r="AT20" s="586" t="n">
        <v>0</v>
      </c>
      <c r="AU20" s="576" t="n">
        <v>0</v>
      </c>
      <c r="AV20" s="586" t="n">
        <v>0</v>
      </c>
      <c r="AW20" s="576" t="n">
        <v>0</v>
      </c>
      <c r="AX20" s="602" t="s">
        <v>490</v>
      </c>
      <c r="AY20" s="469" t="s">
        <v>485</v>
      </c>
      <c r="AZ20" s="586" t="n">
        <v>0</v>
      </c>
      <c r="BA20" s="576" t="n">
        <v>0</v>
      </c>
      <c r="BB20" s="586" t="n">
        <v>0</v>
      </c>
      <c r="BC20" s="576" t="n">
        <v>0</v>
      </c>
      <c r="BD20" s="586" t="n">
        <v>1310317</v>
      </c>
      <c r="BE20" s="576" t="n">
        <v>1113.77652556</v>
      </c>
      <c r="BF20" s="586" t="n">
        <v>8697</v>
      </c>
      <c r="BG20" s="586" t="n">
        <v>509971</v>
      </c>
      <c r="BH20" s="586" t="n">
        <v>24387</v>
      </c>
      <c r="BI20" s="586" t="n">
        <v>543055</v>
      </c>
      <c r="BJ20" s="586" t="n">
        <v>0</v>
      </c>
      <c r="BK20" s="586" t="n">
        <v>0</v>
      </c>
      <c r="BL20" s="576" t="n">
        <v>0</v>
      </c>
      <c r="BM20" s="586" t="n">
        <v>138212</v>
      </c>
      <c r="BN20" s="586" t="n">
        <v>2480707</v>
      </c>
      <c r="BO20" s="576" t="n">
        <v>1092.6877364</v>
      </c>
      <c r="BP20" s="586" t="n">
        <v>18480868</v>
      </c>
      <c r="BQ20" s="586" t="n">
        <v>245</v>
      </c>
      <c r="BR20" s="586" t="n">
        <v>476234</v>
      </c>
      <c r="BS20" s="576" t="n">
        <v>703.4221029</v>
      </c>
      <c r="BT20" s="586" t="n">
        <v>171366</v>
      </c>
      <c r="BU20" s="586" t="n">
        <v>275</v>
      </c>
      <c r="BV20" s="588" t="n">
        <v>0</v>
      </c>
    </row>
    <row r="21" s="580" customFormat="true" ht="9.75" hidden="false" customHeight="true" outlineLevel="0" collapsed="false">
      <c r="A21" s="602"/>
      <c r="B21" s="581" t="s">
        <v>486</v>
      </c>
      <c r="C21" s="595" t="n">
        <v>40755</v>
      </c>
      <c r="D21" s="583" t="n">
        <v>4235.495293833</v>
      </c>
      <c r="E21" s="595" t="n">
        <v>2672</v>
      </c>
      <c r="F21" s="583" t="n">
        <v>39.0830975</v>
      </c>
      <c r="G21" s="595" t="n">
        <v>43427</v>
      </c>
      <c r="H21" s="583" t="n">
        <v>4274.578391333</v>
      </c>
      <c r="I21" s="595" t="n">
        <v>1736</v>
      </c>
      <c r="J21" s="583" t="n">
        <v>308.852098219</v>
      </c>
      <c r="K21" s="595" t="n">
        <v>0</v>
      </c>
      <c r="L21" s="583" t="n">
        <v>0</v>
      </c>
      <c r="M21" s="595" t="n">
        <v>0</v>
      </c>
      <c r="N21" s="583" t="n">
        <v>0</v>
      </c>
      <c r="O21" s="595" t="n">
        <v>0</v>
      </c>
      <c r="P21" s="583" t="n">
        <v>0</v>
      </c>
      <c r="Q21" s="595" t="n">
        <v>0</v>
      </c>
      <c r="R21" s="583" t="n">
        <v>0</v>
      </c>
      <c r="S21" s="595" t="n">
        <v>0</v>
      </c>
      <c r="T21" s="583" t="n">
        <v>0</v>
      </c>
      <c r="U21" s="595" t="n">
        <v>0</v>
      </c>
      <c r="V21" s="583" t="n">
        <v>0</v>
      </c>
      <c r="W21" s="595" t="n">
        <v>0</v>
      </c>
      <c r="X21" s="583" t="n">
        <v>0</v>
      </c>
      <c r="Y21" s="583" t="n">
        <v>0</v>
      </c>
      <c r="Z21" s="602"/>
      <c r="AA21" s="581" t="s">
        <v>486</v>
      </c>
      <c r="AB21" s="582" t="n">
        <v>14299</v>
      </c>
      <c r="AC21" s="583" t="n">
        <v>11.61524</v>
      </c>
      <c r="AD21" s="582" t="n">
        <v>0</v>
      </c>
      <c r="AE21" s="583" t="n">
        <v>0</v>
      </c>
      <c r="AF21" s="582" t="n">
        <v>829</v>
      </c>
      <c r="AG21" s="583" t="n">
        <v>0.261007812</v>
      </c>
      <c r="AH21" s="582" t="n">
        <v>0</v>
      </c>
      <c r="AI21" s="583" t="n">
        <v>0</v>
      </c>
      <c r="AJ21" s="582" t="n">
        <v>0</v>
      </c>
      <c r="AK21" s="583" t="n">
        <v>0</v>
      </c>
      <c r="AL21" s="582" t="n">
        <v>0</v>
      </c>
      <c r="AM21" s="583" t="n">
        <v>0</v>
      </c>
      <c r="AN21" s="582" t="n">
        <v>15128</v>
      </c>
      <c r="AO21" s="583" t="n">
        <v>11.876247812</v>
      </c>
      <c r="AP21" s="582" t="n">
        <v>0</v>
      </c>
      <c r="AQ21" s="583" t="n">
        <v>0</v>
      </c>
      <c r="AR21" s="582" t="n">
        <v>0</v>
      </c>
      <c r="AS21" s="583" t="n">
        <v>0</v>
      </c>
      <c r="AT21" s="582" t="n">
        <v>0</v>
      </c>
      <c r="AU21" s="583" t="n">
        <v>0</v>
      </c>
      <c r="AV21" s="582" t="n">
        <v>0</v>
      </c>
      <c r="AW21" s="583" t="n">
        <v>0</v>
      </c>
      <c r="AX21" s="602"/>
      <c r="AY21" s="581" t="s">
        <v>486</v>
      </c>
      <c r="AZ21" s="582" t="n">
        <v>0</v>
      </c>
      <c r="BA21" s="583" t="n">
        <v>0</v>
      </c>
      <c r="BB21" s="582" t="n">
        <v>0</v>
      </c>
      <c r="BC21" s="583" t="n">
        <v>0</v>
      </c>
      <c r="BD21" s="582" t="n">
        <v>15128</v>
      </c>
      <c r="BE21" s="583" t="n">
        <v>1</v>
      </c>
      <c r="BF21" s="582" t="n">
        <v>0</v>
      </c>
      <c r="BG21" s="582" t="n">
        <v>7362</v>
      </c>
      <c r="BH21" s="582" t="n">
        <v>0</v>
      </c>
      <c r="BI21" s="582" t="n">
        <v>7362</v>
      </c>
      <c r="BJ21" s="582" t="n">
        <v>0</v>
      </c>
      <c r="BK21" s="582" t="n">
        <v>0</v>
      </c>
      <c r="BL21" s="583" t="n">
        <v>0</v>
      </c>
      <c r="BM21" s="582" t="n">
        <v>0</v>
      </c>
      <c r="BN21" s="582" t="n">
        <v>0</v>
      </c>
      <c r="BO21" s="583" t="n">
        <v>0</v>
      </c>
      <c r="BP21" s="582" t="n">
        <v>0</v>
      </c>
      <c r="BQ21" s="582" t="n">
        <v>0</v>
      </c>
      <c r="BR21" s="582" t="n">
        <v>0</v>
      </c>
      <c r="BS21" s="583" t="n">
        <v>0</v>
      </c>
      <c r="BT21" s="582" t="n">
        <v>0</v>
      </c>
      <c r="BU21" s="582" t="n">
        <v>6</v>
      </c>
      <c r="BV21" s="585" t="n">
        <v>0</v>
      </c>
    </row>
    <row r="22" s="580" customFormat="true" ht="9.75" hidden="false" customHeight="true" outlineLevel="0" collapsed="false">
      <c r="A22" s="602"/>
      <c r="B22" s="469" t="s">
        <v>487</v>
      </c>
      <c r="C22" s="596" t="n">
        <v>4308605</v>
      </c>
      <c r="D22" s="576" t="n">
        <v>398145.704609502</v>
      </c>
      <c r="E22" s="596" t="n">
        <v>3243</v>
      </c>
      <c r="F22" s="576" t="n">
        <v>525.812764136</v>
      </c>
      <c r="G22" s="596" t="n">
        <v>4311848</v>
      </c>
      <c r="H22" s="576" t="n">
        <v>398671.517373638</v>
      </c>
      <c r="I22" s="596" t="n">
        <v>6036866</v>
      </c>
      <c r="J22" s="576" t="n">
        <v>32330.162806608</v>
      </c>
      <c r="K22" s="596" t="n">
        <v>653309</v>
      </c>
      <c r="L22" s="576" t="n">
        <v>424.019765337</v>
      </c>
      <c r="M22" s="596" t="n">
        <v>9817</v>
      </c>
      <c r="N22" s="576" t="n">
        <v>15.9480836558</v>
      </c>
      <c r="O22" s="596" t="n">
        <v>3626389</v>
      </c>
      <c r="P22" s="576" t="n">
        <v>2080.457431159</v>
      </c>
      <c r="Q22" s="596" t="n">
        <v>390286</v>
      </c>
      <c r="R22" s="576" t="n">
        <v>316.6833006089</v>
      </c>
      <c r="S22" s="596" t="n">
        <v>762034</v>
      </c>
      <c r="T22" s="576" t="n">
        <v>259.552574413</v>
      </c>
      <c r="U22" s="596" t="n">
        <v>264079</v>
      </c>
      <c r="V22" s="576" t="n">
        <v>101.47365361225</v>
      </c>
      <c r="W22" s="596" t="n">
        <v>5705914</v>
      </c>
      <c r="X22" s="576" t="n">
        <v>3198.13480878595</v>
      </c>
      <c r="Y22" s="576" t="n">
        <v>4787.932027499</v>
      </c>
      <c r="Z22" s="602"/>
      <c r="AA22" s="469" t="s">
        <v>487</v>
      </c>
      <c r="AB22" s="586" t="n">
        <v>49661197</v>
      </c>
      <c r="AC22" s="576" t="n">
        <v>40350.98122566</v>
      </c>
      <c r="AD22" s="586" t="n">
        <v>3299</v>
      </c>
      <c r="AE22" s="576" t="n">
        <v>8.00430637085</v>
      </c>
      <c r="AF22" s="586" t="n">
        <v>2444742</v>
      </c>
      <c r="AG22" s="576" t="n">
        <v>1361.019058028</v>
      </c>
      <c r="AH22" s="586" t="n">
        <v>18595</v>
      </c>
      <c r="AI22" s="576" t="n">
        <v>15.5720398906</v>
      </c>
      <c r="AJ22" s="586" t="n">
        <v>2064814</v>
      </c>
      <c r="AK22" s="576" t="n">
        <v>206.429015777</v>
      </c>
      <c r="AL22" s="586" t="n">
        <v>27223</v>
      </c>
      <c r="AM22" s="576" t="n">
        <v>7.71095834265</v>
      </c>
      <c r="AN22" s="586" t="n">
        <v>54219870</v>
      </c>
      <c r="AO22" s="576" t="n">
        <v>41949.7166040691</v>
      </c>
      <c r="AP22" s="586" t="n">
        <v>539225</v>
      </c>
      <c r="AQ22" s="576" t="n">
        <v>386.1134344574</v>
      </c>
      <c r="AR22" s="586" t="n">
        <v>308063</v>
      </c>
      <c r="AS22" s="576" t="n">
        <v>57.98583403675</v>
      </c>
      <c r="AT22" s="586" t="n">
        <v>183687</v>
      </c>
      <c r="AU22" s="576" t="n">
        <v>191.23836514</v>
      </c>
      <c r="AV22" s="586" t="n">
        <v>287747</v>
      </c>
      <c r="AW22" s="576" t="n">
        <v>265.491792116</v>
      </c>
      <c r="AX22" s="602"/>
      <c r="AY22" s="469" t="s">
        <v>487</v>
      </c>
      <c r="AZ22" s="586" t="n">
        <v>85204</v>
      </c>
      <c r="BA22" s="576" t="n">
        <v>28.422867371</v>
      </c>
      <c r="BB22" s="586" t="n">
        <v>556638</v>
      </c>
      <c r="BC22" s="576" t="n">
        <v>485.153024627</v>
      </c>
      <c r="BD22" s="586" t="n">
        <v>61329710</v>
      </c>
      <c r="BE22" s="576" t="n">
        <v>46077.1037059762</v>
      </c>
      <c r="BF22" s="586" t="n">
        <v>1453595</v>
      </c>
      <c r="BG22" s="586" t="n">
        <v>18457946</v>
      </c>
      <c r="BH22" s="586" t="n">
        <v>349964</v>
      </c>
      <c r="BI22" s="586" t="n">
        <v>20261505</v>
      </c>
      <c r="BJ22" s="586" t="n">
        <v>2448104</v>
      </c>
      <c r="BK22" s="586" t="n">
        <v>4119224</v>
      </c>
      <c r="BL22" s="576" t="n">
        <v>5920.455749667</v>
      </c>
      <c r="BM22" s="586" t="n">
        <v>855288</v>
      </c>
      <c r="BN22" s="586" t="n">
        <v>689578307</v>
      </c>
      <c r="BO22" s="576" t="n">
        <v>122128.381477366</v>
      </c>
      <c r="BP22" s="586" t="n">
        <v>64094882</v>
      </c>
      <c r="BQ22" s="586" t="n">
        <v>8102</v>
      </c>
      <c r="BR22" s="586" t="n">
        <v>19125201</v>
      </c>
      <c r="BS22" s="576" t="n">
        <v>56651.035979269</v>
      </c>
      <c r="BT22" s="586" t="n">
        <v>6313782</v>
      </c>
      <c r="BU22" s="586" t="n">
        <v>10589</v>
      </c>
      <c r="BV22" s="588" t="n">
        <v>65106</v>
      </c>
    </row>
    <row r="23" s="580" customFormat="true" ht="9.75" hidden="false" customHeight="true" outlineLevel="0" collapsed="false">
      <c r="A23" s="602"/>
      <c r="B23" s="581" t="s">
        <v>488</v>
      </c>
      <c r="C23" s="595" t="n">
        <v>412502</v>
      </c>
      <c r="D23" s="583" t="n">
        <v>39808.356603716</v>
      </c>
      <c r="E23" s="595" t="n">
        <v>323</v>
      </c>
      <c r="F23" s="583" t="n">
        <v>0.967612325</v>
      </c>
      <c r="G23" s="595" t="n">
        <v>412825</v>
      </c>
      <c r="H23" s="583" t="n">
        <v>39809.324216041</v>
      </c>
      <c r="I23" s="595" t="n">
        <v>1393717</v>
      </c>
      <c r="J23" s="583" t="n">
        <v>13124.467924844</v>
      </c>
      <c r="K23" s="595" t="n">
        <v>36349</v>
      </c>
      <c r="L23" s="583" t="n">
        <v>29.755439409</v>
      </c>
      <c r="M23" s="595" t="n">
        <v>390</v>
      </c>
      <c r="N23" s="583" t="n">
        <v>0.51107542</v>
      </c>
      <c r="O23" s="595" t="n">
        <v>925959</v>
      </c>
      <c r="P23" s="583" t="n">
        <v>375.581340821</v>
      </c>
      <c r="Q23" s="595" t="n">
        <v>18516</v>
      </c>
      <c r="R23" s="583" t="n">
        <v>10.216892547</v>
      </c>
      <c r="S23" s="595" t="n">
        <v>206581</v>
      </c>
      <c r="T23" s="583" t="n">
        <v>70.706659067</v>
      </c>
      <c r="U23" s="595" t="n">
        <v>20302</v>
      </c>
      <c r="V23" s="583" t="n">
        <v>6.059463375</v>
      </c>
      <c r="W23" s="595" t="n">
        <v>1208097</v>
      </c>
      <c r="X23" s="583" t="n">
        <v>492.830870639</v>
      </c>
      <c r="Y23" s="583" t="n">
        <v>724.108837153</v>
      </c>
      <c r="Z23" s="602"/>
      <c r="AA23" s="581" t="s">
        <v>488</v>
      </c>
      <c r="AB23" s="582" t="n">
        <v>2491655</v>
      </c>
      <c r="AC23" s="583" t="n">
        <v>1973.529545664</v>
      </c>
      <c r="AD23" s="582" t="n">
        <v>2580</v>
      </c>
      <c r="AE23" s="583" t="n">
        <v>7.0864762945</v>
      </c>
      <c r="AF23" s="582" t="n">
        <v>423613</v>
      </c>
      <c r="AG23" s="583" t="n">
        <v>128.108930662</v>
      </c>
      <c r="AH23" s="582" t="n">
        <v>6066</v>
      </c>
      <c r="AI23" s="583" t="n">
        <v>7.465121269</v>
      </c>
      <c r="AJ23" s="582" t="n">
        <v>89154</v>
      </c>
      <c r="AK23" s="583" t="n">
        <v>14.035400046</v>
      </c>
      <c r="AL23" s="582" t="n">
        <v>6296</v>
      </c>
      <c r="AM23" s="583" t="n">
        <v>5.564934437</v>
      </c>
      <c r="AN23" s="582" t="n">
        <v>3019364</v>
      </c>
      <c r="AO23" s="583" t="n">
        <v>2135.7904083725</v>
      </c>
      <c r="AP23" s="582" t="n">
        <v>0</v>
      </c>
      <c r="AQ23" s="583" t="n">
        <v>0</v>
      </c>
      <c r="AR23" s="582" t="n">
        <v>41420</v>
      </c>
      <c r="AS23" s="583" t="n">
        <v>17.504628966</v>
      </c>
      <c r="AT23" s="582" t="n">
        <v>36497</v>
      </c>
      <c r="AU23" s="583" t="n">
        <v>70.97253</v>
      </c>
      <c r="AV23" s="582" t="n">
        <v>0</v>
      </c>
      <c r="AW23" s="583" t="n">
        <v>0</v>
      </c>
      <c r="AX23" s="602"/>
      <c r="AY23" s="581" t="s">
        <v>488</v>
      </c>
      <c r="AZ23" s="582" t="n">
        <v>0</v>
      </c>
      <c r="BA23" s="583" t="n">
        <v>0</v>
      </c>
      <c r="BB23" s="582" t="n">
        <v>36497</v>
      </c>
      <c r="BC23" s="583" t="n">
        <v>70.97253</v>
      </c>
      <c r="BD23" s="582" t="n">
        <v>4305378</v>
      </c>
      <c r="BE23" s="583" t="n">
        <v>2717.0984379775</v>
      </c>
      <c r="BF23" s="582" t="n">
        <v>136837</v>
      </c>
      <c r="BG23" s="582" t="n">
        <v>324848</v>
      </c>
      <c r="BH23" s="582" t="n">
        <v>121440</v>
      </c>
      <c r="BI23" s="582" t="n">
        <v>583125</v>
      </c>
      <c r="BJ23" s="582" t="n">
        <v>200577</v>
      </c>
      <c r="BK23" s="582" t="n">
        <v>1145308</v>
      </c>
      <c r="BL23" s="583" t="n">
        <v>13635.998490255</v>
      </c>
      <c r="BM23" s="582" t="n">
        <v>0</v>
      </c>
      <c r="BN23" s="582" t="n">
        <v>0</v>
      </c>
      <c r="BO23" s="583" t="n">
        <v>0</v>
      </c>
      <c r="BP23" s="582" t="n">
        <v>0</v>
      </c>
      <c r="BQ23" s="582" t="n">
        <v>0</v>
      </c>
      <c r="BR23" s="582" t="n">
        <v>0</v>
      </c>
      <c r="BS23" s="583" t="n">
        <v>0</v>
      </c>
      <c r="BT23" s="582" t="n">
        <v>0</v>
      </c>
      <c r="BU23" s="582" t="n">
        <v>161</v>
      </c>
      <c r="BV23" s="585" t="n">
        <v>0</v>
      </c>
    </row>
    <row r="24" s="580" customFormat="true" ht="9.75" hidden="false" customHeight="true" outlineLevel="0" collapsed="false">
      <c r="A24" s="602"/>
      <c r="B24" s="589" t="s">
        <v>175</v>
      </c>
      <c r="C24" s="603" t="n">
        <v>5897360</v>
      </c>
      <c r="D24" s="591" t="n">
        <v>583051.114971821</v>
      </c>
      <c r="E24" s="603" t="n">
        <v>60929</v>
      </c>
      <c r="F24" s="591" t="n">
        <v>2382.758942389</v>
      </c>
      <c r="G24" s="603" t="n">
        <v>5958289</v>
      </c>
      <c r="H24" s="591" t="n">
        <v>585433.87391421</v>
      </c>
      <c r="I24" s="603" t="n">
        <v>8089414</v>
      </c>
      <c r="J24" s="591" t="n">
        <v>49937.038305592</v>
      </c>
      <c r="K24" s="603" t="n">
        <v>706445</v>
      </c>
      <c r="L24" s="591" t="n">
        <v>469.164630696</v>
      </c>
      <c r="M24" s="603" t="n">
        <v>10207</v>
      </c>
      <c r="N24" s="591" t="n">
        <v>16.4591590758</v>
      </c>
      <c r="O24" s="603" t="n">
        <v>4562439</v>
      </c>
      <c r="P24" s="591" t="n">
        <v>2459.524865198</v>
      </c>
      <c r="Q24" s="603" t="n">
        <v>409055</v>
      </c>
      <c r="R24" s="591" t="n">
        <v>327.0873633249</v>
      </c>
      <c r="S24" s="603" t="n">
        <v>970355</v>
      </c>
      <c r="T24" s="591" t="n">
        <v>330.52299518</v>
      </c>
      <c r="U24" s="603" t="n">
        <v>284381</v>
      </c>
      <c r="V24" s="591" t="n">
        <v>107.53311698725</v>
      </c>
      <c r="W24" s="603" t="n">
        <v>6942882</v>
      </c>
      <c r="X24" s="591" t="n">
        <v>3710.29213046195</v>
      </c>
      <c r="Y24" s="591" t="n">
        <v>5538.540191331</v>
      </c>
      <c r="Z24" s="602"/>
      <c r="AA24" s="589" t="s">
        <v>175</v>
      </c>
      <c r="AB24" s="590" t="n">
        <v>53364845</v>
      </c>
      <c r="AC24" s="591" t="n">
        <v>43401.991772524</v>
      </c>
      <c r="AD24" s="590" t="n">
        <v>5879</v>
      </c>
      <c r="AE24" s="591" t="n">
        <v>15.09078266535</v>
      </c>
      <c r="AF24" s="590" t="n">
        <v>2936652</v>
      </c>
      <c r="AG24" s="591" t="n">
        <v>1508.169062182</v>
      </c>
      <c r="AH24" s="590" t="n">
        <v>24661</v>
      </c>
      <c r="AI24" s="591" t="n">
        <v>23.0371611596</v>
      </c>
      <c r="AJ24" s="590" t="n">
        <v>2161257</v>
      </c>
      <c r="AK24" s="591" t="n">
        <v>220.984349823</v>
      </c>
      <c r="AL24" s="590" t="n">
        <v>33519</v>
      </c>
      <c r="AM24" s="591" t="n">
        <v>13.27589277965</v>
      </c>
      <c r="AN24" s="590" t="n">
        <v>58526813</v>
      </c>
      <c r="AO24" s="591" t="n">
        <v>45182.5490211336</v>
      </c>
      <c r="AP24" s="590" t="n">
        <v>548220</v>
      </c>
      <c r="AQ24" s="591" t="n">
        <v>395.3977481004</v>
      </c>
      <c r="AR24" s="590" t="n">
        <v>349483</v>
      </c>
      <c r="AS24" s="591" t="n">
        <v>75.49046300275</v>
      </c>
      <c r="AT24" s="590" t="n">
        <v>220184</v>
      </c>
      <c r="AU24" s="591" t="n">
        <v>262.21089514</v>
      </c>
      <c r="AV24" s="590" t="n">
        <v>287747</v>
      </c>
      <c r="AW24" s="591" t="n">
        <v>265.491792116</v>
      </c>
      <c r="AX24" s="602"/>
      <c r="AY24" s="589" t="s">
        <v>175</v>
      </c>
      <c r="AZ24" s="590" t="n">
        <v>85204</v>
      </c>
      <c r="BA24" s="591" t="n">
        <v>28.422867371</v>
      </c>
      <c r="BB24" s="590" t="n">
        <v>593135</v>
      </c>
      <c r="BC24" s="591" t="n">
        <v>556.125554627</v>
      </c>
      <c r="BD24" s="590" t="n">
        <v>66960533</v>
      </c>
      <c r="BE24" s="591" t="n">
        <v>49908.9786695137</v>
      </c>
      <c r="BF24" s="590" t="n">
        <v>1599129</v>
      </c>
      <c r="BG24" s="590" t="n">
        <v>19300127</v>
      </c>
      <c r="BH24" s="590" t="n">
        <v>495791</v>
      </c>
      <c r="BI24" s="590" t="n">
        <v>21395047</v>
      </c>
      <c r="BJ24" s="590" t="n">
        <v>2648681</v>
      </c>
      <c r="BK24" s="590" t="n">
        <v>5264532</v>
      </c>
      <c r="BL24" s="591" t="n">
        <v>19556.454239922</v>
      </c>
      <c r="BM24" s="590" t="n">
        <v>993500</v>
      </c>
      <c r="BN24" s="590" t="n">
        <v>692059014</v>
      </c>
      <c r="BO24" s="591" t="n">
        <v>123221.069213766</v>
      </c>
      <c r="BP24" s="590" t="n">
        <v>82575750</v>
      </c>
      <c r="BQ24" s="590" t="n">
        <v>8347</v>
      </c>
      <c r="BR24" s="590" t="n">
        <v>19601435</v>
      </c>
      <c r="BS24" s="591" t="n">
        <v>57354.458082169</v>
      </c>
      <c r="BT24" s="590" t="n">
        <v>6485148</v>
      </c>
      <c r="BU24" s="590" t="n">
        <v>11031</v>
      </c>
      <c r="BV24" s="594" t="n">
        <v>65106</v>
      </c>
    </row>
    <row r="25" s="580" customFormat="true" ht="9.75" hidden="false" customHeight="true" outlineLevel="0" collapsed="false">
      <c r="A25" s="602" t="s">
        <v>491</v>
      </c>
      <c r="B25" s="604" t="s">
        <v>485</v>
      </c>
      <c r="C25" s="595" t="n">
        <v>643009</v>
      </c>
      <c r="D25" s="583" t="n">
        <v>127372.402606112</v>
      </c>
      <c r="E25" s="595" t="n">
        <v>34858</v>
      </c>
      <c r="F25" s="583" t="n">
        <v>1591.249244869</v>
      </c>
      <c r="G25" s="595" t="n">
        <v>677867</v>
      </c>
      <c r="H25" s="583" t="n">
        <v>128963.651850981</v>
      </c>
      <c r="I25" s="595" t="n">
        <v>392181</v>
      </c>
      <c r="J25" s="583" t="n">
        <v>5739.276263796</v>
      </c>
      <c r="K25" s="595" t="n">
        <v>6166</v>
      </c>
      <c r="L25" s="583" t="n">
        <v>6.8515778</v>
      </c>
      <c r="M25" s="595" t="n">
        <v>0</v>
      </c>
      <c r="N25" s="583" t="n">
        <v>0</v>
      </c>
      <c r="O25" s="595" t="n">
        <v>7805</v>
      </c>
      <c r="P25" s="583" t="n">
        <v>3.672027411</v>
      </c>
      <c r="Q25" s="595" t="n">
        <v>82</v>
      </c>
      <c r="R25" s="583" t="n">
        <v>0.027620145</v>
      </c>
      <c r="S25" s="595" t="n">
        <v>3353</v>
      </c>
      <c r="T25" s="583" t="n">
        <v>1.3810238</v>
      </c>
      <c r="U25" s="595" t="n">
        <v>0</v>
      </c>
      <c r="V25" s="583" t="n">
        <v>0</v>
      </c>
      <c r="W25" s="595" t="n">
        <v>17406</v>
      </c>
      <c r="X25" s="583" t="n">
        <v>11.932249156</v>
      </c>
      <c r="Y25" s="583" t="n">
        <v>26.172649463</v>
      </c>
      <c r="Z25" s="602" t="s">
        <v>491</v>
      </c>
      <c r="AA25" s="604" t="s">
        <v>485</v>
      </c>
      <c r="AB25" s="582" t="n">
        <v>957634</v>
      </c>
      <c r="AC25" s="583" t="n">
        <v>977.6825621</v>
      </c>
      <c r="AD25" s="582" t="n">
        <v>0</v>
      </c>
      <c r="AE25" s="583" t="n">
        <v>0</v>
      </c>
      <c r="AF25" s="582" t="n">
        <v>131434</v>
      </c>
      <c r="AG25" s="583" t="n">
        <v>42.772746031</v>
      </c>
      <c r="AH25" s="582" t="n">
        <v>0</v>
      </c>
      <c r="AI25" s="583" t="n">
        <v>0</v>
      </c>
      <c r="AJ25" s="582" t="n">
        <v>105756</v>
      </c>
      <c r="AK25" s="583" t="n">
        <v>32.9267553</v>
      </c>
      <c r="AL25" s="582" t="n">
        <v>0</v>
      </c>
      <c r="AM25" s="583" t="n">
        <v>0</v>
      </c>
      <c r="AN25" s="582" t="n">
        <v>1194824</v>
      </c>
      <c r="AO25" s="583" t="n">
        <v>1053.382063431</v>
      </c>
      <c r="AP25" s="582" t="n">
        <v>8989</v>
      </c>
      <c r="AQ25" s="583" t="n">
        <v>13.472300009</v>
      </c>
      <c r="AR25" s="582" t="n">
        <v>0</v>
      </c>
      <c r="AS25" s="583" t="n">
        <v>0</v>
      </c>
      <c r="AT25" s="582" t="n">
        <v>0</v>
      </c>
      <c r="AU25" s="583" t="n">
        <v>0</v>
      </c>
      <c r="AV25" s="582" t="n">
        <v>0</v>
      </c>
      <c r="AW25" s="583" t="n">
        <v>0</v>
      </c>
      <c r="AX25" s="602" t="s">
        <v>491</v>
      </c>
      <c r="AY25" s="604" t="s">
        <v>485</v>
      </c>
      <c r="AZ25" s="582" t="n">
        <v>0</v>
      </c>
      <c r="BA25" s="583" t="n">
        <v>0</v>
      </c>
      <c r="BB25" s="582" t="n">
        <v>0</v>
      </c>
      <c r="BC25" s="583" t="n">
        <v>0</v>
      </c>
      <c r="BD25" s="582" t="n">
        <v>1221219</v>
      </c>
      <c r="BE25" s="583" t="n">
        <v>1078.786612596</v>
      </c>
      <c r="BF25" s="582" t="n">
        <v>8963</v>
      </c>
      <c r="BG25" s="582" t="n">
        <v>529047</v>
      </c>
      <c r="BH25" s="582" t="n">
        <v>24500</v>
      </c>
      <c r="BI25" s="582" t="n">
        <v>562510</v>
      </c>
      <c r="BJ25" s="582" t="n">
        <v>0</v>
      </c>
      <c r="BK25" s="582" t="n">
        <v>0</v>
      </c>
      <c r="BL25" s="583" t="n">
        <v>0</v>
      </c>
      <c r="BM25" s="582" t="n">
        <v>139090</v>
      </c>
      <c r="BN25" s="582" t="n">
        <v>19657478</v>
      </c>
      <c r="BO25" s="583" t="n">
        <v>927.9633476</v>
      </c>
      <c r="BP25" s="582" t="n">
        <v>18889606</v>
      </c>
      <c r="BQ25" s="582" t="n">
        <v>248</v>
      </c>
      <c r="BR25" s="582" t="n">
        <v>308704</v>
      </c>
      <c r="BS25" s="583" t="n">
        <v>536.3103812</v>
      </c>
      <c r="BT25" s="582" t="n">
        <v>187625</v>
      </c>
      <c r="BU25" s="582" t="n">
        <v>276</v>
      </c>
      <c r="BV25" s="585" t="n">
        <v>0</v>
      </c>
    </row>
    <row r="26" s="580" customFormat="true" ht="9.75" hidden="false" customHeight="true" outlineLevel="0" collapsed="false">
      <c r="A26" s="602"/>
      <c r="B26" s="469" t="s">
        <v>486</v>
      </c>
      <c r="C26" s="596" t="n">
        <v>21210</v>
      </c>
      <c r="D26" s="576" t="n">
        <v>3312.281791007</v>
      </c>
      <c r="E26" s="596" t="n">
        <v>1305</v>
      </c>
      <c r="F26" s="576" t="n">
        <v>12.9254267</v>
      </c>
      <c r="G26" s="596" t="n">
        <v>22515</v>
      </c>
      <c r="H26" s="576" t="n">
        <v>3325.207217707</v>
      </c>
      <c r="I26" s="596" t="n">
        <v>4653</v>
      </c>
      <c r="J26" s="576" t="n">
        <v>435.610257779</v>
      </c>
      <c r="K26" s="596" t="n">
        <v>0</v>
      </c>
      <c r="L26" s="576" t="n">
        <v>0</v>
      </c>
      <c r="M26" s="596" t="n">
        <v>0</v>
      </c>
      <c r="N26" s="576" t="n">
        <v>0</v>
      </c>
      <c r="O26" s="596" t="n">
        <v>0</v>
      </c>
      <c r="P26" s="576" t="n">
        <v>0</v>
      </c>
      <c r="Q26" s="596" t="n">
        <v>0</v>
      </c>
      <c r="R26" s="576" t="n">
        <v>0</v>
      </c>
      <c r="S26" s="596" t="n">
        <v>0</v>
      </c>
      <c r="T26" s="576" t="n">
        <v>0</v>
      </c>
      <c r="U26" s="596" t="n">
        <v>0</v>
      </c>
      <c r="V26" s="576" t="n">
        <v>0</v>
      </c>
      <c r="W26" s="596" t="n">
        <v>0</v>
      </c>
      <c r="X26" s="576" t="n">
        <v>0</v>
      </c>
      <c r="Y26" s="576" t="n">
        <v>0</v>
      </c>
      <c r="Z26" s="602"/>
      <c r="AA26" s="469" t="s">
        <v>486</v>
      </c>
      <c r="AB26" s="586" t="n">
        <v>10921</v>
      </c>
      <c r="AC26" s="576" t="n">
        <v>20.73803</v>
      </c>
      <c r="AD26" s="586" t="n">
        <v>0</v>
      </c>
      <c r="AE26" s="576" t="n">
        <v>0</v>
      </c>
      <c r="AF26" s="586" t="n">
        <v>375</v>
      </c>
      <c r="AG26" s="576" t="n">
        <v>0.097674089</v>
      </c>
      <c r="AH26" s="586" t="n">
        <v>0</v>
      </c>
      <c r="AI26" s="576" t="n">
        <v>0</v>
      </c>
      <c r="AJ26" s="586" t="n">
        <v>0</v>
      </c>
      <c r="AK26" s="576" t="n">
        <v>0</v>
      </c>
      <c r="AL26" s="586" t="n">
        <v>0</v>
      </c>
      <c r="AM26" s="576" t="n">
        <v>0</v>
      </c>
      <c r="AN26" s="586" t="n">
        <v>11296</v>
      </c>
      <c r="AO26" s="576" t="n">
        <v>20.835704089</v>
      </c>
      <c r="AP26" s="586" t="n">
        <v>0</v>
      </c>
      <c r="AQ26" s="576" t="n">
        <v>0</v>
      </c>
      <c r="AR26" s="586" t="n">
        <v>0</v>
      </c>
      <c r="AS26" s="576" t="n">
        <v>0</v>
      </c>
      <c r="AT26" s="586" t="n">
        <v>0</v>
      </c>
      <c r="AU26" s="576" t="n">
        <v>0</v>
      </c>
      <c r="AV26" s="586" t="n">
        <v>0</v>
      </c>
      <c r="AW26" s="576" t="n">
        <v>0</v>
      </c>
      <c r="AX26" s="602"/>
      <c r="AY26" s="469" t="s">
        <v>486</v>
      </c>
      <c r="AZ26" s="586" t="n">
        <v>0</v>
      </c>
      <c r="BA26" s="576" t="n">
        <v>0</v>
      </c>
      <c r="BB26" s="586" t="n">
        <v>0</v>
      </c>
      <c r="BC26" s="576" t="n">
        <v>0</v>
      </c>
      <c r="BD26" s="586" t="n">
        <v>11296</v>
      </c>
      <c r="BE26" s="576" t="n">
        <v>1</v>
      </c>
      <c r="BF26" s="586" t="n">
        <v>0</v>
      </c>
      <c r="BG26" s="586" t="n">
        <v>7573</v>
      </c>
      <c r="BH26" s="586" t="n">
        <v>0</v>
      </c>
      <c r="BI26" s="586" t="n">
        <v>7573</v>
      </c>
      <c r="BJ26" s="586" t="n">
        <v>0</v>
      </c>
      <c r="BK26" s="586" t="n">
        <v>0</v>
      </c>
      <c r="BL26" s="576" t="n">
        <v>0</v>
      </c>
      <c r="BM26" s="586" t="n">
        <v>0</v>
      </c>
      <c r="BN26" s="586" t="n">
        <v>0</v>
      </c>
      <c r="BO26" s="576" t="n">
        <v>0</v>
      </c>
      <c r="BP26" s="586" t="n">
        <v>0</v>
      </c>
      <c r="BQ26" s="586" t="n">
        <v>0</v>
      </c>
      <c r="BR26" s="586" t="n">
        <v>0</v>
      </c>
      <c r="BS26" s="576" t="n">
        <v>0</v>
      </c>
      <c r="BT26" s="586" t="n">
        <v>0</v>
      </c>
      <c r="BU26" s="586" t="n">
        <v>6</v>
      </c>
      <c r="BV26" s="588" t="n">
        <v>0</v>
      </c>
    </row>
    <row r="27" s="580" customFormat="true" ht="9.75" hidden="false" customHeight="true" outlineLevel="0" collapsed="false">
      <c r="A27" s="602"/>
      <c r="B27" s="581" t="s">
        <v>487</v>
      </c>
      <c r="C27" s="595" t="n">
        <v>1932406</v>
      </c>
      <c r="D27" s="583" t="n">
        <v>247037.471180569</v>
      </c>
      <c r="E27" s="595" t="n">
        <v>2341</v>
      </c>
      <c r="F27" s="583" t="n">
        <v>340.386933864</v>
      </c>
      <c r="G27" s="595" t="n">
        <v>1934747</v>
      </c>
      <c r="H27" s="583" t="n">
        <v>247377.858114433</v>
      </c>
      <c r="I27" s="595" t="n">
        <v>5835166</v>
      </c>
      <c r="J27" s="583" t="n">
        <v>62813.120524919</v>
      </c>
      <c r="K27" s="595" t="n">
        <v>316517</v>
      </c>
      <c r="L27" s="583" t="n">
        <v>253.192869412</v>
      </c>
      <c r="M27" s="595" t="n">
        <v>2644</v>
      </c>
      <c r="N27" s="583" t="n">
        <v>4.8095305862</v>
      </c>
      <c r="O27" s="595" t="n">
        <v>1573563</v>
      </c>
      <c r="P27" s="583" t="n">
        <v>1086.418450867</v>
      </c>
      <c r="Q27" s="595" t="n">
        <v>99507</v>
      </c>
      <c r="R27" s="583" t="n">
        <v>43.0284307395</v>
      </c>
      <c r="S27" s="595" t="n">
        <v>949594</v>
      </c>
      <c r="T27" s="583" t="n">
        <v>432.374792844</v>
      </c>
      <c r="U27" s="595" t="n">
        <v>144058</v>
      </c>
      <c r="V27" s="583" t="n">
        <v>51.1603580591</v>
      </c>
      <c r="W27" s="595" t="n">
        <v>3085883</v>
      </c>
      <c r="X27" s="583" t="n">
        <v>1870.9844325078</v>
      </c>
      <c r="Y27" s="583" t="n">
        <v>4549.504627576</v>
      </c>
      <c r="Z27" s="602"/>
      <c r="AA27" s="581" t="s">
        <v>487</v>
      </c>
      <c r="AB27" s="582" t="n">
        <v>33279278</v>
      </c>
      <c r="AC27" s="583" t="n">
        <v>28829.7155824</v>
      </c>
      <c r="AD27" s="582" t="n">
        <v>1184</v>
      </c>
      <c r="AE27" s="583" t="n">
        <v>2.5358919156</v>
      </c>
      <c r="AF27" s="582" t="n">
        <v>1419932</v>
      </c>
      <c r="AG27" s="583" t="n">
        <v>631.099460157</v>
      </c>
      <c r="AH27" s="582" t="n">
        <v>5966</v>
      </c>
      <c r="AI27" s="583" t="n">
        <v>1.8693407561</v>
      </c>
      <c r="AJ27" s="582" t="n">
        <v>2161268</v>
      </c>
      <c r="AK27" s="583" t="n">
        <v>451.088551377</v>
      </c>
      <c r="AL27" s="582" t="n">
        <v>14591</v>
      </c>
      <c r="AM27" s="583" t="n">
        <v>3.1422171569</v>
      </c>
      <c r="AN27" s="582" t="n">
        <v>36882219</v>
      </c>
      <c r="AO27" s="583" t="n">
        <v>29919.4510437626</v>
      </c>
      <c r="AP27" s="582" t="n">
        <v>478543</v>
      </c>
      <c r="AQ27" s="583" t="n">
        <v>303.9489433748</v>
      </c>
      <c r="AR27" s="582" t="n">
        <v>111181</v>
      </c>
      <c r="AS27" s="583" t="n">
        <v>19.17758089545</v>
      </c>
      <c r="AT27" s="582" t="n">
        <v>112205</v>
      </c>
      <c r="AU27" s="583" t="n">
        <v>131.22977873</v>
      </c>
      <c r="AV27" s="582" t="n">
        <v>71704</v>
      </c>
      <c r="AW27" s="583" t="n">
        <v>50.985178325</v>
      </c>
      <c r="AX27" s="602"/>
      <c r="AY27" s="581" t="s">
        <v>487</v>
      </c>
      <c r="AZ27" s="582" t="n">
        <v>91719</v>
      </c>
      <c r="BA27" s="583" t="n">
        <v>23.802481447</v>
      </c>
      <c r="BB27" s="582" t="n">
        <v>275628</v>
      </c>
      <c r="BC27" s="583" t="n">
        <v>206.017438502</v>
      </c>
      <c r="BD27" s="582" t="n">
        <v>40833454</v>
      </c>
      <c r="BE27" s="583" t="n">
        <v>32319.5794390426</v>
      </c>
      <c r="BF27" s="582" t="n">
        <v>1452870</v>
      </c>
      <c r="BG27" s="582" t="n">
        <v>18863270</v>
      </c>
      <c r="BH27" s="582" t="n">
        <v>440294</v>
      </c>
      <c r="BI27" s="582" t="n">
        <v>20756434</v>
      </c>
      <c r="BJ27" s="582" t="n">
        <v>2542136</v>
      </c>
      <c r="BK27" s="582" t="n">
        <v>4939028</v>
      </c>
      <c r="BL27" s="583" t="n">
        <v>6904.42174947</v>
      </c>
      <c r="BM27" s="582" t="n">
        <v>859401</v>
      </c>
      <c r="BN27" s="582" t="n">
        <v>735768301</v>
      </c>
      <c r="BO27" s="583" t="n">
        <v>120307.800947781</v>
      </c>
      <c r="BP27" s="582" t="n">
        <v>69907469</v>
      </c>
      <c r="BQ27" s="582" t="n">
        <v>8564</v>
      </c>
      <c r="BR27" s="582" t="n">
        <v>15834784</v>
      </c>
      <c r="BS27" s="583" t="n">
        <v>53027.6365005835</v>
      </c>
      <c r="BT27" s="582" t="n">
        <v>7169846</v>
      </c>
      <c r="BU27" s="582" t="n">
        <v>10603</v>
      </c>
      <c r="BV27" s="585" t="n">
        <v>65946</v>
      </c>
    </row>
    <row r="28" s="580" customFormat="true" ht="9.75" hidden="false" customHeight="true" outlineLevel="0" collapsed="false">
      <c r="A28" s="602"/>
      <c r="B28" s="469" t="s">
        <v>488</v>
      </c>
      <c r="C28" s="596" t="n">
        <v>194468</v>
      </c>
      <c r="D28" s="576" t="n">
        <v>27787.168570722</v>
      </c>
      <c r="E28" s="596" t="n">
        <v>78</v>
      </c>
      <c r="F28" s="576" t="n">
        <v>0.3919038</v>
      </c>
      <c r="G28" s="596" t="n">
        <v>194546</v>
      </c>
      <c r="H28" s="576" t="n">
        <v>27787.560474522</v>
      </c>
      <c r="I28" s="596" t="n">
        <v>1499747</v>
      </c>
      <c r="J28" s="576" t="n">
        <v>23319.043515085</v>
      </c>
      <c r="K28" s="596" t="n">
        <v>13073</v>
      </c>
      <c r="L28" s="576" t="n">
        <v>12.583919975</v>
      </c>
      <c r="M28" s="596" t="n">
        <v>84</v>
      </c>
      <c r="N28" s="576" t="n">
        <v>0.169938786</v>
      </c>
      <c r="O28" s="596" t="n">
        <v>356444</v>
      </c>
      <c r="P28" s="576" t="n">
        <v>153.268839749</v>
      </c>
      <c r="Q28" s="596" t="n">
        <v>2429</v>
      </c>
      <c r="R28" s="576" t="n">
        <v>0.785253091</v>
      </c>
      <c r="S28" s="596" t="n">
        <v>229149</v>
      </c>
      <c r="T28" s="576" t="n">
        <v>81.607472905</v>
      </c>
      <c r="U28" s="596" t="n">
        <v>17568</v>
      </c>
      <c r="V28" s="576" t="n">
        <v>3.625890914</v>
      </c>
      <c r="W28" s="596" t="n">
        <v>618747</v>
      </c>
      <c r="X28" s="576" t="n">
        <v>252.04131542</v>
      </c>
      <c r="Y28" s="576" t="n">
        <v>655.456298252</v>
      </c>
      <c r="Z28" s="602"/>
      <c r="AA28" s="469" t="s">
        <v>488</v>
      </c>
      <c r="AB28" s="586" t="n">
        <v>1591792</v>
      </c>
      <c r="AC28" s="576" t="n">
        <v>1538.717590042</v>
      </c>
      <c r="AD28" s="586" t="n">
        <v>1096</v>
      </c>
      <c r="AE28" s="576" t="n">
        <v>3.4753016485</v>
      </c>
      <c r="AF28" s="586" t="n">
        <v>164799</v>
      </c>
      <c r="AG28" s="576" t="n">
        <v>63.810194252</v>
      </c>
      <c r="AH28" s="586" t="n">
        <v>1123</v>
      </c>
      <c r="AI28" s="576" t="n">
        <v>1.594282587</v>
      </c>
      <c r="AJ28" s="586" t="n">
        <v>178503</v>
      </c>
      <c r="AK28" s="576" t="n">
        <v>54.889935975</v>
      </c>
      <c r="AL28" s="586" t="n">
        <v>4322</v>
      </c>
      <c r="AM28" s="576" t="n">
        <v>2.544393648</v>
      </c>
      <c r="AN28" s="586" t="n">
        <v>1941635</v>
      </c>
      <c r="AO28" s="576" t="n">
        <v>1665.0316981525</v>
      </c>
      <c r="AP28" s="586" t="n">
        <v>0</v>
      </c>
      <c r="AQ28" s="576" t="n">
        <v>0</v>
      </c>
      <c r="AR28" s="586" t="n">
        <v>1420</v>
      </c>
      <c r="AS28" s="576" t="n">
        <v>0.3350703629</v>
      </c>
      <c r="AT28" s="586" t="n">
        <v>15104</v>
      </c>
      <c r="AU28" s="576" t="n">
        <v>36.34752</v>
      </c>
      <c r="AV28" s="586" t="n">
        <v>0</v>
      </c>
      <c r="AW28" s="576" t="n">
        <v>0</v>
      </c>
      <c r="AX28" s="602"/>
      <c r="AY28" s="469" t="s">
        <v>488</v>
      </c>
      <c r="AZ28" s="586" t="n">
        <v>0</v>
      </c>
      <c r="BA28" s="576" t="n">
        <v>0</v>
      </c>
      <c r="BB28" s="586" t="n">
        <v>15104</v>
      </c>
      <c r="BC28" s="576" t="n">
        <v>36.34752</v>
      </c>
      <c r="BD28" s="586" t="n">
        <v>2576906</v>
      </c>
      <c r="BE28" s="576" t="n">
        <v>1953.7556039354</v>
      </c>
      <c r="BF28" s="586" t="n">
        <v>131864</v>
      </c>
      <c r="BG28" s="586" t="n">
        <v>325893</v>
      </c>
      <c r="BH28" s="586" t="n">
        <v>121436</v>
      </c>
      <c r="BI28" s="586" t="n">
        <v>579193</v>
      </c>
      <c r="BJ28" s="586" t="n">
        <v>200105</v>
      </c>
      <c r="BK28" s="586" t="n">
        <v>1142495</v>
      </c>
      <c r="BL28" s="576" t="n">
        <v>10712.752733798</v>
      </c>
      <c r="BM28" s="586" t="n">
        <v>0</v>
      </c>
      <c r="BN28" s="586" t="n">
        <v>0</v>
      </c>
      <c r="BO28" s="576" t="n">
        <v>0</v>
      </c>
      <c r="BP28" s="586" t="n">
        <v>0</v>
      </c>
      <c r="BQ28" s="586" t="n">
        <v>0</v>
      </c>
      <c r="BR28" s="586" t="n">
        <v>0</v>
      </c>
      <c r="BS28" s="576" t="n">
        <v>0</v>
      </c>
      <c r="BT28" s="586" t="n">
        <v>0</v>
      </c>
      <c r="BU28" s="586" t="n">
        <v>162</v>
      </c>
      <c r="BV28" s="588" t="n">
        <v>0</v>
      </c>
    </row>
    <row r="29" s="580" customFormat="true" ht="9.75" hidden="false" customHeight="true" outlineLevel="0" collapsed="false">
      <c r="A29" s="602"/>
      <c r="B29" s="597" t="s">
        <v>175</v>
      </c>
      <c r="C29" s="598" t="n">
        <v>2791093</v>
      </c>
      <c r="D29" s="599" t="n">
        <v>405509.32414841</v>
      </c>
      <c r="E29" s="598" t="n">
        <v>38582</v>
      </c>
      <c r="F29" s="599" t="n">
        <v>1944.953509233</v>
      </c>
      <c r="G29" s="598" t="n">
        <v>2829675</v>
      </c>
      <c r="H29" s="599" t="n">
        <v>407454.277657643</v>
      </c>
      <c r="I29" s="598" t="n">
        <v>7731747</v>
      </c>
      <c r="J29" s="599" t="n">
        <v>92307.050561579</v>
      </c>
      <c r="K29" s="598" t="n">
        <v>335756</v>
      </c>
      <c r="L29" s="599" t="n">
        <v>272.628367187</v>
      </c>
      <c r="M29" s="598" t="n">
        <v>2728</v>
      </c>
      <c r="N29" s="599" t="n">
        <v>4.9794693722</v>
      </c>
      <c r="O29" s="598" t="n">
        <v>1937812</v>
      </c>
      <c r="P29" s="599" t="n">
        <v>1243.359318027</v>
      </c>
      <c r="Q29" s="598" t="n">
        <v>102018</v>
      </c>
      <c r="R29" s="599" t="n">
        <v>43.8413039755</v>
      </c>
      <c r="S29" s="598" t="n">
        <v>1182096</v>
      </c>
      <c r="T29" s="599" t="n">
        <v>515.363289549</v>
      </c>
      <c r="U29" s="598" t="n">
        <v>161626</v>
      </c>
      <c r="V29" s="599" t="n">
        <v>54.7862489731</v>
      </c>
      <c r="W29" s="598" t="n">
        <v>3722036</v>
      </c>
      <c r="X29" s="599" t="n">
        <v>2134.9579970838</v>
      </c>
      <c r="Y29" s="599" t="n">
        <v>5231.133575291</v>
      </c>
      <c r="Z29" s="602"/>
      <c r="AA29" s="597" t="s">
        <v>175</v>
      </c>
      <c r="AB29" s="600" t="n">
        <v>35839625</v>
      </c>
      <c r="AC29" s="599" t="n">
        <v>31366.853764542</v>
      </c>
      <c r="AD29" s="600" t="n">
        <v>2280</v>
      </c>
      <c r="AE29" s="599" t="n">
        <v>6.0111935641</v>
      </c>
      <c r="AF29" s="600" t="n">
        <v>1716540</v>
      </c>
      <c r="AG29" s="599" t="n">
        <v>737.780074529</v>
      </c>
      <c r="AH29" s="600" t="n">
        <v>7089</v>
      </c>
      <c r="AI29" s="599" t="n">
        <v>3.4636233431</v>
      </c>
      <c r="AJ29" s="600" t="n">
        <v>2445527</v>
      </c>
      <c r="AK29" s="599" t="n">
        <v>538.905242652</v>
      </c>
      <c r="AL29" s="600" t="n">
        <v>18913</v>
      </c>
      <c r="AM29" s="599" t="n">
        <v>5.6866108049</v>
      </c>
      <c r="AN29" s="600" t="n">
        <v>40029974</v>
      </c>
      <c r="AO29" s="599" t="n">
        <v>32658.7005094351</v>
      </c>
      <c r="AP29" s="600" t="n">
        <v>487532</v>
      </c>
      <c r="AQ29" s="599" t="n">
        <v>317.4212433838</v>
      </c>
      <c r="AR29" s="600" t="n">
        <v>112601</v>
      </c>
      <c r="AS29" s="599" t="n">
        <v>19.51265125835</v>
      </c>
      <c r="AT29" s="600" t="n">
        <v>127309</v>
      </c>
      <c r="AU29" s="599" t="n">
        <v>167.57729873</v>
      </c>
      <c r="AV29" s="600" t="n">
        <v>71704</v>
      </c>
      <c r="AW29" s="599" t="n">
        <v>50.985178325</v>
      </c>
      <c r="AX29" s="602"/>
      <c r="AY29" s="597" t="s">
        <v>175</v>
      </c>
      <c r="AZ29" s="600" t="n">
        <v>91719</v>
      </c>
      <c r="BA29" s="599" t="n">
        <v>23.802481447</v>
      </c>
      <c r="BB29" s="600" t="n">
        <v>290732</v>
      </c>
      <c r="BC29" s="599" t="n">
        <v>242.364958502</v>
      </c>
      <c r="BD29" s="600" t="n">
        <v>44642875</v>
      </c>
      <c r="BE29" s="599" t="n">
        <v>35353.121655574</v>
      </c>
      <c r="BF29" s="600" t="n">
        <v>1593697</v>
      </c>
      <c r="BG29" s="600" t="n">
        <v>19725783</v>
      </c>
      <c r="BH29" s="600" t="n">
        <v>586230</v>
      </c>
      <c r="BI29" s="600" t="n">
        <v>21905710</v>
      </c>
      <c r="BJ29" s="600" t="n">
        <v>2742241</v>
      </c>
      <c r="BK29" s="600" t="n">
        <v>6081523</v>
      </c>
      <c r="BL29" s="599" t="n">
        <v>17617.174483268</v>
      </c>
      <c r="BM29" s="600" t="n">
        <v>998491</v>
      </c>
      <c r="BN29" s="600" t="n">
        <v>755425779</v>
      </c>
      <c r="BO29" s="599" t="n">
        <v>121235.764295381</v>
      </c>
      <c r="BP29" s="600" t="n">
        <v>88797075</v>
      </c>
      <c r="BQ29" s="600" t="n">
        <v>8812</v>
      </c>
      <c r="BR29" s="600" t="n">
        <v>16143488</v>
      </c>
      <c r="BS29" s="599" t="n">
        <v>53563.9468817835</v>
      </c>
      <c r="BT29" s="600" t="n">
        <v>7357471</v>
      </c>
      <c r="BU29" s="600" t="n">
        <v>11047</v>
      </c>
      <c r="BV29" s="601" t="n">
        <v>65946</v>
      </c>
    </row>
    <row r="30" s="436" customFormat="true" ht="9.75" hidden="false" customHeight="true" outlineLevel="0" collapsed="false">
      <c r="A30" s="572" t="s">
        <v>222</v>
      </c>
      <c r="B30" s="605" t="s">
        <v>485</v>
      </c>
      <c r="C30" s="500" t="n">
        <v>346857</v>
      </c>
      <c r="D30" s="606" t="n">
        <v>50109.858427625</v>
      </c>
      <c r="E30" s="500" t="n">
        <v>13095</v>
      </c>
      <c r="F30" s="606" t="n">
        <v>632.028952995</v>
      </c>
      <c r="G30" s="500" t="n">
        <v>359952</v>
      </c>
      <c r="H30" s="606" t="n">
        <v>50741.88738062</v>
      </c>
      <c r="I30" s="500" t="n">
        <v>285792</v>
      </c>
      <c r="J30" s="606" t="n">
        <v>1329.210017801</v>
      </c>
      <c r="K30" s="500" t="n">
        <v>6067</v>
      </c>
      <c r="L30" s="606" t="n">
        <v>6.1270227</v>
      </c>
      <c r="M30" s="500" t="n">
        <v>0</v>
      </c>
      <c r="N30" s="606" t="n">
        <v>0</v>
      </c>
      <c r="O30" s="500" t="n">
        <v>3908</v>
      </c>
      <c r="P30" s="606" t="n">
        <v>1.25882529</v>
      </c>
      <c r="Q30" s="500" t="n">
        <v>83</v>
      </c>
      <c r="R30" s="606" t="n">
        <v>0.059159</v>
      </c>
      <c r="S30" s="500" t="n">
        <v>758</v>
      </c>
      <c r="T30" s="606" t="n">
        <v>0.1087698</v>
      </c>
      <c r="U30" s="500" t="n">
        <v>0</v>
      </c>
      <c r="V30" s="606" t="n">
        <v>0</v>
      </c>
      <c r="W30" s="500" t="n">
        <v>10816</v>
      </c>
      <c r="X30" s="606" t="n">
        <v>7.55377679</v>
      </c>
      <c r="Y30" s="606" t="n">
        <v>26.499326679</v>
      </c>
      <c r="Z30" s="572" t="s">
        <v>222</v>
      </c>
      <c r="AA30" s="605" t="s">
        <v>485</v>
      </c>
      <c r="AB30" s="574" t="n">
        <v>421285</v>
      </c>
      <c r="AC30" s="575" t="n">
        <v>383.8128496</v>
      </c>
      <c r="AD30" s="574" t="n">
        <v>0</v>
      </c>
      <c r="AE30" s="575" t="n">
        <v>0</v>
      </c>
      <c r="AF30" s="574" t="n">
        <v>24133</v>
      </c>
      <c r="AG30" s="575" t="n">
        <v>6.271102731</v>
      </c>
      <c r="AH30" s="574" t="n">
        <v>0</v>
      </c>
      <c r="AI30" s="575" t="n">
        <v>0</v>
      </c>
      <c r="AJ30" s="574" t="n">
        <v>3699</v>
      </c>
      <c r="AK30" s="575" t="n">
        <v>0.271337</v>
      </c>
      <c r="AL30" s="574" t="n">
        <v>0</v>
      </c>
      <c r="AM30" s="575" t="n">
        <v>0</v>
      </c>
      <c r="AN30" s="574" t="n">
        <v>449117</v>
      </c>
      <c r="AO30" s="575" t="n">
        <v>390.355289331</v>
      </c>
      <c r="AP30" s="574" t="n">
        <v>2652</v>
      </c>
      <c r="AQ30" s="575" t="n">
        <v>2.612855613</v>
      </c>
      <c r="AR30" s="574" t="n">
        <v>0</v>
      </c>
      <c r="AS30" s="575" t="n">
        <v>0</v>
      </c>
      <c r="AT30" s="574" t="n">
        <v>0</v>
      </c>
      <c r="AU30" s="575" t="n">
        <v>0</v>
      </c>
      <c r="AV30" s="574" t="n">
        <v>0</v>
      </c>
      <c r="AW30" s="575" t="n">
        <v>0</v>
      </c>
      <c r="AX30" s="572" t="s">
        <v>222</v>
      </c>
      <c r="AY30" s="605" t="s">
        <v>485</v>
      </c>
      <c r="AZ30" s="436" t="n">
        <v>0</v>
      </c>
      <c r="BA30" s="606" t="n">
        <v>0</v>
      </c>
      <c r="BB30" s="436" t="n">
        <v>0</v>
      </c>
      <c r="BC30" s="606" t="n">
        <v>0</v>
      </c>
      <c r="BD30" s="436" t="n">
        <v>462585</v>
      </c>
      <c r="BE30" s="606" t="n">
        <v>400.521921734</v>
      </c>
      <c r="BF30" s="436" t="n">
        <v>8697</v>
      </c>
      <c r="BG30" s="436" t="n">
        <v>509971</v>
      </c>
      <c r="BH30" s="436" t="n">
        <v>24387</v>
      </c>
      <c r="BI30" s="436" t="n">
        <v>543055</v>
      </c>
      <c r="BJ30" s="436" t="n">
        <v>0</v>
      </c>
      <c r="BK30" s="436" t="n">
        <v>0</v>
      </c>
      <c r="BL30" s="606" t="n">
        <v>0</v>
      </c>
      <c r="BM30" s="436" t="n">
        <v>138212</v>
      </c>
      <c r="BN30" s="436" t="n">
        <v>476023</v>
      </c>
      <c r="BO30" s="606" t="n">
        <v>135.8072477</v>
      </c>
      <c r="BP30" s="436" t="n">
        <v>18480868</v>
      </c>
      <c r="BQ30" s="436" t="n">
        <v>245</v>
      </c>
      <c r="BR30" s="436" t="n">
        <v>145137</v>
      </c>
      <c r="BS30" s="606" t="n">
        <v>233.9847351</v>
      </c>
      <c r="BT30" s="436" t="n">
        <v>171366</v>
      </c>
      <c r="BU30" s="436" t="n">
        <v>275</v>
      </c>
      <c r="BV30" s="607" t="n">
        <v>0</v>
      </c>
    </row>
    <row r="31" s="222" customFormat="true" ht="9.75" hidden="false" customHeight="true" outlineLevel="0" collapsed="false">
      <c r="A31" s="572"/>
      <c r="B31" s="608" t="s">
        <v>486</v>
      </c>
      <c r="C31" s="609" t="n">
        <v>13101</v>
      </c>
      <c r="D31" s="610" t="n">
        <v>925.977916567</v>
      </c>
      <c r="E31" s="609" t="n">
        <v>923</v>
      </c>
      <c r="F31" s="610" t="n">
        <v>12.3400962</v>
      </c>
      <c r="G31" s="609" t="n">
        <v>14024</v>
      </c>
      <c r="H31" s="610" t="n">
        <v>938.318012767</v>
      </c>
      <c r="I31" s="609" t="n">
        <v>657</v>
      </c>
      <c r="J31" s="610" t="n">
        <v>113.766576894</v>
      </c>
      <c r="K31" s="609" t="n">
        <v>0</v>
      </c>
      <c r="L31" s="610" t="n">
        <v>0</v>
      </c>
      <c r="M31" s="609" t="n">
        <v>0</v>
      </c>
      <c r="N31" s="610" t="n">
        <v>0</v>
      </c>
      <c r="O31" s="609" t="n">
        <v>0</v>
      </c>
      <c r="P31" s="610" t="n">
        <v>0</v>
      </c>
      <c r="Q31" s="609" t="n">
        <v>0</v>
      </c>
      <c r="R31" s="610" t="n">
        <v>0</v>
      </c>
      <c r="S31" s="609" t="n">
        <v>0</v>
      </c>
      <c r="T31" s="610" t="n">
        <v>0</v>
      </c>
      <c r="U31" s="609" t="n">
        <v>0</v>
      </c>
      <c r="V31" s="610" t="n">
        <v>0</v>
      </c>
      <c r="W31" s="609" t="n">
        <v>0</v>
      </c>
      <c r="X31" s="610" t="n">
        <v>0</v>
      </c>
      <c r="Y31" s="610" t="n">
        <v>0</v>
      </c>
      <c r="Z31" s="572"/>
      <c r="AA31" s="608" t="s">
        <v>486</v>
      </c>
      <c r="AB31" s="582" t="n">
        <v>4211</v>
      </c>
      <c r="AC31" s="583" t="n">
        <v>3.53512</v>
      </c>
      <c r="AD31" s="582" t="n">
        <v>0</v>
      </c>
      <c r="AE31" s="583" t="n">
        <v>0</v>
      </c>
      <c r="AF31" s="582" t="n">
        <v>250</v>
      </c>
      <c r="AG31" s="583" t="n">
        <v>0.094920611</v>
      </c>
      <c r="AH31" s="582" t="n">
        <v>0</v>
      </c>
      <c r="AI31" s="583" t="n">
        <v>0</v>
      </c>
      <c r="AJ31" s="582" t="n">
        <v>0</v>
      </c>
      <c r="AK31" s="583" t="n">
        <v>0</v>
      </c>
      <c r="AL31" s="582" t="n">
        <v>0</v>
      </c>
      <c r="AM31" s="583" t="n">
        <v>0</v>
      </c>
      <c r="AN31" s="582" t="n">
        <v>4461</v>
      </c>
      <c r="AO31" s="583" t="n">
        <v>3.630040611</v>
      </c>
      <c r="AP31" s="582" t="n">
        <v>0</v>
      </c>
      <c r="AQ31" s="583" t="n">
        <v>0</v>
      </c>
      <c r="AR31" s="582" t="n">
        <v>0</v>
      </c>
      <c r="AS31" s="583" t="n">
        <v>0</v>
      </c>
      <c r="AT31" s="582" t="n">
        <v>0</v>
      </c>
      <c r="AU31" s="583" t="n">
        <v>0</v>
      </c>
      <c r="AV31" s="582" t="n">
        <v>0</v>
      </c>
      <c r="AW31" s="583" t="n">
        <v>0</v>
      </c>
      <c r="AX31" s="572"/>
      <c r="AY31" s="608" t="s">
        <v>486</v>
      </c>
      <c r="AZ31" s="611" t="n">
        <v>0</v>
      </c>
      <c r="BA31" s="610" t="n">
        <v>0</v>
      </c>
      <c r="BB31" s="611" t="n">
        <v>0</v>
      </c>
      <c r="BC31" s="610" t="n">
        <v>0</v>
      </c>
      <c r="BD31" s="611" t="n">
        <v>4461</v>
      </c>
      <c r="BE31" s="610" t="n">
        <v>3.630040611</v>
      </c>
      <c r="BF31" s="611" t="n">
        <v>0</v>
      </c>
      <c r="BG31" s="611" t="n">
        <v>7362</v>
      </c>
      <c r="BH31" s="611" t="n">
        <v>0</v>
      </c>
      <c r="BI31" s="611" t="n">
        <v>7362</v>
      </c>
      <c r="BJ31" s="611" t="n">
        <v>0</v>
      </c>
      <c r="BK31" s="611" t="n">
        <v>0</v>
      </c>
      <c r="BL31" s="610" t="n">
        <v>0</v>
      </c>
      <c r="BM31" s="611" t="n">
        <v>0</v>
      </c>
      <c r="BN31" s="611" t="n">
        <v>0</v>
      </c>
      <c r="BO31" s="610" t="n">
        <v>0</v>
      </c>
      <c r="BP31" s="611" t="n">
        <v>0</v>
      </c>
      <c r="BQ31" s="611" t="n">
        <v>0</v>
      </c>
      <c r="BR31" s="611" t="n">
        <v>0</v>
      </c>
      <c r="BS31" s="610" t="n">
        <v>0</v>
      </c>
      <c r="BT31" s="611" t="n">
        <v>0</v>
      </c>
      <c r="BU31" s="611" t="n">
        <v>6</v>
      </c>
      <c r="BV31" s="612" t="n">
        <v>0</v>
      </c>
    </row>
    <row r="32" s="436" customFormat="true" ht="9.75" hidden="false" customHeight="true" outlineLevel="0" collapsed="false">
      <c r="A32" s="572"/>
      <c r="B32" s="613" t="s">
        <v>487</v>
      </c>
      <c r="C32" s="500" t="n">
        <v>1408379</v>
      </c>
      <c r="D32" s="606" t="n">
        <v>126604.869106529</v>
      </c>
      <c r="E32" s="500" t="n">
        <v>822</v>
      </c>
      <c r="F32" s="606" t="n">
        <v>75.916185874</v>
      </c>
      <c r="G32" s="500" t="n">
        <v>1409201</v>
      </c>
      <c r="H32" s="606" t="n">
        <v>126680.785292403</v>
      </c>
      <c r="I32" s="500" t="n">
        <v>1521862</v>
      </c>
      <c r="J32" s="606" t="n">
        <v>10103.814896615</v>
      </c>
      <c r="K32" s="500" t="n">
        <v>207732</v>
      </c>
      <c r="L32" s="606" t="n">
        <v>141.978750063</v>
      </c>
      <c r="M32" s="500" t="n">
        <v>2289</v>
      </c>
      <c r="N32" s="606" t="n">
        <v>3.73150123055</v>
      </c>
      <c r="O32" s="500" t="n">
        <v>1158599</v>
      </c>
      <c r="P32" s="606" t="n">
        <v>666.511847571</v>
      </c>
      <c r="Q32" s="500" t="n">
        <v>87293</v>
      </c>
      <c r="R32" s="606" t="n">
        <v>55.8670146204</v>
      </c>
      <c r="S32" s="500" t="n">
        <v>259470</v>
      </c>
      <c r="T32" s="606" t="n">
        <v>84.940573388</v>
      </c>
      <c r="U32" s="500" t="n">
        <v>73643</v>
      </c>
      <c r="V32" s="606" t="n">
        <v>26.19355317045</v>
      </c>
      <c r="W32" s="500" t="n">
        <v>1789026</v>
      </c>
      <c r="X32" s="606" t="n">
        <v>979.2232400434</v>
      </c>
      <c r="Y32" s="606" t="n">
        <v>4787.932027499</v>
      </c>
      <c r="Z32" s="572"/>
      <c r="AA32" s="613" t="s">
        <v>487</v>
      </c>
      <c r="AB32" s="586" t="n">
        <v>16247847</v>
      </c>
      <c r="AC32" s="576" t="n">
        <v>13475.94854822</v>
      </c>
      <c r="AD32" s="586" t="n">
        <v>1044</v>
      </c>
      <c r="AE32" s="576" t="n">
        <v>2.36226382295</v>
      </c>
      <c r="AF32" s="586" t="n">
        <v>771631</v>
      </c>
      <c r="AG32" s="576" t="n">
        <v>476.243201103</v>
      </c>
      <c r="AH32" s="586" t="n">
        <v>4863</v>
      </c>
      <c r="AI32" s="576" t="n">
        <v>3.0741633616</v>
      </c>
      <c r="AJ32" s="586" t="n">
        <v>654224</v>
      </c>
      <c r="AK32" s="576" t="n">
        <v>64.415119947</v>
      </c>
      <c r="AL32" s="586" t="n">
        <v>8533</v>
      </c>
      <c r="AM32" s="576" t="n">
        <v>1.93381659465</v>
      </c>
      <c r="AN32" s="586" t="n">
        <v>17688142</v>
      </c>
      <c r="AO32" s="576" t="n">
        <v>14023.9771130492</v>
      </c>
      <c r="AP32" s="586" t="n">
        <v>170070</v>
      </c>
      <c r="AQ32" s="576" t="n">
        <v>123.2564879658</v>
      </c>
      <c r="AR32" s="586" t="n">
        <v>80994</v>
      </c>
      <c r="AS32" s="576" t="n">
        <v>16.60563116315</v>
      </c>
      <c r="AT32" s="586" t="n">
        <v>57192</v>
      </c>
      <c r="AU32" s="576" t="n">
        <v>60.044189312</v>
      </c>
      <c r="AV32" s="586" t="n">
        <v>72840</v>
      </c>
      <c r="AW32" s="576" t="n">
        <v>60.068822452</v>
      </c>
      <c r="AX32" s="572"/>
      <c r="AY32" s="613" t="s">
        <v>487</v>
      </c>
      <c r="AZ32" s="436" t="n">
        <v>28583</v>
      </c>
      <c r="BA32" s="606" t="n">
        <v>8.58906703</v>
      </c>
      <c r="BB32" s="436" t="n">
        <v>158615</v>
      </c>
      <c r="BC32" s="606" t="n">
        <v>128.702078794</v>
      </c>
      <c r="BD32" s="436" t="n">
        <v>19886847</v>
      </c>
      <c r="BE32" s="606" t="n">
        <v>15271.7645510155</v>
      </c>
      <c r="BF32" s="436" t="n">
        <v>1453595</v>
      </c>
      <c r="BG32" s="436" t="n">
        <v>18457946</v>
      </c>
      <c r="BH32" s="436" t="n">
        <v>349964</v>
      </c>
      <c r="BI32" s="436" t="n">
        <v>20261505</v>
      </c>
      <c r="BJ32" s="436" t="n">
        <v>2448104</v>
      </c>
      <c r="BK32" s="436" t="n">
        <v>1458700</v>
      </c>
      <c r="BL32" s="606" t="n">
        <v>2029.996331656</v>
      </c>
      <c r="BM32" s="436" t="n">
        <v>855288</v>
      </c>
      <c r="BN32" s="436" t="n">
        <v>235382491</v>
      </c>
      <c r="BO32" s="606" t="n">
        <v>39649.460720087</v>
      </c>
      <c r="BP32" s="436" t="n">
        <v>64094882</v>
      </c>
      <c r="BQ32" s="436" t="n">
        <v>8102</v>
      </c>
      <c r="BR32" s="436" t="n">
        <v>6489345</v>
      </c>
      <c r="BS32" s="606" t="n">
        <v>18304.122379605</v>
      </c>
      <c r="BT32" s="436" t="n">
        <v>6313782</v>
      </c>
      <c r="BU32" s="436" t="n">
        <v>10589</v>
      </c>
      <c r="BV32" s="614" t="n">
        <v>65106</v>
      </c>
    </row>
    <row r="33" s="436" customFormat="true" ht="9.75" hidden="false" customHeight="true" outlineLevel="0" collapsed="false">
      <c r="A33" s="572"/>
      <c r="B33" s="615" t="s">
        <v>488</v>
      </c>
      <c r="C33" s="609" t="n">
        <v>130312</v>
      </c>
      <c r="D33" s="610" t="n">
        <v>13083.597967716</v>
      </c>
      <c r="E33" s="609" t="n">
        <v>84</v>
      </c>
      <c r="F33" s="610" t="n">
        <v>0.1790709</v>
      </c>
      <c r="G33" s="609" t="n">
        <v>130396</v>
      </c>
      <c r="H33" s="610" t="n">
        <v>13083.777038616</v>
      </c>
      <c r="I33" s="609" t="n">
        <v>435521</v>
      </c>
      <c r="J33" s="610" t="n">
        <v>4202.54580042</v>
      </c>
      <c r="K33" s="609" t="n">
        <v>10772</v>
      </c>
      <c r="L33" s="610" t="n">
        <v>9.178096001</v>
      </c>
      <c r="M33" s="609" t="n">
        <v>88</v>
      </c>
      <c r="N33" s="610" t="n">
        <v>0.120223912</v>
      </c>
      <c r="O33" s="609" t="n">
        <v>296197</v>
      </c>
      <c r="P33" s="610" t="n">
        <v>115.477698186</v>
      </c>
      <c r="Q33" s="609" t="n">
        <v>3186</v>
      </c>
      <c r="R33" s="610" t="n">
        <v>1.493370899</v>
      </c>
      <c r="S33" s="609" t="n">
        <v>70257</v>
      </c>
      <c r="T33" s="610" t="n">
        <v>20.402352863</v>
      </c>
      <c r="U33" s="609" t="n">
        <v>6228</v>
      </c>
      <c r="V33" s="610" t="n">
        <v>1.59877173</v>
      </c>
      <c r="W33" s="609" t="n">
        <v>386728</v>
      </c>
      <c r="X33" s="610" t="n">
        <v>148.270513591</v>
      </c>
      <c r="Y33" s="610" t="n">
        <v>724.108837153</v>
      </c>
      <c r="Z33" s="572"/>
      <c r="AA33" s="615" t="s">
        <v>488</v>
      </c>
      <c r="AB33" s="582" t="n">
        <v>802384</v>
      </c>
      <c r="AC33" s="583" t="n">
        <v>668.924206082</v>
      </c>
      <c r="AD33" s="582" t="n">
        <v>667</v>
      </c>
      <c r="AE33" s="583" t="n">
        <v>1.916748503</v>
      </c>
      <c r="AF33" s="582" t="n">
        <v>132978</v>
      </c>
      <c r="AG33" s="583" t="n">
        <v>40.121858377</v>
      </c>
      <c r="AH33" s="582" t="n">
        <v>1121</v>
      </c>
      <c r="AI33" s="583" t="n">
        <v>1.513464816</v>
      </c>
      <c r="AJ33" s="582" t="n">
        <v>32532</v>
      </c>
      <c r="AK33" s="583" t="n">
        <v>4.976439978</v>
      </c>
      <c r="AL33" s="582" t="n">
        <v>1751</v>
      </c>
      <c r="AM33" s="583" t="n">
        <v>1.28425988</v>
      </c>
      <c r="AN33" s="582" t="n">
        <v>971433</v>
      </c>
      <c r="AO33" s="583" t="n">
        <v>718.736977636</v>
      </c>
      <c r="AP33" s="582" t="n">
        <v>0</v>
      </c>
      <c r="AQ33" s="583" t="n">
        <v>0</v>
      </c>
      <c r="AR33" s="582" t="n">
        <v>9302</v>
      </c>
      <c r="AS33" s="583" t="n">
        <v>3.624021878</v>
      </c>
      <c r="AT33" s="582" t="n">
        <v>10930</v>
      </c>
      <c r="AU33" s="583" t="n">
        <v>22.44262</v>
      </c>
      <c r="AV33" s="582" t="n">
        <v>0</v>
      </c>
      <c r="AW33" s="583" t="n">
        <v>0</v>
      </c>
      <c r="AX33" s="572"/>
      <c r="AY33" s="615" t="s">
        <v>488</v>
      </c>
      <c r="AZ33" s="611" t="n">
        <v>0</v>
      </c>
      <c r="BA33" s="610" t="n">
        <v>0</v>
      </c>
      <c r="BB33" s="611" t="n">
        <v>10930</v>
      </c>
      <c r="BC33" s="610" t="n">
        <v>22.44262</v>
      </c>
      <c r="BD33" s="611" t="n">
        <v>1378393</v>
      </c>
      <c r="BE33" s="610" t="n">
        <v>893.074133105</v>
      </c>
      <c r="BF33" s="611" t="n">
        <v>136837</v>
      </c>
      <c r="BG33" s="611" t="n">
        <v>324848</v>
      </c>
      <c r="BH33" s="611" t="n">
        <v>121440</v>
      </c>
      <c r="BI33" s="611" t="n">
        <v>583125</v>
      </c>
      <c r="BJ33" s="611" t="n">
        <v>200577</v>
      </c>
      <c r="BK33" s="611" t="n">
        <v>389904</v>
      </c>
      <c r="BL33" s="610" t="n">
        <v>4557.998285957</v>
      </c>
      <c r="BM33" s="611" t="n">
        <v>0</v>
      </c>
      <c r="BN33" s="611" t="n">
        <v>0</v>
      </c>
      <c r="BO33" s="610" t="n">
        <v>0</v>
      </c>
      <c r="BP33" s="611" t="n">
        <v>0</v>
      </c>
      <c r="BQ33" s="611" t="n">
        <v>0</v>
      </c>
      <c r="BR33" s="611" t="n">
        <v>0</v>
      </c>
      <c r="BS33" s="610" t="n">
        <v>0</v>
      </c>
      <c r="BT33" s="611" t="n">
        <v>0</v>
      </c>
      <c r="BU33" s="611" t="n">
        <v>161</v>
      </c>
      <c r="BV33" s="612" t="n">
        <v>0</v>
      </c>
    </row>
    <row r="34" s="580" customFormat="true" ht="9.75" hidden="false" customHeight="true" outlineLevel="0" collapsed="false">
      <c r="A34" s="572"/>
      <c r="B34" s="589" t="s">
        <v>175</v>
      </c>
      <c r="C34" s="616" t="n">
        <v>1898649</v>
      </c>
      <c r="D34" s="617" t="n">
        <v>190724.303418437</v>
      </c>
      <c r="E34" s="616" t="n">
        <v>14924</v>
      </c>
      <c r="F34" s="617" t="n">
        <v>720.464305969</v>
      </c>
      <c r="G34" s="616" t="n">
        <v>1913573</v>
      </c>
      <c r="H34" s="617" t="n">
        <v>191444.767724406</v>
      </c>
      <c r="I34" s="616" t="n">
        <v>2243832</v>
      </c>
      <c r="J34" s="617" t="n">
        <v>15749.33729173</v>
      </c>
      <c r="K34" s="616" t="n">
        <v>224571</v>
      </c>
      <c r="L34" s="617" t="n">
        <v>157.283868764</v>
      </c>
      <c r="M34" s="616" t="n">
        <v>2377</v>
      </c>
      <c r="N34" s="617" t="n">
        <v>3.85172514255</v>
      </c>
      <c r="O34" s="616" t="n">
        <v>1458704</v>
      </c>
      <c r="P34" s="617" t="n">
        <v>783.248371047</v>
      </c>
      <c r="Q34" s="616" t="n">
        <v>90562</v>
      </c>
      <c r="R34" s="617" t="n">
        <v>57.4195445194</v>
      </c>
      <c r="S34" s="616" t="n">
        <v>330485</v>
      </c>
      <c r="T34" s="617" t="n">
        <v>105.451696051</v>
      </c>
      <c r="U34" s="616" t="n">
        <v>79871</v>
      </c>
      <c r="V34" s="617" t="n">
        <v>27.79232490045</v>
      </c>
      <c r="W34" s="616" t="n">
        <v>2186570</v>
      </c>
      <c r="X34" s="617" t="n">
        <v>1135.0475304244</v>
      </c>
      <c r="Y34" s="617" t="n">
        <v>5538.540191331</v>
      </c>
      <c r="Z34" s="572"/>
      <c r="AA34" s="589" t="s">
        <v>175</v>
      </c>
      <c r="AB34" s="590" t="n">
        <v>17475727</v>
      </c>
      <c r="AC34" s="591" t="n">
        <v>14532.220723902</v>
      </c>
      <c r="AD34" s="590" t="n">
        <v>1711</v>
      </c>
      <c r="AE34" s="591" t="n">
        <v>4.27901232595</v>
      </c>
      <c r="AF34" s="590" t="n">
        <v>928992</v>
      </c>
      <c r="AG34" s="591" t="n">
        <v>522.731082822</v>
      </c>
      <c r="AH34" s="590" t="n">
        <v>5984</v>
      </c>
      <c r="AI34" s="591" t="n">
        <v>4.5876281776</v>
      </c>
      <c r="AJ34" s="590" t="n">
        <v>690455</v>
      </c>
      <c r="AK34" s="591" t="n">
        <v>69.662896925</v>
      </c>
      <c r="AL34" s="590" t="n">
        <v>10284</v>
      </c>
      <c r="AM34" s="591" t="n">
        <v>3.21807647465</v>
      </c>
      <c r="AN34" s="590" t="n">
        <v>19113153</v>
      </c>
      <c r="AO34" s="591" t="n">
        <v>15136.6994206272</v>
      </c>
      <c r="AP34" s="590" t="n">
        <v>172722</v>
      </c>
      <c r="AQ34" s="591" t="n">
        <v>125.8693435788</v>
      </c>
      <c r="AR34" s="590" t="n">
        <v>90296</v>
      </c>
      <c r="AS34" s="591" t="n">
        <v>20.22965304115</v>
      </c>
      <c r="AT34" s="590" t="n">
        <v>68122</v>
      </c>
      <c r="AU34" s="591" t="n">
        <v>82.486809312</v>
      </c>
      <c r="AV34" s="590" t="n">
        <v>72840</v>
      </c>
      <c r="AW34" s="591" t="n">
        <v>60.068822452</v>
      </c>
      <c r="AX34" s="572"/>
      <c r="AY34" s="589" t="s">
        <v>175</v>
      </c>
      <c r="AZ34" s="580" t="n">
        <v>28583</v>
      </c>
      <c r="BA34" s="617" t="n">
        <v>8.58906703</v>
      </c>
      <c r="BB34" s="580" t="n">
        <v>169545</v>
      </c>
      <c r="BC34" s="617" t="n">
        <v>151.144698794</v>
      </c>
      <c r="BD34" s="580" t="n">
        <v>21732286</v>
      </c>
      <c r="BE34" s="617" t="n">
        <v>16568.9906464655</v>
      </c>
      <c r="BF34" s="580" t="n">
        <v>1599129</v>
      </c>
      <c r="BG34" s="580" t="n">
        <v>19300127</v>
      </c>
      <c r="BH34" s="580" t="n">
        <v>495791</v>
      </c>
      <c r="BI34" s="580" t="n">
        <v>21395047</v>
      </c>
      <c r="BJ34" s="580" t="n">
        <v>2648681</v>
      </c>
      <c r="BK34" s="580" t="n">
        <v>1848604</v>
      </c>
      <c r="BL34" s="617" t="n">
        <v>6587.994617613</v>
      </c>
      <c r="BM34" s="580" t="n">
        <v>993500</v>
      </c>
      <c r="BN34" s="580" t="n">
        <v>235858514</v>
      </c>
      <c r="BO34" s="617" t="n">
        <v>39785.267967787</v>
      </c>
      <c r="BP34" s="580" t="n">
        <v>82575750</v>
      </c>
      <c r="BQ34" s="580" t="n">
        <v>8347</v>
      </c>
      <c r="BR34" s="580" t="n">
        <v>6634482</v>
      </c>
      <c r="BS34" s="617" t="n">
        <v>18538.107114705</v>
      </c>
      <c r="BT34" s="580" t="n">
        <v>6485148</v>
      </c>
      <c r="BU34" s="580" t="n">
        <v>11031</v>
      </c>
      <c r="BV34" s="618" t="n">
        <v>65106</v>
      </c>
    </row>
    <row r="35" s="580" customFormat="true" ht="9.75" hidden="false" customHeight="true" outlineLevel="0" collapsed="false">
      <c r="A35" s="572" t="s">
        <v>223</v>
      </c>
      <c r="B35" s="619" t="s">
        <v>485</v>
      </c>
      <c r="C35" s="620" t="n">
        <v>89235</v>
      </c>
      <c r="D35" s="621" t="n">
        <v>29150.798577912</v>
      </c>
      <c r="E35" s="620" t="n">
        <v>7793</v>
      </c>
      <c r="F35" s="621" t="n">
        <v>427.13956452</v>
      </c>
      <c r="G35" s="620" t="n">
        <v>97028</v>
      </c>
      <c r="H35" s="621" t="n">
        <v>29577.938142432</v>
      </c>
      <c r="I35" s="620" t="n">
        <v>60078</v>
      </c>
      <c r="J35" s="621" t="n">
        <v>1325.939471528</v>
      </c>
      <c r="K35" s="620" t="n">
        <v>1585</v>
      </c>
      <c r="L35" s="621" t="n">
        <v>1.5758209</v>
      </c>
      <c r="M35" s="620" t="n">
        <v>0</v>
      </c>
      <c r="N35" s="621" t="n">
        <v>0</v>
      </c>
      <c r="O35" s="620" t="n">
        <v>2779</v>
      </c>
      <c r="P35" s="621" t="n">
        <v>1.055353067</v>
      </c>
      <c r="Q35" s="620" t="n">
        <v>23</v>
      </c>
      <c r="R35" s="621" t="n">
        <v>0.0138691</v>
      </c>
      <c r="S35" s="620" t="n">
        <v>964</v>
      </c>
      <c r="T35" s="621" t="n">
        <v>0.3086013</v>
      </c>
      <c r="U35" s="620" t="n">
        <v>0</v>
      </c>
      <c r="V35" s="621" t="n">
        <v>0</v>
      </c>
      <c r="W35" s="620" t="n">
        <v>5351</v>
      </c>
      <c r="X35" s="621" t="n">
        <v>2.953644367</v>
      </c>
      <c r="Y35" s="621" t="n">
        <v>25.53069265</v>
      </c>
      <c r="Z35" s="572" t="s">
        <v>223</v>
      </c>
      <c r="AA35" s="619" t="s">
        <v>485</v>
      </c>
      <c r="AB35" s="610" t="n">
        <v>255630</v>
      </c>
      <c r="AC35" s="610" t="n">
        <v>242.4317732</v>
      </c>
      <c r="AD35" s="609" t="n">
        <v>0</v>
      </c>
      <c r="AE35" s="610" t="n">
        <v>0</v>
      </c>
      <c r="AF35" s="610" t="n">
        <v>31624</v>
      </c>
      <c r="AG35" s="610" t="n">
        <v>7.906403274</v>
      </c>
      <c r="AH35" s="610" t="n">
        <v>0</v>
      </c>
      <c r="AI35" s="610" t="n">
        <v>0</v>
      </c>
      <c r="AJ35" s="610" t="n">
        <v>27024</v>
      </c>
      <c r="AK35" s="610" t="n">
        <v>6.4574392</v>
      </c>
      <c r="AL35" s="610" t="n">
        <v>0</v>
      </c>
      <c r="AM35" s="610" t="n">
        <v>0</v>
      </c>
      <c r="AN35" s="610" t="n">
        <v>314278</v>
      </c>
      <c r="AO35" s="610" t="n">
        <v>256.795615674</v>
      </c>
      <c r="AP35" s="610" t="n">
        <v>1464</v>
      </c>
      <c r="AQ35" s="610" t="n">
        <v>1.637721296</v>
      </c>
      <c r="AR35" s="610" t="n">
        <v>0</v>
      </c>
      <c r="AS35" s="610" t="n">
        <v>0</v>
      </c>
      <c r="AT35" s="610" t="n">
        <v>0</v>
      </c>
      <c r="AU35" s="610" t="n">
        <v>0</v>
      </c>
      <c r="AV35" s="610" t="n">
        <v>0</v>
      </c>
      <c r="AW35" s="610" t="n">
        <v>0</v>
      </c>
      <c r="AX35" s="572" t="s">
        <v>223</v>
      </c>
      <c r="AY35" s="619" t="s">
        <v>485</v>
      </c>
      <c r="AZ35" s="620" t="n">
        <v>0</v>
      </c>
      <c r="BA35" s="621" t="n">
        <v>0</v>
      </c>
      <c r="BB35" s="620" t="n">
        <v>0</v>
      </c>
      <c r="BC35" s="621" t="n">
        <v>0</v>
      </c>
      <c r="BD35" s="620" t="n">
        <v>321093</v>
      </c>
      <c r="BE35" s="621" t="n">
        <v>261.386981337</v>
      </c>
      <c r="BF35" s="620" t="n">
        <v>8752</v>
      </c>
      <c r="BG35" s="620" t="n">
        <v>509466</v>
      </c>
      <c r="BH35" s="620" t="n">
        <v>24068</v>
      </c>
      <c r="BI35" s="620" t="n">
        <v>542286</v>
      </c>
      <c r="BJ35" s="620" t="n">
        <v>0</v>
      </c>
      <c r="BK35" s="620" t="n">
        <v>0</v>
      </c>
      <c r="BL35" s="621" t="n">
        <v>0</v>
      </c>
      <c r="BM35" s="620" t="n">
        <v>138421</v>
      </c>
      <c r="BN35" s="620" t="n">
        <v>332634</v>
      </c>
      <c r="BO35" s="621" t="n">
        <v>42.9372224</v>
      </c>
      <c r="BP35" s="620" t="n">
        <v>18542846</v>
      </c>
      <c r="BQ35" s="620" t="n">
        <v>245</v>
      </c>
      <c r="BR35" s="620" t="n">
        <v>40518</v>
      </c>
      <c r="BS35" s="621" t="n">
        <v>115.762625</v>
      </c>
      <c r="BT35" s="620" t="n">
        <v>174613</v>
      </c>
      <c r="BU35" s="620" t="n">
        <v>275</v>
      </c>
      <c r="BV35" s="585" t="n">
        <v>0</v>
      </c>
    </row>
    <row r="36" s="580" customFormat="true" ht="9.75" hidden="false" customHeight="true" outlineLevel="0" collapsed="false">
      <c r="A36" s="572"/>
      <c r="B36" s="622" t="s">
        <v>486</v>
      </c>
      <c r="C36" s="586" t="n">
        <v>2729</v>
      </c>
      <c r="D36" s="576" t="n">
        <v>1143.528635204</v>
      </c>
      <c r="E36" s="586" t="n">
        <v>321</v>
      </c>
      <c r="F36" s="576" t="n">
        <v>3.3202677</v>
      </c>
      <c r="G36" s="586" t="n">
        <v>3050</v>
      </c>
      <c r="H36" s="576" t="n">
        <v>1146.848902904</v>
      </c>
      <c r="I36" s="586" t="n">
        <v>992</v>
      </c>
      <c r="J36" s="576" t="n">
        <v>155.865606004</v>
      </c>
      <c r="K36" s="586" t="n">
        <v>0</v>
      </c>
      <c r="L36" s="576" t="n">
        <v>0</v>
      </c>
      <c r="M36" s="586" t="n">
        <v>0</v>
      </c>
      <c r="N36" s="576" t="n">
        <v>0</v>
      </c>
      <c r="O36" s="586" t="n">
        <v>0</v>
      </c>
      <c r="P36" s="576" t="n">
        <v>0</v>
      </c>
      <c r="Q36" s="586" t="n">
        <v>0</v>
      </c>
      <c r="R36" s="576" t="n">
        <v>0</v>
      </c>
      <c r="S36" s="586" t="n">
        <v>0</v>
      </c>
      <c r="T36" s="576" t="n">
        <v>0</v>
      </c>
      <c r="U36" s="586" t="n">
        <v>0</v>
      </c>
      <c r="V36" s="576" t="n">
        <v>0</v>
      </c>
      <c r="W36" s="586" t="n">
        <v>0</v>
      </c>
      <c r="X36" s="576" t="n">
        <v>0</v>
      </c>
      <c r="Y36" s="576" t="n">
        <v>0</v>
      </c>
      <c r="Z36" s="572"/>
      <c r="AA36" s="622" t="s">
        <v>486</v>
      </c>
      <c r="AB36" s="606" t="n">
        <v>3184</v>
      </c>
      <c r="AC36" s="606" t="n">
        <v>13.02272</v>
      </c>
      <c r="AD36" s="500" t="n">
        <v>0</v>
      </c>
      <c r="AE36" s="606" t="n">
        <v>0</v>
      </c>
      <c r="AF36" s="606" t="n">
        <v>116</v>
      </c>
      <c r="AG36" s="606" t="n">
        <v>0.033360024</v>
      </c>
      <c r="AH36" s="606" t="n">
        <v>0</v>
      </c>
      <c r="AI36" s="606" t="n">
        <v>0</v>
      </c>
      <c r="AJ36" s="606" t="n">
        <v>0</v>
      </c>
      <c r="AK36" s="606" t="n">
        <v>0</v>
      </c>
      <c r="AL36" s="606" t="n">
        <v>0</v>
      </c>
      <c r="AM36" s="606" t="n">
        <v>0</v>
      </c>
      <c r="AN36" s="606" t="n">
        <v>3300</v>
      </c>
      <c r="AO36" s="606" t="n">
        <v>13.056080024</v>
      </c>
      <c r="AP36" s="606" t="n">
        <v>0</v>
      </c>
      <c r="AQ36" s="606" t="n">
        <v>0</v>
      </c>
      <c r="AR36" s="606" t="n">
        <v>0</v>
      </c>
      <c r="AS36" s="606" t="n">
        <v>0</v>
      </c>
      <c r="AT36" s="606" t="n">
        <v>0</v>
      </c>
      <c r="AU36" s="606" t="n">
        <v>0</v>
      </c>
      <c r="AV36" s="606" t="n">
        <v>0</v>
      </c>
      <c r="AW36" s="606" t="n">
        <v>0</v>
      </c>
      <c r="AX36" s="572"/>
      <c r="AY36" s="622" t="s">
        <v>486</v>
      </c>
      <c r="AZ36" s="586" t="n">
        <v>0</v>
      </c>
      <c r="BA36" s="576" t="n">
        <v>0</v>
      </c>
      <c r="BB36" s="586" t="n">
        <v>0</v>
      </c>
      <c r="BC36" s="576" t="n">
        <v>0</v>
      </c>
      <c r="BD36" s="586" t="n">
        <v>3300</v>
      </c>
      <c r="BE36" s="576" t="n">
        <v>13.056080024</v>
      </c>
      <c r="BF36" s="586" t="n">
        <v>0</v>
      </c>
      <c r="BG36" s="586" t="n">
        <v>7362</v>
      </c>
      <c r="BH36" s="586" t="n">
        <v>0</v>
      </c>
      <c r="BI36" s="586" t="n">
        <v>7362</v>
      </c>
      <c r="BJ36" s="586" t="n">
        <v>0</v>
      </c>
      <c r="BK36" s="586" t="n">
        <v>0</v>
      </c>
      <c r="BL36" s="576" t="n">
        <v>0</v>
      </c>
      <c r="BM36" s="586" t="n">
        <v>0</v>
      </c>
      <c r="BN36" s="586" t="n">
        <v>0</v>
      </c>
      <c r="BO36" s="576" t="n">
        <v>0</v>
      </c>
      <c r="BP36" s="586" t="n">
        <v>0</v>
      </c>
      <c r="BQ36" s="586" t="n">
        <v>0</v>
      </c>
      <c r="BR36" s="586" t="n">
        <v>0</v>
      </c>
      <c r="BS36" s="576" t="n">
        <v>0</v>
      </c>
      <c r="BT36" s="586" t="n">
        <v>0</v>
      </c>
      <c r="BU36" s="586" t="n">
        <v>6</v>
      </c>
      <c r="BV36" s="588" t="n">
        <v>0</v>
      </c>
    </row>
    <row r="37" s="580" customFormat="true" ht="9.75" hidden="false" customHeight="true" outlineLevel="0" collapsed="false">
      <c r="A37" s="572"/>
      <c r="B37" s="604" t="s">
        <v>487</v>
      </c>
      <c r="C37" s="582" t="n">
        <v>341643</v>
      </c>
      <c r="D37" s="583" t="n">
        <v>56578.892233338</v>
      </c>
      <c r="E37" s="582" t="n">
        <v>325</v>
      </c>
      <c r="F37" s="583" t="n">
        <v>86.102920226</v>
      </c>
      <c r="G37" s="582" t="n">
        <v>341968</v>
      </c>
      <c r="H37" s="583" t="n">
        <v>56664.995153564</v>
      </c>
      <c r="I37" s="582" t="n">
        <v>1124904</v>
      </c>
      <c r="J37" s="583" t="n">
        <v>19410.134779644</v>
      </c>
      <c r="K37" s="582" t="n">
        <v>95424</v>
      </c>
      <c r="L37" s="583" t="n">
        <v>77.169575896</v>
      </c>
      <c r="M37" s="582" t="n">
        <v>777</v>
      </c>
      <c r="N37" s="583" t="n">
        <v>1.6047947981</v>
      </c>
      <c r="O37" s="582" t="n">
        <v>447901</v>
      </c>
      <c r="P37" s="583" t="n">
        <v>247.14974477</v>
      </c>
      <c r="Q37" s="582" t="n">
        <v>31109</v>
      </c>
      <c r="R37" s="583" t="n">
        <v>13.30534636715</v>
      </c>
      <c r="S37" s="582" t="n">
        <v>267975</v>
      </c>
      <c r="T37" s="583" t="n">
        <v>108.133519871</v>
      </c>
      <c r="U37" s="582" t="n">
        <v>43457</v>
      </c>
      <c r="V37" s="583" t="n">
        <v>14.7064832839</v>
      </c>
      <c r="W37" s="582" t="n">
        <v>886643</v>
      </c>
      <c r="X37" s="583" t="n">
        <v>462.06946498615</v>
      </c>
      <c r="Y37" s="583" t="n">
        <v>4710.589194019</v>
      </c>
      <c r="Z37" s="572"/>
      <c r="AA37" s="604" t="s">
        <v>487</v>
      </c>
      <c r="AB37" s="609" t="n">
        <v>8683242</v>
      </c>
      <c r="AC37" s="610" t="n">
        <v>7443.02031805</v>
      </c>
      <c r="AD37" s="610" t="n">
        <v>413</v>
      </c>
      <c r="AE37" s="610" t="n">
        <v>0.720177131</v>
      </c>
      <c r="AF37" s="610" t="n">
        <v>386319</v>
      </c>
      <c r="AG37" s="610" t="n">
        <v>117.838185337</v>
      </c>
      <c r="AH37" s="610" t="n">
        <v>1649</v>
      </c>
      <c r="AI37" s="610" t="n">
        <v>0.561370468</v>
      </c>
      <c r="AJ37" s="610" t="n">
        <v>617111</v>
      </c>
      <c r="AK37" s="610" t="n">
        <v>83.391901733</v>
      </c>
      <c r="AL37" s="610" t="n">
        <v>3647</v>
      </c>
      <c r="AM37" s="610" t="n">
        <v>0.679993075</v>
      </c>
      <c r="AN37" s="610" t="n">
        <v>9692381</v>
      </c>
      <c r="AO37" s="610" t="n">
        <v>7646.211945794</v>
      </c>
      <c r="AP37" s="610" t="n">
        <v>95753</v>
      </c>
      <c r="AQ37" s="610" t="n">
        <v>55.5555124648</v>
      </c>
      <c r="AR37" s="610" t="n">
        <v>29196</v>
      </c>
      <c r="AS37" s="610" t="n">
        <v>4.68782100245</v>
      </c>
      <c r="AT37" s="610" t="n">
        <v>32963</v>
      </c>
      <c r="AU37" s="610" t="n">
        <v>38.69233548</v>
      </c>
      <c r="AV37" s="610" t="n">
        <v>20090</v>
      </c>
      <c r="AW37" s="610" t="n">
        <v>12.461211605</v>
      </c>
      <c r="AX37" s="572"/>
      <c r="AY37" s="604" t="s">
        <v>487</v>
      </c>
      <c r="AZ37" s="582" t="n">
        <v>27991</v>
      </c>
      <c r="BA37" s="583" t="n">
        <v>4.608476617</v>
      </c>
      <c r="BB37" s="582" t="n">
        <v>81044</v>
      </c>
      <c r="BC37" s="583" t="n">
        <v>55.762023702</v>
      </c>
      <c r="BD37" s="582" t="n">
        <v>10785017</v>
      </c>
      <c r="BE37" s="583" t="n">
        <v>8224.2867679494</v>
      </c>
      <c r="BF37" s="582" t="n">
        <v>1454952</v>
      </c>
      <c r="BG37" s="582" t="n">
        <v>18535950</v>
      </c>
      <c r="BH37" s="582" t="n">
        <v>386491</v>
      </c>
      <c r="BI37" s="582" t="n">
        <v>20377393</v>
      </c>
      <c r="BJ37" s="582" t="n">
        <v>2486733</v>
      </c>
      <c r="BK37" s="582" t="n">
        <v>1440455</v>
      </c>
      <c r="BL37" s="583" t="n">
        <v>1670.155471077</v>
      </c>
      <c r="BM37" s="582" t="n">
        <v>856102</v>
      </c>
      <c r="BN37" s="582" t="n">
        <v>217232316</v>
      </c>
      <c r="BO37" s="583" t="n">
        <v>28986.23165013</v>
      </c>
      <c r="BP37" s="582" t="n">
        <v>66586221</v>
      </c>
      <c r="BQ37" s="582" t="n">
        <v>8184</v>
      </c>
      <c r="BR37" s="582" t="n">
        <v>3361680</v>
      </c>
      <c r="BS37" s="583" t="n">
        <v>11356.960210206</v>
      </c>
      <c r="BT37" s="582" t="n">
        <v>6554040</v>
      </c>
      <c r="BU37" s="582" t="n">
        <v>10591</v>
      </c>
      <c r="BV37" s="585" t="n">
        <v>65499</v>
      </c>
    </row>
    <row r="38" s="580" customFormat="true" ht="9.75" hidden="false" customHeight="true" outlineLevel="0" collapsed="false">
      <c r="A38" s="572"/>
      <c r="B38" s="622" t="s">
        <v>488</v>
      </c>
      <c r="C38" s="586" t="n">
        <v>34655</v>
      </c>
      <c r="D38" s="576" t="n">
        <v>7332.325101291</v>
      </c>
      <c r="E38" s="586" t="n">
        <v>2</v>
      </c>
      <c r="F38" s="576" t="n">
        <v>0.0044191</v>
      </c>
      <c r="G38" s="586" t="n">
        <v>34657</v>
      </c>
      <c r="H38" s="576" t="n">
        <v>7332.329520391</v>
      </c>
      <c r="I38" s="586" t="n">
        <v>420846</v>
      </c>
      <c r="J38" s="576" t="n">
        <v>7525.200819005</v>
      </c>
      <c r="K38" s="586" t="n">
        <v>3890</v>
      </c>
      <c r="L38" s="576" t="n">
        <v>3.6273207</v>
      </c>
      <c r="M38" s="586" t="n">
        <v>28</v>
      </c>
      <c r="N38" s="576" t="n">
        <v>0.068596</v>
      </c>
      <c r="O38" s="586" t="n">
        <v>96778</v>
      </c>
      <c r="P38" s="576" t="n">
        <v>34.644789987</v>
      </c>
      <c r="Q38" s="586" t="n">
        <v>761</v>
      </c>
      <c r="R38" s="576" t="n">
        <v>0.239281421</v>
      </c>
      <c r="S38" s="586" t="n">
        <v>66039</v>
      </c>
      <c r="T38" s="576" t="n">
        <v>18.363736369</v>
      </c>
      <c r="U38" s="586" t="n">
        <v>5145</v>
      </c>
      <c r="V38" s="576" t="n">
        <v>1.079364828</v>
      </c>
      <c r="W38" s="586" t="n">
        <v>172641</v>
      </c>
      <c r="X38" s="576" t="n">
        <v>58.023089305</v>
      </c>
      <c r="Y38" s="576" t="n">
        <v>676.362144715</v>
      </c>
      <c r="Z38" s="572"/>
      <c r="AA38" s="622" t="s">
        <v>488</v>
      </c>
      <c r="AB38" s="606" t="n">
        <v>420770</v>
      </c>
      <c r="AC38" s="606" t="n">
        <v>390.646921048</v>
      </c>
      <c r="AD38" s="606" t="n">
        <v>326</v>
      </c>
      <c r="AE38" s="606" t="n">
        <v>1.06248431</v>
      </c>
      <c r="AF38" s="606" t="n">
        <v>42282</v>
      </c>
      <c r="AG38" s="606" t="n">
        <v>14.779009496</v>
      </c>
      <c r="AH38" s="606" t="n">
        <v>199</v>
      </c>
      <c r="AI38" s="606" t="n">
        <v>0.420298177</v>
      </c>
      <c r="AJ38" s="606" t="n">
        <v>50138</v>
      </c>
      <c r="AK38" s="606" t="n">
        <v>11.975599456</v>
      </c>
      <c r="AL38" s="606" t="n">
        <v>1376</v>
      </c>
      <c r="AM38" s="606" t="n">
        <v>0.7426407</v>
      </c>
      <c r="AN38" s="606" t="n">
        <v>515091</v>
      </c>
      <c r="AO38" s="606" t="n">
        <v>419.626953187</v>
      </c>
      <c r="AP38" s="606" t="n">
        <v>0</v>
      </c>
      <c r="AQ38" s="606" t="n">
        <v>0</v>
      </c>
      <c r="AR38" s="606" t="n">
        <v>650</v>
      </c>
      <c r="AS38" s="606" t="n">
        <v>0.1518572147</v>
      </c>
      <c r="AT38" s="606" t="n">
        <v>4087</v>
      </c>
      <c r="AU38" s="606" t="n">
        <v>11.11492</v>
      </c>
      <c r="AV38" s="606" t="n">
        <v>0</v>
      </c>
      <c r="AW38" s="606" t="n">
        <v>0</v>
      </c>
      <c r="AX38" s="572"/>
      <c r="AY38" s="622" t="s">
        <v>488</v>
      </c>
      <c r="AZ38" s="586" t="n">
        <v>0</v>
      </c>
      <c r="BA38" s="576" t="n">
        <v>0</v>
      </c>
      <c r="BB38" s="586" t="n">
        <v>4087</v>
      </c>
      <c r="BC38" s="576" t="n">
        <v>11.11492</v>
      </c>
      <c r="BD38" s="586" t="n">
        <v>692469</v>
      </c>
      <c r="BE38" s="576" t="n">
        <v>488.9168197067</v>
      </c>
      <c r="BF38" s="586" t="n">
        <v>136119</v>
      </c>
      <c r="BG38" s="586" t="n">
        <v>325013</v>
      </c>
      <c r="BH38" s="586" t="n">
        <v>121437</v>
      </c>
      <c r="BI38" s="586" t="n">
        <v>582569</v>
      </c>
      <c r="BJ38" s="586" t="n">
        <v>200571</v>
      </c>
      <c r="BK38" s="586" t="n">
        <v>379637</v>
      </c>
      <c r="BL38" s="576" t="n">
        <v>2994.198269668</v>
      </c>
      <c r="BM38" s="586" t="n">
        <v>0</v>
      </c>
      <c r="BN38" s="586" t="n">
        <v>0</v>
      </c>
      <c r="BO38" s="576" t="n">
        <v>0</v>
      </c>
      <c r="BP38" s="586" t="n">
        <v>0</v>
      </c>
      <c r="BQ38" s="586" t="n">
        <v>0</v>
      </c>
      <c r="BR38" s="586" t="n">
        <v>0</v>
      </c>
      <c r="BS38" s="576" t="n">
        <v>0</v>
      </c>
      <c r="BT38" s="586" t="n">
        <v>0</v>
      </c>
      <c r="BU38" s="586" t="n">
        <v>161</v>
      </c>
      <c r="BV38" s="588" t="n">
        <v>0</v>
      </c>
    </row>
    <row r="39" s="580" customFormat="true" ht="9.75" hidden="false" customHeight="true" outlineLevel="0" collapsed="false">
      <c r="A39" s="572"/>
      <c r="B39" s="623" t="s">
        <v>175</v>
      </c>
      <c r="C39" s="600" t="n">
        <v>468262</v>
      </c>
      <c r="D39" s="599" t="n">
        <v>94205.544547745</v>
      </c>
      <c r="E39" s="600" t="n">
        <v>8441</v>
      </c>
      <c r="F39" s="599" t="n">
        <v>516.567171546</v>
      </c>
      <c r="G39" s="600" t="n">
        <v>476703</v>
      </c>
      <c r="H39" s="599" t="n">
        <v>94722.111719291</v>
      </c>
      <c r="I39" s="600" t="n">
        <v>1606820</v>
      </c>
      <c r="J39" s="599" t="n">
        <v>28417.140676181</v>
      </c>
      <c r="K39" s="600" t="n">
        <v>100899</v>
      </c>
      <c r="L39" s="599" t="n">
        <v>82.372717496</v>
      </c>
      <c r="M39" s="600" t="n">
        <v>805</v>
      </c>
      <c r="N39" s="599" t="n">
        <v>1.6733907981</v>
      </c>
      <c r="O39" s="600" t="n">
        <v>547458</v>
      </c>
      <c r="P39" s="599" t="n">
        <v>282.849887824</v>
      </c>
      <c r="Q39" s="600" t="n">
        <v>31893</v>
      </c>
      <c r="R39" s="599" t="n">
        <v>13.55849688815</v>
      </c>
      <c r="S39" s="600" t="n">
        <v>334978</v>
      </c>
      <c r="T39" s="599" t="n">
        <v>126.80585754</v>
      </c>
      <c r="U39" s="600" t="n">
        <v>48602</v>
      </c>
      <c r="V39" s="599" t="n">
        <v>15.7858481119</v>
      </c>
      <c r="W39" s="600" t="n">
        <v>1064635</v>
      </c>
      <c r="X39" s="599" t="n">
        <v>523.04619865815</v>
      </c>
      <c r="Y39" s="599" t="n">
        <v>5412.482031384</v>
      </c>
      <c r="Z39" s="572"/>
      <c r="AA39" s="597" t="s">
        <v>175</v>
      </c>
      <c r="AB39" s="624" t="n">
        <v>9362826</v>
      </c>
      <c r="AC39" s="625" t="n">
        <v>8089.121732298</v>
      </c>
      <c r="AD39" s="624" t="n">
        <v>739</v>
      </c>
      <c r="AE39" s="625" t="n">
        <v>1.782661441</v>
      </c>
      <c r="AF39" s="624" t="n">
        <v>460341</v>
      </c>
      <c r="AG39" s="625" t="n">
        <v>140.556958131</v>
      </c>
      <c r="AH39" s="624" t="n">
        <v>1848</v>
      </c>
      <c r="AI39" s="625" t="n">
        <v>0.981668645</v>
      </c>
      <c r="AJ39" s="624" t="n">
        <v>694273</v>
      </c>
      <c r="AK39" s="625" t="n">
        <v>101.824940389</v>
      </c>
      <c r="AL39" s="624" t="n">
        <v>5023</v>
      </c>
      <c r="AM39" s="625" t="n">
        <v>1.422633775</v>
      </c>
      <c r="AN39" s="624" t="n">
        <v>10525050</v>
      </c>
      <c r="AO39" s="625" t="n">
        <v>8335.690594679</v>
      </c>
      <c r="AP39" s="624" t="n">
        <v>97217</v>
      </c>
      <c r="AQ39" s="625" t="n">
        <v>57.1932337608</v>
      </c>
      <c r="AR39" s="624" t="n">
        <v>29846</v>
      </c>
      <c r="AS39" s="625" t="n">
        <v>4.83967821715</v>
      </c>
      <c r="AT39" s="624" t="n">
        <v>37050</v>
      </c>
      <c r="AU39" s="625" t="n">
        <v>49.80725548</v>
      </c>
      <c r="AV39" s="624" t="n">
        <v>20090</v>
      </c>
      <c r="AW39" s="625" t="n">
        <v>12.461211605</v>
      </c>
      <c r="AX39" s="572"/>
      <c r="AY39" s="597" t="s">
        <v>175</v>
      </c>
      <c r="AZ39" s="600" t="n">
        <v>27991</v>
      </c>
      <c r="BA39" s="599" t="n">
        <v>4.608476617</v>
      </c>
      <c r="BB39" s="600" t="n">
        <v>85131</v>
      </c>
      <c r="BC39" s="599" t="n">
        <v>66.876943702</v>
      </c>
      <c r="BD39" s="600" t="n">
        <v>11801879</v>
      </c>
      <c r="BE39" s="599" t="n">
        <v>8987.6466490171</v>
      </c>
      <c r="BF39" s="600" t="n">
        <v>1599823</v>
      </c>
      <c r="BG39" s="600" t="n">
        <v>19377791</v>
      </c>
      <c r="BH39" s="600" t="n">
        <v>531996</v>
      </c>
      <c r="BI39" s="600" t="n">
        <v>21509610</v>
      </c>
      <c r="BJ39" s="600" t="n">
        <v>2687304</v>
      </c>
      <c r="BK39" s="600" t="n">
        <v>1820092</v>
      </c>
      <c r="BL39" s="599" t="n">
        <v>4664.353740745</v>
      </c>
      <c r="BM39" s="600" t="n">
        <v>994523</v>
      </c>
      <c r="BN39" s="600" t="n">
        <v>217564950</v>
      </c>
      <c r="BO39" s="599" t="n">
        <v>29029.16887253</v>
      </c>
      <c r="BP39" s="600" t="n">
        <v>85129067</v>
      </c>
      <c r="BQ39" s="600" t="n">
        <v>8429</v>
      </c>
      <c r="BR39" s="600" t="n">
        <v>3402198</v>
      </c>
      <c r="BS39" s="599" t="n">
        <v>11472.722835206</v>
      </c>
      <c r="BT39" s="600" t="n">
        <v>6728653</v>
      </c>
      <c r="BU39" s="600" t="n">
        <v>11033</v>
      </c>
      <c r="BV39" s="601" t="n">
        <v>65499</v>
      </c>
    </row>
    <row r="40" s="580" customFormat="true" ht="9.75" hidden="false" customHeight="true" outlineLevel="0" collapsed="false">
      <c r="A40" s="572" t="s">
        <v>224</v>
      </c>
      <c r="B40" s="573" t="s">
        <v>485</v>
      </c>
      <c r="C40" s="436" t="n">
        <v>157147</v>
      </c>
      <c r="D40" s="606" t="n">
        <v>33043.648673898</v>
      </c>
      <c r="E40" s="436" t="n">
        <v>9392</v>
      </c>
      <c r="F40" s="606" t="n">
        <v>487.35542625</v>
      </c>
      <c r="G40" s="436" t="n">
        <v>166539</v>
      </c>
      <c r="H40" s="606" t="n">
        <v>33531.004100148</v>
      </c>
      <c r="I40" s="436" t="n">
        <v>138122</v>
      </c>
      <c r="J40" s="606" t="n">
        <v>2935.998324302</v>
      </c>
      <c r="K40" s="436" t="n">
        <v>1625</v>
      </c>
      <c r="L40" s="606" t="n">
        <v>1.8642488</v>
      </c>
      <c r="M40" s="436" t="n">
        <v>0</v>
      </c>
      <c r="N40" s="606" t="n">
        <v>0</v>
      </c>
      <c r="O40" s="436" t="n">
        <v>2223</v>
      </c>
      <c r="P40" s="606" t="n">
        <v>1.111462956</v>
      </c>
      <c r="Q40" s="436" t="n">
        <v>29</v>
      </c>
      <c r="R40" s="606" t="n">
        <v>0.0077925</v>
      </c>
      <c r="S40" s="436" t="n">
        <v>1001</v>
      </c>
      <c r="T40" s="606" t="n">
        <v>0.4895064</v>
      </c>
      <c r="U40" s="436" t="n">
        <v>0</v>
      </c>
      <c r="V40" s="606" t="n">
        <v>0</v>
      </c>
      <c r="W40" s="436" t="n">
        <v>4878</v>
      </c>
      <c r="X40" s="606" t="n">
        <v>3.473010656</v>
      </c>
      <c r="Y40" s="606" t="n">
        <v>22.756472587</v>
      </c>
      <c r="Z40" s="572" t="s">
        <v>224</v>
      </c>
      <c r="AA40" s="469" t="s">
        <v>485</v>
      </c>
      <c r="AB40" s="436" t="n">
        <v>363858</v>
      </c>
      <c r="AC40" s="606" t="n">
        <v>389.3744118</v>
      </c>
      <c r="AD40" s="436" t="n">
        <v>0</v>
      </c>
      <c r="AE40" s="606" t="n">
        <v>0</v>
      </c>
      <c r="AF40" s="436" t="n">
        <v>47583</v>
      </c>
      <c r="AG40" s="606" t="n">
        <v>17.998136605</v>
      </c>
      <c r="AH40" s="436" t="n">
        <v>0</v>
      </c>
      <c r="AI40" s="606" t="n">
        <v>0</v>
      </c>
      <c r="AJ40" s="436" t="n">
        <v>37564</v>
      </c>
      <c r="AK40" s="606" t="n">
        <v>14.1793959</v>
      </c>
      <c r="AL40" s="436" t="n">
        <v>0</v>
      </c>
      <c r="AM40" s="606" t="n">
        <v>0</v>
      </c>
      <c r="AN40" s="436" t="n">
        <v>449005</v>
      </c>
      <c r="AO40" s="606" t="n">
        <v>421.551944305</v>
      </c>
      <c r="AP40" s="436" t="n">
        <v>3657</v>
      </c>
      <c r="AQ40" s="606" t="n">
        <v>5.81046344</v>
      </c>
      <c r="AR40" s="436" t="n">
        <v>0</v>
      </c>
      <c r="AS40" s="606" t="n">
        <v>0</v>
      </c>
      <c r="AT40" s="436" t="n">
        <v>0</v>
      </c>
      <c r="AU40" s="606" t="n">
        <v>0</v>
      </c>
      <c r="AV40" s="436" t="n">
        <v>0</v>
      </c>
      <c r="AW40" s="606" t="n">
        <v>0</v>
      </c>
      <c r="AX40" s="572" t="s">
        <v>224</v>
      </c>
      <c r="AY40" s="469" t="s">
        <v>485</v>
      </c>
      <c r="AZ40" s="436" t="n">
        <v>0</v>
      </c>
      <c r="BA40" s="606" t="n">
        <v>0</v>
      </c>
      <c r="BB40" s="436" t="n">
        <v>0</v>
      </c>
      <c r="BC40" s="606" t="n">
        <v>0</v>
      </c>
      <c r="BD40" s="436" t="n">
        <v>457540</v>
      </c>
      <c r="BE40" s="606" t="n">
        <v>430.835418401</v>
      </c>
      <c r="BF40" s="436" t="n">
        <v>8821</v>
      </c>
      <c r="BG40" s="436" t="n">
        <v>515885</v>
      </c>
      <c r="BH40" s="436" t="n">
        <v>24394</v>
      </c>
      <c r="BI40" s="436" t="n">
        <v>549100</v>
      </c>
      <c r="BJ40" s="436" t="n">
        <v>0</v>
      </c>
      <c r="BK40" s="436" t="n">
        <v>0</v>
      </c>
      <c r="BL40" s="606" t="n">
        <v>0</v>
      </c>
      <c r="BM40" s="436" t="n">
        <v>138629</v>
      </c>
      <c r="BN40" s="436" t="n">
        <v>13702474</v>
      </c>
      <c r="BO40" s="606" t="n">
        <v>645.9643316</v>
      </c>
      <c r="BP40" s="436" t="n">
        <v>18831395</v>
      </c>
      <c r="BQ40" s="436" t="n">
        <v>246</v>
      </c>
      <c r="BR40" s="436" t="n">
        <v>89460</v>
      </c>
      <c r="BS40" s="606" t="n">
        <v>167.6577088</v>
      </c>
      <c r="BT40" s="436" t="n">
        <v>177810</v>
      </c>
      <c r="BU40" s="436" t="n">
        <v>275</v>
      </c>
      <c r="BV40" s="607" t="n">
        <v>0</v>
      </c>
    </row>
    <row r="41" s="580" customFormat="true" ht="9.75" hidden="false" customHeight="true" outlineLevel="0" collapsed="false">
      <c r="A41" s="572"/>
      <c r="B41" s="581" t="s">
        <v>486</v>
      </c>
      <c r="C41" s="611" t="n">
        <v>5151</v>
      </c>
      <c r="D41" s="610" t="n">
        <v>844.081405775</v>
      </c>
      <c r="E41" s="611" t="n">
        <v>527</v>
      </c>
      <c r="F41" s="610" t="n">
        <v>4.9829835</v>
      </c>
      <c r="G41" s="611" t="n">
        <v>5678</v>
      </c>
      <c r="H41" s="610" t="n">
        <v>849.064389275</v>
      </c>
      <c r="I41" s="611" t="n">
        <v>1645</v>
      </c>
      <c r="J41" s="610" t="n">
        <v>236.336157561</v>
      </c>
      <c r="K41" s="611" t="n">
        <v>0</v>
      </c>
      <c r="L41" s="610" t="n">
        <v>0</v>
      </c>
      <c r="M41" s="611" t="n">
        <v>0</v>
      </c>
      <c r="N41" s="610" t="n">
        <v>0</v>
      </c>
      <c r="O41" s="611" t="n">
        <v>0</v>
      </c>
      <c r="P41" s="610" t="n">
        <v>0</v>
      </c>
      <c r="Q41" s="611" t="n">
        <v>0</v>
      </c>
      <c r="R41" s="610" t="n">
        <v>0</v>
      </c>
      <c r="S41" s="611" t="n">
        <v>0</v>
      </c>
      <c r="T41" s="610" t="n">
        <v>0</v>
      </c>
      <c r="U41" s="611" t="n">
        <v>0</v>
      </c>
      <c r="V41" s="610" t="n">
        <v>0</v>
      </c>
      <c r="W41" s="611" t="n">
        <v>0</v>
      </c>
      <c r="X41" s="610" t="n">
        <v>0</v>
      </c>
      <c r="Y41" s="610" t="n">
        <v>0</v>
      </c>
      <c r="Z41" s="572"/>
      <c r="AA41" s="581" t="s">
        <v>486</v>
      </c>
      <c r="AB41" s="611" t="n">
        <v>4011</v>
      </c>
      <c r="AC41" s="610" t="n">
        <v>4.15981</v>
      </c>
      <c r="AD41" s="611" t="n">
        <v>0</v>
      </c>
      <c r="AE41" s="610" t="n">
        <v>0</v>
      </c>
      <c r="AF41" s="611" t="n">
        <v>122</v>
      </c>
      <c r="AG41" s="610" t="n">
        <v>0.02681734</v>
      </c>
      <c r="AH41" s="611" t="n">
        <v>0</v>
      </c>
      <c r="AI41" s="610" t="n">
        <v>0</v>
      </c>
      <c r="AJ41" s="611" t="n">
        <v>0</v>
      </c>
      <c r="AK41" s="610" t="n">
        <v>0</v>
      </c>
      <c r="AL41" s="611" t="n">
        <v>0</v>
      </c>
      <c r="AM41" s="610" t="n">
        <v>0</v>
      </c>
      <c r="AN41" s="611" t="n">
        <v>4133</v>
      </c>
      <c r="AO41" s="610" t="n">
        <v>4.18662734</v>
      </c>
      <c r="AP41" s="611" t="n">
        <v>0</v>
      </c>
      <c r="AQ41" s="610" t="n">
        <v>0</v>
      </c>
      <c r="AR41" s="611" t="n">
        <v>0</v>
      </c>
      <c r="AS41" s="610" t="n">
        <v>0</v>
      </c>
      <c r="AT41" s="611" t="n">
        <v>0</v>
      </c>
      <c r="AU41" s="610" t="n">
        <v>0</v>
      </c>
      <c r="AV41" s="611" t="n">
        <v>0</v>
      </c>
      <c r="AW41" s="610" t="n">
        <v>0</v>
      </c>
      <c r="AX41" s="572"/>
      <c r="AY41" s="581" t="s">
        <v>486</v>
      </c>
      <c r="AZ41" s="611" t="n">
        <v>0</v>
      </c>
      <c r="BA41" s="610" t="n">
        <v>0</v>
      </c>
      <c r="BB41" s="611" t="n">
        <v>0</v>
      </c>
      <c r="BC41" s="610" t="n">
        <v>0</v>
      </c>
      <c r="BD41" s="611" t="n">
        <v>4133</v>
      </c>
      <c r="BE41" s="610" t="n">
        <v>4.18662734</v>
      </c>
      <c r="BF41" s="611" t="n">
        <v>0</v>
      </c>
      <c r="BG41" s="611" t="n">
        <v>7125</v>
      </c>
      <c r="BH41" s="611" t="n">
        <v>0</v>
      </c>
      <c r="BI41" s="611" t="n">
        <v>7125</v>
      </c>
      <c r="BJ41" s="611" t="n">
        <v>0</v>
      </c>
      <c r="BK41" s="611" t="n">
        <v>0</v>
      </c>
      <c r="BL41" s="610" t="n">
        <v>0</v>
      </c>
      <c r="BM41" s="611" t="n">
        <v>0</v>
      </c>
      <c r="BN41" s="611" t="n">
        <v>0</v>
      </c>
      <c r="BO41" s="610" t="n">
        <v>0</v>
      </c>
      <c r="BP41" s="611" t="n">
        <v>0</v>
      </c>
      <c r="BQ41" s="611" t="n">
        <v>0</v>
      </c>
      <c r="BR41" s="611" t="n">
        <v>0</v>
      </c>
      <c r="BS41" s="610" t="n">
        <v>0</v>
      </c>
      <c r="BT41" s="611" t="n">
        <v>0</v>
      </c>
      <c r="BU41" s="611" t="n">
        <v>6</v>
      </c>
      <c r="BV41" s="612" t="n">
        <v>0</v>
      </c>
    </row>
    <row r="42" s="580" customFormat="true" ht="9.75" hidden="false" customHeight="true" outlineLevel="0" collapsed="false">
      <c r="A42" s="572"/>
      <c r="B42" s="469" t="s">
        <v>487</v>
      </c>
      <c r="C42" s="436" t="n">
        <v>554034</v>
      </c>
      <c r="D42" s="436" t="n">
        <v>68554.577258904</v>
      </c>
      <c r="E42" s="436" t="n">
        <v>595</v>
      </c>
      <c r="F42" s="606" t="n">
        <v>119.973345705</v>
      </c>
      <c r="G42" s="436" t="n">
        <v>554629</v>
      </c>
      <c r="H42" s="606" t="n">
        <v>68674.550604609</v>
      </c>
      <c r="I42" s="436" t="n">
        <v>1877459</v>
      </c>
      <c r="J42" s="606" t="n">
        <v>26518.3395675</v>
      </c>
      <c r="K42" s="436" t="n">
        <v>91996</v>
      </c>
      <c r="L42" s="606" t="n">
        <v>74.053423864</v>
      </c>
      <c r="M42" s="436" t="n">
        <v>921</v>
      </c>
      <c r="N42" s="606" t="n">
        <v>1.5123393634</v>
      </c>
      <c r="O42" s="436" t="n">
        <v>528572</v>
      </c>
      <c r="P42" s="606" t="n">
        <v>356.868319872</v>
      </c>
      <c r="Q42" s="436" t="n">
        <v>32706</v>
      </c>
      <c r="R42" s="606" t="n">
        <v>13.5224388947</v>
      </c>
      <c r="S42" s="436" t="n">
        <v>327816</v>
      </c>
      <c r="T42" s="606" t="n">
        <v>159.960869882</v>
      </c>
      <c r="U42" s="436" t="n">
        <v>47200</v>
      </c>
      <c r="V42" s="606" t="n">
        <v>16.42342880395</v>
      </c>
      <c r="W42" s="436" t="n">
        <v>1029211</v>
      </c>
      <c r="X42" s="606" t="n">
        <v>622.34082068005</v>
      </c>
      <c r="Y42" s="606" t="n">
        <v>4609.943103309</v>
      </c>
      <c r="Z42" s="572"/>
      <c r="AA42" s="469" t="s">
        <v>487</v>
      </c>
      <c r="AB42" s="436" t="n">
        <v>12073221</v>
      </c>
      <c r="AC42" s="606" t="n">
        <v>10360.60209593</v>
      </c>
      <c r="AD42" s="436" t="n">
        <v>381</v>
      </c>
      <c r="AE42" s="606" t="n">
        <v>0.8877261656</v>
      </c>
      <c r="AF42" s="436" t="n">
        <v>509176</v>
      </c>
      <c r="AG42" s="606" t="n">
        <v>222.285999913</v>
      </c>
      <c r="AH42" s="436" t="n">
        <v>1963</v>
      </c>
      <c r="AI42" s="606" t="n">
        <v>0.5658766481</v>
      </c>
      <c r="AJ42" s="436" t="n">
        <v>720760</v>
      </c>
      <c r="AK42" s="606" t="n">
        <v>174.115948131</v>
      </c>
      <c r="AL42" s="436" t="n">
        <v>4833</v>
      </c>
      <c r="AM42" s="606" t="n">
        <v>0.9907210831</v>
      </c>
      <c r="AN42" s="436" t="n">
        <v>13310334</v>
      </c>
      <c r="AO42" s="606" t="n">
        <v>10759.4483678708</v>
      </c>
      <c r="AP42" s="436" t="n">
        <v>194777</v>
      </c>
      <c r="AQ42" s="606" t="n">
        <v>122.917917389</v>
      </c>
      <c r="AR42" s="436" t="n">
        <v>33382</v>
      </c>
      <c r="AS42" s="606" t="n">
        <v>5.75993368035</v>
      </c>
      <c r="AT42" s="436" t="n">
        <v>40954</v>
      </c>
      <c r="AU42" s="606" t="n">
        <v>46.503379495</v>
      </c>
      <c r="AV42" s="436" t="n">
        <v>24571</v>
      </c>
      <c r="AW42" s="606" t="n">
        <v>17.65239672</v>
      </c>
      <c r="AX42" s="572"/>
      <c r="AY42" s="469" t="s">
        <v>487</v>
      </c>
      <c r="AZ42" s="436" t="n">
        <v>30471</v>
      </c>
      <c r="BA42" s="606" t="n">
        <v>7.484432248</v>
      </c>
      <c r="BB42" s="436" t="n">
        <v>95996</v>
      </c>
      <c r="BC42" s="606" t="n">
        <v>71.640208463</v>
      </c>
      <c r="BD42" s="436" t="n">
        <v>14663700</v>
      </c>
      <c r="BE42" s="606" t="n">
        <v>11582.1072480832</v>
      </c>
      <c r="BF42" s="436" t="n">
        <v>1455388</v>
      </c>
      <c r="BG42" s="436" t="n">
        <v>18628561</v>
      </c>
      <c r="BH42" s="436" t="n">
        <v>406267</v>
      </c>
      <c r="BI42" s="436" t="n">
        <v>20490216</v>
      </c>
      <c r="BJ42" s="436" t="n">
        <v>2522042</v>
      </c>
      <c r="BK42" s="436" t="n">
        <v>1715609</v>
      </c>
      <c r="BL42" s="606" t="n">
        <v>2327.46403199</v>
      </c>
      <c r="BM42" s="436" t="n">
        <v>857273</v>
      </c>
      <c r="BN42" s="436" t="n">
        <v>268060588</v>
      </c>
      <c r="BO42" s="606" t="n">
        <v>46729.99120342</v>
      </c>
      <c r="BP42" s="436" t="n">
        <v>69107939</v>
      </c>
      <c r="BQ42" s="436" t="n">
        <v>8218</v>
      </c>
      <c r="BR42" s="436" t="n">
        <v>5912629</v>
      </c>
      <c r="BS42" s="606" t="n">
        <v>19866.3377682015</v>
      </c>
      <c r="BT42" s="436" t="n">
        <v>6683222</v>
      </c>
      <c r="BU42" s="436" t="n">
        <v>10590</v>
      </c>
      <c r="BV42" s="614" t="n">
        <v>65619</v>
      </c>
    </row>
    <row r="43" s="580" customFormat="true" ht="9.75" hidden="false" customHeight="true" outlineLevel="0" collapsed="false">
      <c r="A43" s="572"/>
      <c r="B43" s="581" t="s">
        <v>488</v>
      </c>
      <c r="C43" s="611" t="n">
        <v>55700</v>
      </c>
      <c r="D43" s="611" t="n">
        <v>7904.868848185</v>
      </c>
      <c r="E43" s="611" t="n">
        <v>14</v>
      </c>
      <c r="F43" s="610" t="n">
        <v>0.0189855</v>
      </c>
      <c r="G43" s="611" t="n">
        <v>55714</v>
      </c>
      <c r="H43" s="610" t="n">
        <v>7904.887833685</v>
      </c>
      <c r="I43" s="611" t="n">
        <v>574144</v>
      </c>
      <c r="J43" s="610" t="n">
        <v>10390.395865689</v>
      </c>
      <c r="K43" s="611" t="n">
        <v>3893</v>
      </c>
      <c r="L43" s="610" t="n">
        <v>4.1192339</v>
      </c>
      <c r="M43" s="611" t="n">
        <v>31</v>
      </c>
      <c r="N43" s="610" t="n">
        <v>0.058047131</v>
      </c>
      <c r="O43" s="611" t="n">
        <v>123894</v>
      </c>
      <c r="P43" s="610" t="n">
        <v>52.444228977</v>
      </c>
      <c r="Q43" s="611" t="n">
        <v>830</v>
      </c>
      <c r="R43" s="610" t="n">
        <v>0.299197102</v>
      </c>
      <c r="S43" s="611" t="n">
        <v>76733</v>
      </c>
      <c r="T43" s="610" t="n">
        <v>30.041516738</v>
      </c>
      <c r="U43" s="611" t="n">
        <v>5849</v>
      </c>
      <c r="V43" s="610" t="n">
        <v>1.145420642</v>
      </c>
      <c r="W43" s="611" t="n">
        <v>211230</v>
      </c>
      <c r="X43" s="610" t="n">
        <v>88.10764449</v>
      </c>
      <c r="Y43" s="610" t="n">
        <v>659.54249169</v>
      </c>
      <c r="Z43" s="572"/>
      <c r="AA43" s="581" t="s">
        <v>488</v>
      </c>
      <c r="AB43" s="611" t="n">
        <v>594095</v>
      </c>
      <c r="AC43" s="610" t="n">
        <v>561.522526134</v>
      </c>
      <c r="AD43" s="611" t="n">
        <v>350</v>
      </c>
      <c r="AE43" s="610" t="n">
        <v>1.021048769</v>
      </c>
      <c r="AF43" s="611" t="n">
        <v>59997</v>
      </c>
      <c r="AG43" s="610" t="n">
        <v>24.160978115</v>
      </c>
      <c r="AH43" s="611" t="n">
        <v>413</v>
      </c>
      <c r="AI43" s="610" t="n">
        <v>0.570956026</v>
      </c>
      <c r="AJ43" s="611" t="n">
        <v>64127</v>
      </c>
      <c r="AK43" s="610" t="n">
        <v>21.589165303</v>
      </c>
      <c r="AL43" s="611" t="n">
        <v>1435</v>
      </c>
      <c r="AM43" s="610" t="n">
        <v>0.900258963</v>
      </c>
      <c r="AN43" s="611" t="n">
        <v>720417</v>
      </c>
      <c r="AO43" s="610" t="n">
        <v>609.76493331</v>
      </c>
      <c r="AP43" s="611" t="n">
        <v>0</v>
      </c>
      <c r="AQ43" s="610" t="n">
        <v>0</v>
      </c>
      <c r="AR43" s="611" t="n">
        <v>476</v>
      </c>
      <c r="AS43" s="610" t="n">
        <v>0.110869179</v>
      </c>
      <c r="AT43" s="611" t="n">
        <v>5616</v>
      </c>
      <c r="AU43" s="610" t="n">
        <v>12.7805</v>
      </c>
      <c r="AV43" s="611" t="n">
        <v>0</v>
      </c>
      <c r="AW43" s="610" t="n">
        <v>0</v>
      </c>
      <c r="AX43" s="572"/>
      <c r="AY43" s="581" t="s">
        <v>488</v>
      </c>
      <c r="AZ43" s="611" t="n">
        <v>0</v>
      </c>
      <c r="BA43" s="610" t="n">
        <v>0</v>
      </c>
      <c r="BB43" s="611" t="n">
        <v>5616</v>
      </c>
      <c r="BC43" s="610" t="n">
        <v>12.7805</v>
      </c>
      <c r="BD43" s="611" t="n">
        <v>937739</v>
      </c>
      <c r="BE43" s="610" t="n">
        <v>710.763946979</v>
      </c>
      <c r="BF43" s="611" t="n">
        <v>134262</v>
      </c>
      <c r="BG43" s="611" t="n">
        <v>324799</v>
      </c>
      <c r="BH43" s="611" t="n">
        <v>121437</v>
      </c>
      <c r="BI43" s="611" t="n">
        <v>580498</v>
      </c>
      <c r="BJ43" s="611" t="n">
        <v>200285</v>
      </c>
      <c r="BK43" s="611" t="n">
        <v>339003</v>
      </c>
      <c r="BL43" s="610" t="n">
        <v>3204.24982577</v>
      </c>
      <c r="BM43" s="611" t="n">
        <v>0</v>
      </c>
      <c r="BN43" s="611" t="n">
        <v>0</v>
      </c>
      <c r="BO43" s="610" t="n">
        <v>0</v>
      </c>
      <c r="BP43" s="611" t="n">
        <v>0</v>
      </c>
      <c r="BQ43" s="611" t="n">
        <v>0</v>
      </c>
      <c r="BR43" s="611" t="n">
        <v>0</v>
      </c>
      <c r="BS43" s="610" t="n">
        <v>0</v>
      </c>
      <c r="BT43" s="611" t="n">
        <v>0</v>
      </c>
      <c r="BU43" s="611" t="n">
        <v>161</v>
      </c>
      <c r="BV43" s="612" t="n">
        <v>0</v>
      </c>
    </row>
    <row r="44" s="580" customFormat="true" ht="9.75" hidden="false" customHeight="true" outlineLevel="0" collapsed="false">
      <c r="A44" s="572"/>
      <c r="B44" s="589" t="s">
        <v>175</v>
      </c>
      <c r="C44" s="626" t="n">
        <v>772032</v>
      </c>
      <c r="D44" s="626" t="n">
        <v>110347.176186762</v>
      </c>
      <c r="E44" s="626" t="n">
        <v>10528</v>
      </c>
      <c r="F44" s="627" t="n">
        <v>612.330740955</v>
      </c>
      <c r="G44" s="626" t="n">
        <v>782560</v>
      </c>
      <c r="H44" s="627" t="n">
        <v>110959.506927717</v>
      </c>
      <c r="I44" s="626" t="n">
        <v>2591370</v>
      </c>
      <c r="J44" s="627" t="n">
        <v>40081.069915052</v>
      </c>
      <c r="K44" s="626" t="n">
        <v>97514</v>
      </c>
      <c r="L44" s="627" t="n">
        <v>80.036906564</v>
      </c>
      <c r="M44" s="626" t="n">
        <v>952</v>
      </c>
      <c r="N44" s="627" t="n">
        <v>1.5703864944</v>
      </c>
      <c r="O44" s="626" t="n">
        <v>654689</v>
      </c>
      <c r="P44" s="627" t="n">
        <v>410.424011805</v>
      </c>
      <c r="Q44" s="626" t="n">
        <v>33565</v>
      </c>
      <c r="R44" s="627" t="n">
        <v>13.8294284967</v>
      </c>
      <c r="S44" s="626" t="n">
        <v>405550</v>
      </c>
      <c r="T44" s="627" t="n">
        <v>190.49189302</v>
      </c>
      <c r="U44" s="626" t="n">
        <v>53049</v>
      </c>
      <c r="V44" s="627" t="n">
        <v>17.56884944595</v>
      </c>
      <c r="W44" s="626" t="n">
        <v>1245319</v>
      </c>
      <c r="X44" s="627" t="n">
        <v>713.92147582605</v>
      </c>
      <c r="Y44" s="617" t="n">
        <v>5292.242067586</v>
      </c>
      <c r="Z44" s="572"/>
      <c r="AA44" s="626" t="s">
        <v>175</v>
      </c>
      <c r="AB44" s="626" t="n">
        <v>13035185</v>
      </c>
      <c r="AC44" s="627" t="n">
        <v>11315.658843864</v>
      </c>
      <c r="AD44" s="626" t="n">
        <v>731</v>
      </c>
      <c r="AE44" s="627" t="n">
        <v>1.9087749346</v>
      </c>
      <c r="AF44" s="626" t="n">
        <v>616878</v>
      </c>
      <c r="AG44" s="627" t="n">
        <v>264.471931973</v>
      </c>
      <c r="AH44" s="626" t="n">
        <v>2376</v>
      </c>
      <c r="AI44" s="627" t="n">
        <v>1.1368326741</v>
      </c>
      <c r="AJ44" s="626" t="n">
        <v>822451</v>
      </c>
      <c r="AK44" s="627" t="n">
        <v>209.884509334</v>
      </c>
      <c r="AL44" s="626" t="n">
        <v>6268</v>
      </c>
      <c r="AM44" s="627" t="n">
        <v>1.8909800461</v>
      </c>
      <c r="AN44" s="626" t="n">
        <v>14483889</v>
      </c>
      <c r="AO44" s="627" t="n">
        <v>11794.9518728258</v>
      </c>
      <c r="AP44" s="626" t="n">
        <v>198434</v>
      </c>
      <c r="AQ44" s="627" t="n">
        <v>128.728380829</v>
      </c>
      <c r="AR44" s="626" t="n">
        <v>33858</v>
      </c>
      <c r="AS44" s="627" t="n">
        <v>5.87080285935</v>
      </c>
      <c r="AT44" s="626" t="n">
        <v>46570</v>
      </c>
      <c r="AU44" s="627" t="n">
        <v>59.283879495</v>
      </c>
      <c r="AV44" s="626" t="n">
        <v>24571</v>
      </c>
      <c r="AW44" s="617" t="n">
        <v>17.65239672</v>
      </c>
      <c r="AX44" s="572"/>
      <c r="AY44" s="626" t="s">
        <v>175</v>
      </c>
      <c r="AZ44" s="626" t="n">
        <v>30471</v>
      </c>
      <c r="BA44" s="627" t="n">
        <v>7.484432248</v>
      </c>
      <c r="BB44" s="626" t="n">
        <v>101612</v>
      </c>
      <c r="BC44" s="627" t="n">
        <v>84.420708463</v>
      </c>
      <c r="BD44" s="626" t="n">
        <v>16063112</v>
      </c>
      <c r="BE44" s="627" t="n">
        <v>12727.8932408032</v>
      </c>
      <c r="BF44" s="626" t="n">
        <v>1598471</v>
      </c>
      <c r="BG44" s="626" t="n">
        <v>19476370</v>
      </c>
      <c r="BH44" s="626" t="n">
        <v>552098</v>
      </c>
      <c r="BI44" s="626" t="n">
        <v>21626939</v>
      </c>
      <c r="BJ44" s="626" t="n">
        <v>2722327</v>
      </c>
      <c r="BK44" s="626" t="n">
        <v>2054612</v>
      </c>
      <c r="BL44" s="627" t="n">
        <v>5531.71385776</v>
      </c>
      <c r="BM44" s="626" t="n">
        <v>995902</v>
      </c>
      <c r="BN44" s="626" t="n">
        <v>281763062</v>
      </c>
      <c r="BO44" s="627" t="n">
        <v>47375.95553502</v>
      </c>
      <c r="BP44" s="626" t="n">
        <v>87939334</v>
      </c>
      <c r="BQ44" s="626" t="n">
        <v>8464</v>
      </c>
      <c r="BR44" s="626" t="n">
        <v>6002089</v>
      </c>
      <c r="BS44" s="627" t="n">
        <v>20033.9954770015</v>
      </c>
      <c r="BT44" s="626" t="n">
        <v>6861032</v>
      </c>
      <c r="BU44" s="626" t="n">
        <v>11032</v>
      </c>
      <c r="BV44" s="618" t="n">
        <v>65619</v>
      </c>
    </row>
    <row r="45" s="580" customFormat="true" ht="9.75" hidden="false" customHeight="true" outlineLevel="0" collapsed="false">
      <c r="A45" s="572" t="s">
        <v>225</v>
      </c>
      <c r="B45" s="619" t="s">
        <v>485</v>
      </c>
      <c r="C45" s="628" t="n">
        <v>396627</v>
      </c>
      <c r="D45" s="629" t="n">
        <v>65177.955354302</v>
      </c>
      <c r="E45" s="628" t="n">
        <v>17673</v>
      </c>
      <c r="F45" s="629" t="n">
        <v>676.754254099</v>
      </c>
      <c r="G45" s="628" t="n">
        <v>414300</v>
      </c>
      <c r="H45" s="629" t="n">
        <v>65854.709608401</v>
      </c>
      <c r="I45" s="628" t="n">
        <v>193981</v>
      </c>
      <c r="J45" s="629" t="n">
        <v>1477.338467966</v>
      </c>
      <c r="K45" s="628" t="n">
        <v>2956</v>
      </c>
      <c r="L45" s="629" t="n">
        <v>3.4115081</v>
      </c>
      <c r="M45" s="628" t="n">
        <v>0</v>
      </c>
      <c r="N45" s="629" t="n">
        <v>0</v>
      </c>
      <c r="O45" s="628" t="n">
        <v>2803</v>
      </c>
      <c r="P45" s="629" t="n">
        <v>1.505211388</v>
      </c>
      <c r="Q45" s="628" t="n">
        <v>30</v>
      </c>
      <c r="R45" s="629" t="n">
        <v>0.005958545</v>
      </c>
      <c r="S45" s="628" t="n">
        <v>1388</v>
      </c>
      <c r="T45" s="629" t="n">
        <v>0.5829161</v>
      </c>
      <c r="U45" s="628" t="n">
        <v>0</v>
      </c>
      <c r="V45" s="629" t="n">
        <v>0</v>
      </c>
      <c r="W45" s="628" t="n">
        <v>7177</v>
      </c>
      <c r="X45" s="629" t="n">
        <v>5.505594133</v>
      </c>
      <c r="Y45" s="630" t="n">
        <v>26.172649463</v>
      </c>
      <c r="Z45" s="572" t="s">
        <v>225</v>
      </c>
      <c r="AA45" s="631" t="s">
        <v>485</v>
      </c>
      <c r="AB45" s="628" t="n">
        <v>338146</v>
      </c>
      <c r="AC45" s="629" t="n">
        <v>345.8763771</v>
      </c>
      <c r="AD45" s="628" t="n">
        <v>0</v>
      </c>
      <c r="AE45" s="629" t="n">
        <v>0</v>
      </c>
      <c r="AF45" s="628" t="n">
        <v>52227</v>
      </c>
      <c r="AG45" s="629" t="n">
        <v>16.868206152</v>
      </c>
      <c r="AH45" s="628" t="n">
        <v>0</v>
      </c>
      <c r="AI45" s="629" t="n">
        <v>0</v>
      </c>
      <c r="AJ45" s="628" t="n">
        <v>41168</v>
      </c>
      <c r="AK45" s="629" t="n">
        <v>12.2899202</v>
      </c>
      <c r="AL45" s="628" t="n">
        <v>0</v>
      </c>
      <c r="AM45" s="629" t="n">
        <v>0</v>
      </c>
      <c r="AN45" s="628" t="n">
        <v>431541</v>
      </c>
      <c r="AO45" s="629" t="n">
        <v>375.034503452</v>
      </c>
      <c r="AP45" s="628" t="n">
        <v>3868</v>
      </c>
      <c r="AQ45" s="629" t="n">
        <v>6.024115273</v>
      </c>
      <c r="AR45" s="628" t="n">
        <v>0</v>
      </c>
      <c r="AS45" s="629" t="n">
        <v>0</v>
      </c>
      <c r="AT45" s="628" t="n">
        <v>0</v>
      </c>
      <c r="AU45" s="629" t="n">
        <v>0</v>
      </c>
      <c r="AV45" s="628" t="n">
        <v>0</v>
      </c>
      <c r="AW45" s="630" t="n">
        <v>0</v>
      </c>
      <c r="AX45" s="572" t="s">
        <v>225</v>
      </c>
      <c r="AY45" s="631" t="s">
        <v>485</v>
      </c>
      <c r="AZ45" s="628" t="n">
        <v>0</v>
      </c>
      <c r="BA45" s="629" t="n">
        <v>0</v>
      </c>
      <c r="BB45" s="628" t="n">
        <v>0</v>
      </c>
      <c r="BC45" s="629" t="n">
        <v>0</v>
      </c>
      <c r="BD45" s="628" t="n">
        <v>442586</v>
      </c>
      <c r="BE45" s="629" t="n">
        <v>386.564212858</v>
      </c>
      <c r="BF45" s="628" t="n">
        <v>8963</v>
      </c>
      <c r="BG45" s="628" t="n">
        <v>529047</v>
      </c>
      <c r="BH45" s="628" t="n">
        <v>24500</v>
      </c>
      <c r="BI45" s="628" t="n">
        <v>562510</v>
      </c>
      <c r="BJ45" s="628" t="n">
        <v>0</v>
      </c>
      <c r="BK45" s="628" t="n">
        <v>0</v>
      </c>
      <c r="BL45" s="629" t="n">
        <v>0</v>
      </c>
      <c r="BM45" s="628" t="n">
        <v>139090</v>
      </c>
      <c r="BN45" s="628" t="n">
        <v>5622370</v>
      </c>
      <c r="BO45" s="629" t="n">
        <v>239.0617936</v>
      </c>
      <c r="BP45" s="628" t="n">
        <v>18889606</v>
      </c>
      <c r="BQ45" s="628" t="n">
        <v>248</v>
      </c>
      <c r="BR45" s="628" t="n">
        <v>178726</v>
      </c>
      <c r="BS45" s="629" t="n">
        <v>252.8900474</v>
      </c>
      <c r="BT45" s="628" t="n">
        <v>187625</v>
      </c>
      <c r="BU45" s="628" t="n">
        <v>276</v>
      </c>
      <c r="BV45" s="632" t="n">
        <v>0</v>
      </c>
    </row>
    <row r="46" s="636" customFormat="true" ht="9.75" hidden="false" customHeight="true" outlineLevel="0" collapsed="false">
      <c r="A46" s="572"/>
      <c r="B46" s="622" t="s">
        <v>486</v>
      </c>
      <c r="C46" s="633" t="n">
        <v>13330</v>
      </c>
      <c r="D46" s="634" t="n">
        <v>1324.671750028</v>
      </c>
      <c r="E46" s="633" t="n">
        <v>457</v>
      </c>
      <c r="F46" s="634" t="n">
        <v>4.6221755</v>
      </c>
      <c r="G46" s="633" t="n">
        <v>13787</v>
      </c>
      <c r="H46" s="634" t="n">
        <v>1329.293925528</v>
      </c>
      <c r="I46" s="633" t="n">
        <v>2016</v>
      </c>
      <c r="J46" s="634" t="n">
        <v>43.408494214</v>
      </c>
      <c r="K46" s="633" t="n">
        <v>0</v>
      </c>
      <c r="L46" s="634" t="n">
        <v>0</v>
      </c>
      <c r="M46" s="633" t="n">
        <v>0</v>
      </c>
      <c r="N46" s="634" t="n">
        <v>0</v>
      </c>
      <c r="O46" s="633" t="n">
        <v>0</v>
      </c>
      <c r="P46" s="634" t="n">
        <v>0</v>
      </c>
      <c r="Q46" s="633" t="n">
        <v>0</v>
      </c>
      <c r="R46" s="634" t="n">
        <v>0</v>
      </c>
      <c r="S46" s="633" t="n">
        <v>0</v>
      </c>
      <c r="T46" s="634" t="n">
        <v>0</v>
      </c>
      <c r="U46" s="633" t="n">
        <v>0</v>
      </c>
      <c r="V46" s="634" t="n">
        <v>0</v>
      </c>
      <c r="W46" s="633" t="n">
        <v>0</v>
      </c>
      <c r="X46" s="634" t="n">
        <v>0</v>
      </c>
      <c r="Y46" s="634" t="n">
        <v>0</v>
      </c>
      <c r="Z46" s="572"/>
      <c r="AA46" s="469" t="s">
        <v>486</v>
      </c>
      <c r="AB46" s="633" t="n">
        <v>3726</v>
      </c>
      <c r="AC46" s="634" t="n">
        <v>3.5555</v>
      </c>
      <c r="AD46" s="633" t="n">
        <v>0</v>
      </c>
      <c r="AE46" s="634" t="n">
        <v>0</v>
      </c>
      <c r="AF46" s="633" t="n">
        <v>137</v>
      </c>
      <c r="AG46" s="634" t="n">
        <v>0.037496725</v>
      </c>
      <c r="AH46" s="633" t="n">
        <v>0</v>
      </c>
      <c r="AI46" s="634" t="n">
        <v>0</v>
      </c>
      <c r="AJ46" s="633" t="n">
        <v>0</v>
      </c>
      <c r="AK46" s="634" t="n">
        <v>0</v>
      </c>
      <c r="AL46" s="633" t="n">
        <v>0</v>
      </c>
      <c r="AM46" s="634" t="n">
        <v>0</v>
      </c>
      <c r="AN46" s="633" t="n">
        <v>3863</v>
      </c>
      <c r="AO46" s="634" t="n">
        <v>3.592996725</v>
      </c>
      <c r="AP46" s="633" t="n">
        <v>0</v>
      </c>
      <c r="AQ46" s="634" t="n">
        <v>0</v>
      </c>
      <c r="AR46" s="633" t="n">
        <v>0</v>
      </c>
      <c r="AS46" s="634" t="n">
        <v>0</v>
      </c>
      <c r="AT46" s="633" t="n">
        <v>0</v>
      </c>
      <c r="AU46" s="634" t="n">
        <v>0</v>
      </c>
      <c r="AV46" s="633" t="n">
        <v>0</v>
      </c>
      <c r="AW46" s="634" t="n">
        <v>0</v>
      </c>
      <c r="AX46" s="572"/>
      <c r="AY46" s="469" t="s">
        <v>486</v>
      </c>
      <c r="AZ46" s="633" t="n">
        <v>0</v>
      </c>
      <c r="BA46" s="634" t="n">
        <v>0</v>
      </c>
      <c r="BB46" s="633" t="n">
        <v>0</v>
      </c>
      <c r="BC46" s="634" t="n">
        <v>0</v>
      </c>
      <c r="BD46" s="633" t="n">
        <v>3863</v>
      </c>
      <c r="BE46" s="634" t="n">
        <v>3.592996725</v>
      </c>
      <c r="BF46" s="633" t="n">
        <v>0</v>
      </c>
      <c r="BG46" s="633" t="n">
        <v>7573</v>
      </c>
      <c r="BH46" s="633" t="n">
        <v>0</v>
      </c>
      <c r="BI46" s="633" t="n">
        <v>7573</v>
      </c>
      <c r="BJ46" s="633" t="n">
        <v>0</v>
      </c>
      <c r="BK46" s="633" t="n">
        <v>0</v>
      </c>
      <c r="BL46" s="634" t="n">
        <v>0</v>
      </c>
      <c r="BM46" s="633" t="n">
        <v>0</v>
      </c>
      <c r="BN46" s="633" t="n">
        <v>0</v>
      </c>
      <c r="BO46" s="634" t="n">
        <v>0</v>
      </c>
      <c r="BP46" s="633" t="n">
        <v>0</v>
      </c>
      <c r="BQ46" s="633" t="n">
        <v>0</v>
      </c>
      <c r="BR46" s="633" t="n">
        <v>0</v>
      </c>
      <c r="BS46" s="634" t="n">
        <v>0</v>
      </c>
      <c r="BT46" s="633" t="n">
        <v>0</v>
      </c>
      <c r="BU46" s="633" t="n">
        <v>6</v>
      </c>
      <c r="BV46" s="635" t="n">
        <v>0</v>
      </c>
    </row>
    <row r="47" customFormat="false" ht="9.75" hidden="false" customHeight="true" outlineLevel="0" collapsed="false">
      <c r="A47" s="572"/>
      <c r="B47" s="604" t="s">
        <v>487</v>
      </c>
      <c r="C47" s="628" t="n">
        <v>1067364</v>
      </c>
      <c r="D47" s="629" t="n">
        <v>122777.928053757</v>
      </c>
      <c r="E47" s="628" t="n">
        <v>1421</v>
      </c>
      <c r="F47" s="629" t="n">
        <v>134.310667933</v>
      </c>
      <c r="G47" s="628" t="n">
        <v>1068785</v>
      </c>
      <c r="H47" s="629" t="n">
        <v>122912.23872169</v>
      </c>
      <c r="I47" s="628" t="n">
        <v>2832803</v>
      </c>
      <c r="J47" s="629" t="n">
        <v>16884.646177775</v>
      </c>
      <c r="K47" s="628" t="n">
        <v>129097</v>
      </c>
      <c r="L47" s="629" t="n">
        <v>101.969869652</v>
      </c>
      <c r="M47" s="628" t="n">
        <v>946</v>
      </c>
      <c r="N47" s="629" t="n">
        <v>1.6923964247</v>
      </c>
      <c r="O47" s="628" t="n">
        <v>597090</v>
      </c>
      <c r="P47" s="629" t="n">
        <v>482.400386225</v>
      </c>
      <c r="Q47" s="628" t="n">
        <v>35692</v>
      </c>
      <c r="R47" s="629" t="n">
        <v>16.20064547765</v>
      </c>
      <c r="S47" s="628" t="n">
        <v>353803</v>
      </c>
      <c r="T47" s="629" t="n">
        <v>164.280403091</v>
      </c>
      <c r="U47" s="628" t="n">
        <v>53401</v>
      </c>
      <c r="V47" s="629" t="n">
        <v>20.03044597125</v>
      </c>
      <c r="W47" s="628" t="n">
        <v>1170029</v>
      </c>
      <c r="X47" s="629" t="n">
        <v>786.5741468416</v>
      </c>
      <c r="Y47" s="629" t="n">
        <v>4549.504627576</v>
      </c>
      <c r="Z47" s="572"/>
      <c r="AA47" s="581" t="s">
        <v>487</v>
      </c>
      <c r="AB47" s="628" t="n">
        <v>12522815</v>
      </c>
      <c r="AC47" s="629" t="n">
        <v>11026.09316842</v>
      </c>
      <c r="AD47" s="628" t="n">
        <v>390</v>
      </c>
      <c r="AE47" s="629" t="n">
        <v>0.927988619</v>
      </c>
      <c r="AF47" s="628" t="n">
        <v>524437</v>
      </c>
      <c r="AG47" s="629" t="n">
        <v>290.975274907</v>
      </c>
      <c r="AH47" s="628" t="n">
        <v>2354</v>
      </c>
      <c r="AI47" s="629" t="n">
        <v>0.74209364</v>
      </c>
      <c r="AJ47" s="628" t="n">
        <v>823397</v>
      </c>
      <c r="AK47" s="629" t="n">
        <v>193.580701513</v>
      </c>
      <c r="AL47" s="628" t="n">
        <v>6111</v>
      </c>
      <c r="AM47" s="629" t="n">
        <v>1.4715029988</v>
      </c>
      <c r="AN47" s="628" t="n">
        <v>13879504</v>
      </c>
      <c r="AO47" s="629" t="n">
        <v>11513.7907300978</v>
      </c>
      <c r="AP47" s="628" t="n">
        <v>188013</v>
      </c>
      <c r="AQ47" s="629" t="n">
        <v>125.475513521</v>
      </c>
      <c r="AR47" s="628" t="n">
        <v>48603</v>
      </c>
      <c r="AS47" s="629" t="n">
        <v>8.72982621265</v>
      </c>
      <c r="AT47" s="628" t="n">
        <v>38288</v>
      </c>
      <c r="AU47" s="629" t="n">
        <v>46.034063755</v>
      </c>
      <c r="AV47" s="628" t="n">
        <v>27043</v>
      </c>
      <c r="AW47" s="629" t="n">
        <v>20.87157</v>
      </c>
      <c r="AX47" s="572"/>
      <c r="AY47" s="581" t="s">
        <v>487</v>
      </c>
      <c r="AZ47" s="628" t="n">
        <v>33257</v>
      </c>
      <c r="BA47" s="629" t="n">
        <v>11.709572582</v>
      </c>
      <c r="BB47" s="628" t="n">
        <v>98588</v>
      </c>
      <c r="BC47" s="629" t="n">
        <v>78.615206337</v>
      </c>
      <c r="BD47" s="628" t="n">
        <v>15384737</v>
      </c>
      <c r="BE47" s="629" t="n">
        <v>12513.18542301</v>
      </c>
      <c r="BF47" s="628" t="n">
        <v>1452870</v>
      </c>
      <c r="BG47" s="628" t="n">
        <v>18863270</v>
      </c>
      <c r="BH47" s="628" t="n">
        <v>440294</v>
      </c>
      <c r="BI47" s="628" t="n">
        <v>20756434</v>
      </c>
      <c r="BJ47" s="628" t="n">
        <v>2542136</v>
      </c>
      <c r="BK47" s="628" t="n">
        <v>1782964</v>
      </c>
      <c r="BL47" s="629" t="n">
        <v>2906.802246403</v>
      </c>
      <c r="BM47" s="628" t="n">
        <v>859401</v>
      </c>
      <c r="BN47" s="637" t="n">
        <v>250475397</v>
      </c>
      <c r="BO47" s="629" t="n">
        <v>44591.578094231</v>
      </c>
      <c r="BP47" s="628" t="n">
        <v>69907469</v>
      </c>
      <c r="BQ47" s="628" t="n">
        <v>8564</v>
      </c>
      <c r="BR47" s="628" t="n">
        <v>6560475</v>
      </c>
      <c r="BS47" s="629" t="n">
        <v>21804.338522176</v>
      </c>
      <c r="BT47" s="637" t="n">
        <v>7169846</v>
      </c>
      <c r="BU47" s="628" t="n">
        <v>10603</v>
      </c>
      <c r="BV47" s="632" t="n">
        <v>65946</v>
      </c>
    </row>
    <row r="48" customFormat="false" ht="9.75" hidden="false" customHeight="true" outlineLevel="0" collapsed="false">
      <c r="A48" s="572"/>
      <c r="B48" s="622" t="s">
        <v>488</v>
      </c>
      <c r="C48" s="633" t="n">
        <v>104113</v>
      </c>
      <c r="D48" s="634" t="n">
        <v>12549.974621246</v>
      </c>
      <c r="E48" s="633" t="n">
        <v>62</v>
      </c>
      <c r="F48" s="634" t="n">
        <v>0.3684992</v>
      </c>
      <c r="G48" s="633" t="n">
        <v>104175</v>
      </c>
      <c r="H48" s="634" t="n">
        <v>12550.343120446</v>
      </c>
      <c r="I48" s="633" t="n">
        <v>504757</v>
      </c>
      <c r="J48" s="634" t="n">
        <v>5403.446830391</v>
      </c>
      <c r="K48" s="633" t="n">
        <v>5290</v>
      </c>
      <c r="L48" s="634" t="n">
        <v>4.837365375</v>
      </c>
      <c r="M48" s="633" t="n">
        <v>25</v>
      </c>
      <c r="N48" s="634" t="n">
        <v>0.043295655</v>
      </c>
      <c r="O48" s="633" t="n">
        <v>135772</v>
      </c>
      <c r="P48" s="634" t="n">
        <v>66.179820785</v>
      </c>
      <c r="Q48" s="633" t="n">
        <v>838</v>
      </c>
      <c r="R48" s="634" t="n">
        <v>0.246774568</v>
      </c>
      <c r="S48" s="633" t="n">
        <v>86377</v>
      </c>
      <c r="T48" s="634" t="n">
        <v>33.202219798</v>
      </c>
      <c r="U48" s="633" t="n">
        <v>6574</v>
      </c>
      <c r="V48" s="634" t="n">
        <v>1.401105444</v>
      </c>
      <c r="W48" s="633" t="n">
        <v>234876</v>
      </c>
      <c r="X48" s="634" t="n">
        <v>105.910581625</v>
      </c>
      <c r="Y48" s="634" t="n">
        <v>655.456298252</v>
      </c>
      <c r="Z48" s="572"/>
      <c r="AA48" s="469" t="s">
        <v>488</v>
      </c>
      <c r="AB48" s="633" t="n">
        <v>576927</v>
      </c>
      <c r="AC48" s="634" t="n">
        <v>586.54814286</v>
      </c>
      <c r="AD48" s="633" t="n">
        <v>420</v>
      </c>
      <c r="AE48" s="634" t="n">
        <v>1.3917685695</v>
      </c>
      <c r="AF48" s="633" t="n">
        <v>62520</v>
      </c>
      <c r="AG48" s="634" t="n">
        <v>24.870206641</v>
      </c>
      <c r="AH48" s="633" t="n">
        <v>511</v>
      </c>
      <c r="AI48" s="634" t="n">
        <v>0.603028384</v>
      </c>
      <c r="AJ48" s="633" t="n">
        <v>64238</v>
      </c>
      <c r="AK48" s="634" t="n">
        <v>21.325171216</v>
      </c>
      <c r="AL48" s="633" t="n">
        <v>1511</v>
      </c>
      <c r="AM48" s="634" t="n">
        <v>0.901493985</v>
      </c>
      <c r="AN48" s="633" t="n">
        <v>706127</v>
      </c>
      <c r="AO48" s="634" t="n">
        <v>635.6398116555</v>
      </c>
      <c r="AP48" s="633" t="n">
        <v>0</v>
      </c>
      <c r="AQ48" s="634" t="n">
        <v>0</v>
      </c>
      <c r="AR48" s="633" t="n">
        <v>294</v>
      </c>
      <c r="AS48" s="634" t="n">
        <v>0.0723439692</v>
      </c>
      <c r="AT48" s="633" t="n">
        <v>5401</v>
      </c>
      <c r="AU48" s="634" t="n">
        <v>12.4521</v>
      </c>
      <c r="AV48" s="633" t="n">
        <v>0</v>
      </c>
      <c r="AW48" s="634" t="n">
        <v>0</v>
      </c>
      <c r="AX48" s="572"/>
      <c r="AY48" s="469" t="s">
        <v>488</v>
      </c>
      <c r="AZ48" s="633" t="n">
        <v>0</v>
      </c>
      <c r="BA48" s="634" t="n">
        <v>0</v>
      </c>
      <c r="BB48" s="633" t="n">
        <v>5401</v>
      </c>
      <c r="BC48" s="634" t="n">
        <v>12.4521</v>
      </c>
      <c r="BD48" s="633" t="n">
        <v>946698</v>
      </c>
      <c r="BE48" s="634" t="n">
        <v>754.0748372497</v>
      </c>
      <c r="BF48" s="633" t="n">
        <v>131864</v>
      </c>
      <c r="BG48" s="633" t="n">
        <v>325893</v>
      </c>
      <c r="BH48" s="633" t="n">
        <v>121436</v>
      </c>
      <c r="BI48" s="633" t="n">
        <v>579193</v>
      </c>
      <c r="BJ48" s="633" t="n">
        <v>200105</v>
      </c>
      <c r="BK48" s="633" t="n">
        <v>423855</v>
      </c>
      <c r="BL48" s="634" t="n">
        <v>4514.30463836</v>
      </c>
      <c r="BM48" s="633" t="n">
        <v>0</v>
      </c>
      <c r="BN48" s="633" t="n">
        <v>0</v>
      </c>
      <c r="BO48" s="634" t="n">
        <v>0</v>
      </c>
      <c r="BP48" s="633" t="n">
        <v>0</v>
      </c>
      <c r="BQ48" s="633" t="n">
        <v>0</v>
      </c>
      <c r="BR48" s="633" t="n">
        <v>0</v>
      </c>
      <c r="BS48" s="634" t="n">
        <v>0</v>
      </c>
      <c r="BT48" s="633" t="n">
        <v>0</v>
      </c>
      <c r="BU48" s="633" t="n">
        <v>162</v>
      </c>
      <c r="BV48" s="635" t="n">
        <v>0</v>
      </c>
    </row>
    <row r="49" customFormat="false" ht="12.75" hidden="false" customHeight="false" outlineLevel="0" collapsed="false">
      <c r="A49" s="572"/>
      <c r="B49" s="597" t="s">
        <v>175</v>
      </c>
      <c r="C49" s="638" t="n">
        <v>1581434</v>
      </c>
      <c r="D49" s="639" t="n">
        <v>201830.529779333</v>
      </c>
      <c r="E49" s="638" t="n">
        <v>19613</v>
      </c>
      <c r="F49" s="639" t="n">
        <v>816.055596732</v>
      </c>
      <c r="G49" s="638" t="n">
        <v>1601047</v>
      </c>
      <c r="H49" s="639" t="n">
        <v>202646.585376065</v>
      </c>
      <c r="I49" s="638" t="n">
        <v>3533557</v>
      </c>
      <c r="J49" s="639" t="n">
        <v>23808.839970346</v>
      </c>
      <c r="K49" s="638" t="n">
        <v>137343</v>
      </c>
      <c r="L49" s="639" t="n">
        <v>110.218743127</v>
      </c>
      <c r="M49" s="638" t="n">
        <v>971</v>
      </c>
      <c r="N49" s="639" t="n">
        <v>1.7356920797</v>
      </c>
      <c r="O49" s="638" t="n">
        <v>735665</v>
      </c>
      <c r="P49" s="639" t="n">
        <v>550.085418398</v>
      </c>
      <c r="Q49" s="638" t="n">
        <v>36560</v>
      </c>
      <c r="R49" s="639" t="n">
        <v>16.45337859065</v>
      </c>
      <c r="S49" s="638" t="n">
        <v>441568</v>
      </c>
      <c r="T49" s="639" t="n">
        <v>198.065538989</v>
      </c>
      <c r="U49" s="638" t="n">
        <v>59975</v>
      </c>
      <c r="V49" s="639" t="n">
        <v>21.43155141525</v>
      </c>
      <c r="W49" s="638" t="n">
        <v>1412082</v>
      </c>
      <c r="X49" s="639" t="n">
        <v>897.9903225996</v>
      </c>
      <c r="Y49" s="639" t="n">
        <v>5231.133575291</v>
      </c>
      <c r="Z49" s="572"/>
      <c r="AA49" s="640" t="s">
        <v>175</v>
      </c>
      <c r="AB49" s="638" t="n">
        <v>13441614</v>
      </c>
      <c r="AC49" s="639" t="n">
        <v>11962.07318838</v>
      </c>
      <c r="AD49" s="638" t="n">
        <v>810</v>
      </c>
      <c r="AE49" s="639" t="n">
        <v>2.3197571885</v>
      </c>
      <c r="AF49" s="638" t="n">
        <v>639321</v>
      </c>
      <c r="AG49" s="639" t="n">
        <v>332.751184425</v>
      </c>
      <c r="AH49" s="638" t="n">
        <v>2865</v>
      </c>
      <c r="AI49" s="639" t="n">
        <v>1.345122024</v>
      </c>
      <c r="AJ49" s="638" t="n">
        <v>928803</v>
      </c>
      <c r="AK49" s="639" t="n">
        <v>227.195792929</v>
      </c>
      <c r="AL49" s="638" t="n">
        <v>7622</v>
      </c>
      <c r="AM49" s="639" t="n">
        <v>2.3729969838</v>
      </c>
      <c r="AN49" s="638" t="n">
        <v>15021035</v>
      </c>
      <c r="AO49" s="639" t="n">
        <v>12528.0580419303</v>
      </c>
      <c r="AP49" s="638" t="n">
        <v>191881</v>
      </c>
      <c r="AQ49" s="639" t="n">
        <v>131.499628794</v>
      </c>
      <c r="AR49" s="638" t="n">
        <v>48897</v>
      </c>
      <c r="AS49" s="639" t="n">
        <v>8.80217018185</v>
      </c>
      <c r="AT49" s="638" t="n">
        <v>43689</v>
      </c>
      <c r="AU49" s="639" t="n">
        <v>58.486163755</v>
      </c>
      <c r="AV49" s="638" t="n">
        <v>27043</v>
      </c>
      <c r="AW49" s="639" t="n">
        <v>20.87157</v>
      </c>
      <c r="AX49" s="572"/>
      <c r="AY49" s="640" t="s">
        <v>175</v>
      </c>
      <c r="AZ49" s="638" t="n">
        <v>33257</v>
      </c>
      <c r="BA49" s="639" t="n">
        <v>11.709572582</v>
      </c>
      <c r="BB49" s="638" t="n">
        <v>103989</v>
      </c>
      <c r="BC49" s="639" t="n">
        <v>91.067306337</v>
      </c>
      <c r="BD49" s="638" t="n">
        <v>16777884</v>
      </c>
      <c r="BE49" s="639" t="n">
        <v>13657.4174698427</v>
      </c>
      <c r="BF49" s="638" t="n">
        <v>1593697</v>
      </c>
      <c r="BG49" s="638" t="n">
        <v>19725783</v>
      </c>
      <c r="BH49" s="638" t="n">
        <v>586230</v>
      </c>
      <c r="BI49" s="638" t="n">
        <v>21905710</v>
      </c>
      <c r="BJ49" s="638" t="n">
        <v>2742241</v>
      </c>
      <c r="BK49" s="638" t="n">
        <v>2206819</v>
      </c>
      <c r="BL49" s="639" t="n">
        <v>7421.106884763</v>
      </c>
      <c r="BM49" s="638" t="n">
        <v>998491</v>
      </c>
      <c r="BN49" s="638" t="n">
        <v>256097767</v>
      </c>
      <c r="BO49" s="639" t="n">
        <v>44830.639887831</v>
      </c>
      <c r="BP49" s="638" t="n">
        <v>88797075</v>
      </c>
      <c r="BQ49" s="638" t="n">
        <v>8812</v>
      </c>
      <c r="BR49" s="638" t="n">
        <v>6739201</v>
      </c>
      <c r="BS49" s="639" t="n">
        <v>22057.228569576</v>
      </c>
      <c r="BT49" s="638" t="n">
        <v>7357471</v>
      </c>
      <c r="BU49" s="638" t="n">
        <v>11047</v>
      </c>
      <c r="BV49" s="641" t="n">
        <v>65946</v>
      </c>
    </row>
    <row r="50" customFormat="false" ht="12.75" hidden="false" customHeight="false" outlineLevel="0" collapsed="false">
      <c r="A50" s="636"/>
      <c r="B50" s="636" t="s">
        <v>492</v>
      </c>
      <c r="C50" s="636" t="s">
        <v>493</v>
      </c>
      <c r="D50" s="636"/>
      <c r="E50" s="636"/>
      <c r="F50" s="636"/>
      <c r="G50" s="636"/>
      <c r="H50" s="636"/>
      <c r="I50" s="636"/>
      <c r="J50" s="636"/>
      <c r="K50" s="636"/>
      <c r="L50" s="636"/>
      <c r="M50" s="636" t="s">
        <v>232</v>
      </c>
      <c r="N50" s="636" t="s">
        <v>494</v>
      </c>
      <c r="O50" s="636"/>
      <c r="P50" s="636"/>
      <c r="Q50" s="636"/>
      <c r="R50" s="636"/>
      <c r="S50" s="636"/>
      <c r="T50" s="636"/>
      <c r="U50" s="636"/>
      <c r="V50" s="636"/>
      <c r="W50" s="636"/>
      <c r="X50" s="636"/>
      <c r="AA50" s="642" t="s">
        <v>495</v>
      </c>
      <c r="AB50" s="642"/>
      <c r="AC50" s="642"/>
      <c r="AD50" s="642"/>
      <c r="AE50" s="642"/>
      <c r="AF50" s="642"/>
      <c r="AG50" s="642"/>
      <c r="AH50" s="636"/>
      <c r="AI50" s="636"/>
      <c r="AJ50" s="636"/>
      <c r="AK50" s="636"/>
      <c r="AL50" s="636"/>
      <c r="AM50" s="636"/>
      <c r="AN50" s="636"/>
      <c r="AO50" s="636"/>
      <c r="AP50" s="636"/>
      <c r="AQ50" s="636"/>
      <c r="AR50" s="636"/>
      <c r="AS50" s="636"/>
      <c r="AT50" s="636"/>
      <c r="AU50" s="636"/>
      <c r="AV50" s="636"/>
      <c r="AW50" s="636"/>
      <c r="AY50" s="636" t="s">
        <v>496</v>
      </c>
      <c r="AZ50" s="636"/>
      <c r="BA50" s="636"/>
      <c r="BB50" s="636"/>
      <c r="BC50" s="636"/>
      <c r="BD50" s="636"/>
      <c r="BE50" s="636"/>
      <c r="BF50" s="636"/>
      <c r="BG50" s="636"/>
      <c r="BH50" s="636"/>
      <c r="BI50" s="636"/>
      <c r="BJ50" s="636"/>
      <c r="BK50" s="636"/>
      <c r="BL50" s="636"/>
      <c r="BM50" s="636"/>
      <c r="BN50" s="636"/>
      <c r="BO50" s="636"/>
      <c r="BP50" s="636"/>
      <c r="BQ50" s="636"/>
      <c r="BR50" s="636"/>
      <c r="BS50" s="636"/>
      <c r="BT50" s="636"/>
      <c r="BU50" s="636"/>
      <c r="BV50" s="636"/>
    </row>
    <row r="51" customFormat="false" ht="12.75" hidden="false" customHeight="false" outlineLevel="0" collapsed="false">
      <c r="C51" s="636"/>
      <c r="G51" s="636"/>
      <c r="H51" s="643"/>
      <c r="N51" s="636" t="s">
        <v>497</v>
      </c>
      <c r="AB51" s="636"/>
      <c r="AY51" s="636"/>
      <c r="BE51" s="436"/>
      <c r="BJ51" s="436"/>
    </row>
  </sheetData>
  <mergeCells count="125">
    <mergeCell ref="H1:S1"/>
    <mergeCell ref="V1:Y1"/>
    <mergeCell ref="AH1:AR1"/>
    <mergeCell ref="AT1:AW1"/>
    <mergeCell ref="BG1:BO1"/>
    <mergeCell ref="BS1:BV1"/>
    <mergeCell ref="W2:Y2"/>
    <mergeCell ref="AU2:AW2"/>
    <mergeCell ref="BT2:BV2"/>
    <mergeCell ref="A3:B8"/>
    <mergeCell ref="C3:H4"/>
    <mergeCell ref="I3:J6"/>
    <mergeCell ref="K3:Y3"/>
    <mergeCell ref="Z3:AA8"/>
    <mergeCell ref="AB3:AW3"/>
    <mergeCell ref="AX3:AY8"/>
    <mergeCell ref="AZ3:BE3"/>
    <mergeCell ref="BF3:BI4"/>
    <mergeCell ref="BJ3:BL4"/>
    <mergeCell ref="BM3:BP4"/>
    <mergeCell ref="BQ3:BT4"/>
    <mergeCell ref="BU3:BU6"/>
    <mergeCell ref="BV3:BV6"/>
    <mergeCell ref="K4:Y4"/>
    <mergeCell ref="AB4:AO4"/>
    <mergeCell ref="AP4:AS5"/>
    <mergeCell ref="AT4:AW5"/>
    <mergeCell ref="AZ4:BC5"/>
    <mergeCell ref="BD4:BE6"/>
    <mergeCell ref="C5:D6"/>
    <mergeCell ref="E5:F6"/>
    <mergeCell ref="G5:H6"/>
    <mergeCell ref="K5:N5"/>
    <mergeCell ref="O5:R5"/>
    <mergeCell ref="S5:V5"/>
    <mergeCell ref="W5:X6"/>
    <mergeCell ref="Y5:Y6"/>
    <mergeCell ref="AB5:AE5"/>
    <mergeCell ref="AF5:AI5"/>
    <mergeCell ref="AJ5:AM5"/>
    <mergeCell ref="AN5:AO6"/>
    <mergeCell ref="BF5:BF6"/>
    <mergeCell ref="BG5:BG6"/>
    <mergeCell ref="BH5:BH6"/>
    <mergeCell ref="BI5:BI6"/>
    <mergeCell ref="BJ5:BJ6"/>
    <mergeCell ref="BK5:BL6"/>
    <mergeCell ref="BM5:BM6"/>
    <mergeCell ref="BN5:BO6"/>
    <mergeCell ref="BP5:BP6"/>
    <mergeCell ref="BQ5:BQ6"/>
    <mergeCell ref="BR5:BS6"/>
    <mergeCell ref="BT5:BT6"/>
    <mergeCell ref="K6:L6"/>
    <mergeCell ref="M6:N6"/>
    <mergeCell ref="O6:P6"/>
    <mergeCell ref="Q6:R6"/>
    <mergeCell ref="S6:T6"/>
    <mergeCell ref="U6:V6"/>
    <mergeCell ref="AB6:AC6"/>
    <mergeCell ref="AD6:AE6"/>
    <mergeCell ref="AF6:AG6"/>
    <mergeCell ref="AH6:AI6"/>
    <mergeCell ref="AJ6:AK6"/>
    <mergeCell ref="AL6:AM6"/>
    <mergeCell ref="AP6:AQ6"/>
    <mergeCell ref="AR6:AS6"/>
    <mergeCell ref="AT6:AU6"/>
    <mergeCell ref="AV6:AW6"/>
    <mergeCell ref="AZ6:BA6"/>
    <mergeCell ref="BB6:BC6"/>
    <mergeCell ref="C8:D8"/>
    <mergeCell ref="E8:F8"/>
    <mergeCell ref="I8:J8"/>
    <mergeCell ref="K8:L8"/>
    <mergeCell ref="M8:N8"/>
    <mergeCell ref="O8:P8"/>
    <mergeCell ref="Q8:R8"/>
    <mergeCell ref="S8:T8"/>
    <mergeCell ref="U8:V8"/>
    <mergeCell ref="W8:X8"/>
    <mergeCell ref="AB8:AC8"/>
    <mergeCell ref="AD8:AE8"/>
    <mergeCell ref="AF8:AG8"/>
    <mergeCell ref="AH8:AI8"/>
    <mergeCell ref="AJ8:AK8"/>
    <mergeCell ref="AL8:AM8"/>
    <mergeCell ref="AN8:AO8"/>
    <mergeCell ref="AP8:AQ8"/>
    <mergeCell ref="AR8:AS8"/>
    <mergeCell ref="AT8:AU8"/>
    <mergeCell ref="AV8:AW8"/>
    <mergeCell ref="AZ8:BA8"/>
    <mergeCell ref="BB8:BC8"/>
    <mergeCell ref="BD8:BE8"/>
    <mergeCell ref="BN8:BO8"/>
    <mergeCell ref="BR8:BS8"/>
    <mergeCell ref="A9:B9"/>
    <mergeCell ref="Z9:AA9"/>
    <mergeCell ref="AX9:AY9"/>
    <mergeCell ref="A10:A14"/>
    <mergeCell ref="Z10:Z14"/>
    <mergeCell ref="AX10:AX14"/>
    <mergeCell ref="A15:A19"/>
    <mergeCell ref="Z15:Z19"/>
    <mergeCell ref="AX15:AX19"/>
    <mergeCell ref="A20:A24"/>
    <mergeCell ref="Z20:Z24"/>
    <mergeCell ref="AX20:AX24"/>
    <mergeCell ref="A25:A29"/>
    <mergeCell ref="Z25:Z29"/>
    <mergeCell ref="AX25:AX29"/>
    <mergeCell ref="A30:A34"/>
    <mergeCell ref="Z30:Z34"/>
    <mergeCell ref="AX30:AX34"/>
    <mergeCell ref="A35:A39"/>
    <mergeCell ref="Z35:Z39"/>
    <mergeCell ref="AX35:AX39"/>
    <mergeCell ref="A40:A44"/>
    <mergeCell ref="Z40:Z44"/>
    <mergeCell ref="AX40:AX44"/>
    <mergeCell ref="A45:A49"/>
    <mergeCell ref="Z45:Z49"/>
    <mergeCell ref="AX45:AX49"/>
    <mergeCell ref="AA50:AG50"/>
  </mergeCells>
  <printOptions headings="false" gridLines="false" gridLinesSet="true" horizontalCentered="false" verticalCentered="false"/>
  <pageMargins left="0.511805555555555" right="0.511805555555555" top="0.511805555555555" bottom="0.5125" header="0.511805555555555" footer="0.315277777777778"/>
  <pageSetup paperSize="1" scale="100" firstPageNumber="22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>&amp;C&amp;"Times New Roman,Regular"&amp;8&amp;P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8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1" ySplit="5" topLeftCell="B48" activePane="bottomRight" state="frozen"/>
      <selection pane="topLeft" activeCell="A1" activeCellId="0" sqref="A1"/>
      <selection pane="topRight" activeCell="B1" activeCellId="0" sqref="B1"/>
      <selection pane="bottomLeft" activeCell="A48" activeCellId="0" sqref="A48"/>
      <selection pane="bottomRight" activeCell="D62" activeCellId="0" sqref="D62"/>
    </sheetView>
  </sheetViews>
  <sheetFormatPr defaultColWidth="9.15625" defaultRowHeight="11.25" zeroHeight="false" outlineLevelRow="0" outlineLevelCol="0"/>
  <cols>
    <col collapsed="false" customWidth="true" hidden="false" outlineLevel="0" max="1" min="1" style="644" width="10.29"/>
    <col collapsed="false" customWidth="true" hidden="false" outlineLevel="0" max="2" min="2" style="644" width="10.85"/>
    <col collapsed="false" customWidth="true" hidden="false" outlineLevel="0" max="3" min="3" style="644" width="11.14"/>
    <col collapsed="false" customWidth="true" hidden="false" outlineLevel="0" max="4" min="4" style="644" width="10.99"/>
    <col collapsed="false" customWidth="true" hidden="false" outlineLevel="0" max="5" min="5" style="644" width="11.29"/>
    <col collapsed="false" customWidth="true" hidden="false" outlineLevel="0" max="6" min="6" style="644" width="10.99"/>
    <col collapsed="false" customWidth="true" hidden="false" outlineLevel="0" max="7" min="7" style="644" width="12.42"/>
    <col collapsed="false" customWidth="true" hidden="false" outlineLevel="0" max="8" min="8" style="644" width="10.42"/>
    <col collapsed="false" customWidth="true" hidden="false" outlineLevel="0" max="9" min="9" style="644" width="10.14"/>
    <col collapsed="false" customWidth="true" hidden="false" outlineLevel="0" max="10" min="10" style="644" width="10.71"/>
    <col collapsed="false" customWidth="true" hidden="false" outlineLevel="0" max="11" min="11" style="644" width="11.86"/>
    <col collapsed="false" customWidth="true" hidden="false" outlineLevel="0" max="12" min="12" style="644" width="10.58"/>
    <col collapsed="false" customWidth="true" hidden="false" outlineLevel="0" max="13" min="13" style="644" width="12.14"/>
    <col collapsed="false" customWidth="true" hidden="false" outlineLevel="0" max="14" min="14" style="644" width="12.29"/>
    <col collapsed="false" customWidth="true" hidden="false" outlineLevel="0" max="15" min="15" style="644" width="8.86"/>
    <col collapsed="false" customWidth="true" hidden="false" outlineLevel="0" max="16" min="16" style="644" width="7.71"/>
    <col collapsed="false" customWidth="true" hidden="false" outlineLevel="0" max="17" min="17" style="644" width="8.57"/>
    <col collapsed="false" customWidth="true" hidden="false" outlineLevel="0" max="18" min="18" style="644" width="8.71"/>
    <col collapsed="false" customWidth="false" hidden="false" outlineLevel="0" max="19" min="19" style="644" width="9.14"/>
    <col collapsed="false" customWidth="true" hidden="false" outlineLevel="0" max="20" min="20" style="644" width="9.29"/>
    <col collapsed="false" customWidth="true" hidden="false" outlineLevel="0" max="21" min="21" style="644" width="13.7"/>
    <col collapsed="false" customWidth="true" hidden="false" outlineLevel="0" max="22" min="22" style="644" width="12.29"/>
    <col collapsed="false" customWidth="false" hidden="false" outlineLevel="0" max="1024" min="23" style="644" width="9.14"/>
  </cols>
  <sheetData>
    <row r="1" s="380" customFormat="true" ht="15" hidden="false" customHeight="true" outlineLevel="0" collapsed="false">
      <c r="A1" s="645"/>
      <c r="B1" s="645"/>
      <c r="C1" s="645"/>
      <c r="D1" s="645"/>
      <c r="E1" s="645"/>
      <c r="F1" s="645" t="s">
        <v>498</v>
      </c>
      <c r="G1" s="645"/>
      <c r="H1" s="646" t="s">
        <v>499</v>
      </c>
      <c r="I1" s="646"/>
      <c r="J1" s="647"/>
      <c r="K1" s="647"/>
      <c r="L1" s="645" t="s">
        <v>500</v>
      </c>
      <c r="M1" s="645"/>
      <c r="N1" s="645"/>
      <c r="O1" s="648" t="s">
        <v>501</v>
      </c>
      <c r="P1" s="648"/>
      <c r="Q1" s="648"/>
      <c r="R1" s="648"/>
      <c r="S1" s="648"/>
      <c r="T1" s="645" t="s">
        <v>502</v>
      </c>
      <c r="U1" s="645"/>
      <c r="V1" s="645"/>
    </row>
    <row r="2" s="349" customFormat="true" ht="11.25" hidden="false" customHeight="true" outlineLevel="0" collapsed="false">
      <c r="A2" s="649"/>
      <c r="B2" s="649"/>
      <c r="C2" s="649"/>
      <c r="D2" s="650"/>
      <c r="F2" s="651"/>
      <c r="H2" s="650"/>
      <c r="I2" s="650"/>
      <c r="J2" s="650"/>
      <c r="K2" s="650"/>
      <c r="L2" s="652" t="s">
        <v>110</v>
      </c>
      <c r="M2" s="652"/>
      <c r="N2" s="652"/>
      <c r="O2" s="650"/>
      <c r="P2" s="650"/>
      <c r="Q2" s="653"/>
      <c r="R2" s="653"/>
      <c r="S2" s="653"/>
      <c r="T2" s="653"/>
      <c r="U2" s="652" t="s">
        <v>110</v>
      </c>
      <c r="V2" s="652"/>
    </row>
    <row r="3" s="349" customFormat="true" ht="12.75" hidden="false" customHeight="true" outlineLevel="0" collapsed="false">
      <c r="A3" s="654" t="s">
        <v>260</v>
      </c>
      <c r="B3" s="655" t="s">
        <v>503</v>
      </c>
      <c r="C3" s="655"/>
      <c r="D3" s="655"/>
      <c r="E3" s="655" t="s">
        <v>504</v>
      </c>
      <c r="F3" s="655"/>
      <c r="G3" s="655"/>
      <c r="H3" s="655" t="s">
        <v>505</v>
      </c>
      <c r="I3" s="655"/>
      <c r="J3" s="655"/>
      <c r="K3" s="656" t="s">
        <v>506</v>
      </c>
      <c r="L3" s="656"/>
      <c r="M3" s="656"/>
      <c r="N3" s="655" t="s">
        <v>507</v>
      </c>
      <c r="O3" s="385" t="s">
        <v>260</v>
      </c>
      <c r="P3" s="657" t="s">
        <v>508</v>
      </c>
      <c r="Q3" s="655" t="s">
        <v>509</v>
      </c>
      <c r="R3" s="655"/>
      <c r="S3" s="655"/>
      <c r="T3" s="655"/>
      <c r="U3" s="655"/>
      <c r="V3" s="269" t="s">
        <v>510</v>
      </c>
    </row>
    <row r="4" s="270" customFormat="true" ht="29.25" hidden="false" customHeight="true" outlineLevel="0" collapsed="false">
      <c r="A4" s="654"/>
      <c r="B4" s="131" t="s">
        <v>511</v>
      </c>
      <c r="C4" s="131" t="s">
        <v>512</v>
      </c>
      <c r="D4" s="131" t="s">
        <v>513</v>
      </c>
      <c r="E4" s="131" t="s">
        <v>514</v>
      </c>
      <c r="F4" s="131" t="s">
        <v>515</v>
      </c>
      <c r="G4" s="131" t="s">
        <v>516</v>
      </c>
      <c r="H4" s="131" t="s">
        <v>514</v>
      </c>
      <c r="I4" s="131" t="s">
        <v>515</v>
      </c>
      <c r="J4" s="131" t="s">
        <v>517</v>
      </c>
      <c r="K4" s="131" t="s">
        <v>518</v>
      </c>
      <c r="L4" s="131" t="s">
        <v>341</v>
      </c>
      <c r="M4" s="131" t="s">
        <v>519</v>
      </c>
      <c r="N4" s="655"/>
      <c r="O4" s="385"/>
      <c r="P4" s="657"/>
      <c r="Q4" s="144" t="s">
        <v>520</v>
      </c>
      <c r="R4" s="144" t="s">
        <v>521</v>
      </c>
      <c r="S4" s="144" t="s">
        <v>522</v>
      </c>
      <c r="T4" s="144" t="s">
        <v>523</v>
      </c>
      <c r="U4" s="144" t="s">
        <v>524</v>
      </c>
      <c r="V4" s="269"/>
    </row>
    <row r="5" s="660" customFormat="true" ht="17.25" hidden="false" customHeight="true" outlineLevel="0" collapsed="false">
      <c r="A5" s="654"/>
      <c r="B5" s="503" t="n">
        <v>1</v>
      </c>
      <c r="C5" s="503" t="n">
        <v>2</v>
      </c>
      <c r="D5" s="503" t="s">
        <v>525</v>
      </c>
      <c r="E5" s="503" t="n">
        <v>4</v>
      </c>
      <c r="F5" s="503" t="n">
        <v>5</v>
      </c>
      <c r="G5" s="503" t="s">
        <v>526</v>
      </c>
      <c r="H5" s="503" t="n">
        <v>7</v>
      </c>
      <c r="I5" s="503" t="n">
        <v>8</v>
      </c>
      <c r="J5" s="503" t="s">
        <v>527</v>
      </c>
      <c r="K5" s="503" t="n">
        <v>10</v>
      </c>
      <c r="L5" s="503" t="n">
        <v>11</v>
      </c>
      <c r="M5" s="503" t="s">
        <v>528</v>
      </c>
      <c r="N5" s="503" t="s">
        <v>529</v>
      </c>
      <c r="O5" s="385"/>
      <c r="P5" s="658" t="n">
        <v>14</v>
      </c>
      <c r="Q5" s="658" t="n">
        <v>15</v>
      </c>
      <c r="R5" s="658" t="n">
        <v>16</v>
      </c>
      <c r="S5" s="658" t="n">
        <v>17</v>
      </c>
      <c r="T5" s="658" t="n">
        <v>18</v>
      </c>
      <c r="U5" s="659" t="s">
        <v>530</v>
      </c>
      <c r="V5" s="269"/>
    </row>
    <row r="6" s="148" customFormat="true" ht="9.95" hidden="false" customHeight="true" outlineLevel="0" collapsed="false">
      <c r="A6" s="661" t="s">
        <v>531</v>
      </c>
      <c r="B6" s="178" t="n">
        <v>97110.1</v>
      </c>
      <c r="C6" s="161" t="n">
        <v>133765.3</v>
      </c>
      <c r="D6" s="178" t="n">
        <f aca="false">B6-C6</f>
        <v>-36655.2</v>
      </c>
      <c r="E6" s="178" t="n">
        <v>12910.3</v>
      </c>
      <c r="F6" s="161" t="n">
        <v>23166.7</v>
      </c>
      <c r="G6" s="161" t="n">
        <f aca="false">E6-F6</f>
        <v>-10256.4</v>
      </c>
      <c r="H6" s="161" t="n">
        <v>1515.1</v>
      </c>
      <c r="I6" s="161" t="n">
        <v>7422.5</v>
      </c>
      <c r="J6" s="161" t="n">
        <f aca="false">H6-I6</f>
        <v>-5907.4</v>
      </c>
      <c r="K6" s="178" t="n">
        <f aca="false">M6-L6</f>
        <v>4017.9</v>
      </c>
      <c r="L6" s="178" t="n">
        <v>54296.9</v>
      </c>
      <c r="M6" s="161" t="n">
        <v>58314.8</v>
      </c>
      <c r="N6" s="179" t="n">
        <f aca="false">D6++G6+J6+M6</f>
        <v>5495.80000000002</v>
      </c>
      <c r="O6" s="661" t="s">
        <v>531</v>
      </c>
      <c r="P6" s="161" t="n">
        <v>3952.5</v>
      </c>
      <c r="Q6" s="178" t="n">
        <v>4459</v>
      </c>
      <c r="R6" s="161" t="n">
        <v>325.1</v>
      </c>
      <c r="S6" s="161" t="n">
        <v>-6802.5</v>
      </c>
      <c r="T6" s="161" t="n">
        <v>-7137.1</v>
      </c>
      <c r="U6" s="179" t="n">
        <f aca="false">Q6+R6+S6+T6</f>
        <v>-9155.5</v>
      </c>
      <c r="V6" s="178" t="n">
        <f aca="false">-(N6+P6+U6)</f>
        <v>-292.800000000017</v>
      </c>
    </row>
    <row r="7" s="148" customFormat="true" ht="9.95" hidden="false" customHeight="true" outlineLevel="0" collapsed="false">
      <c r="A7" s="662" t="s">
        <v>532</v>
      </c>
      <c r="B7" s="168" t="n">
        <v>107195</v>
      </c>
      <c r="C7" s="170" t="n">
        <v>139579.5</v>
      </c>
      <c r="D7" s="168" t="n">
        <v>-32384.5</v>
      </c>
      <c r="E7" s="168" t="n">
        <v>12245.1</v>
      </c>
      <c r="F7" s="170" t="n">
        <v>23663.4</v>
      </c>
      <c r="G7" s="170" t="n">
        <v>-11418.3</v>
      </c>
      <c r="H7" s="170" t="n">
        <v>653.1</v>
      </c>
      <c r="I7" s="170" t="n">
        <v>10312.6</v>
      </c>
      <c r="J7" s="170" t="n">
        <v>-9659.5</v>
      </c>
      <c r="K7" s="168" t="n">
        <v>251.8</v>
      </c>
      <c r="L7" s="168" t="n">
        <v>67715.8</v>
      </c>
      <c r="M7" s="170" t="n">
        <v>67967.6</v>
      </c>
      <c r="N7" s="169" t="n">
        <v>14505.3</v>
      </c>
      <c r="O7" s="662" t="s">
        <v>532</v>
      </c>
      <c r="P7" s="170" t="n">
        <v>3345.4</v>
      </c>
      <c r="Q7" s="168" t="n">
        <v>6980.3</v>
      </c>
      <c r="R7" s="170" t="n">
        <v>-702.1</v>
      </c>
      <c r="S7" s="170" t="n">
        <v>-11420.2</v>
      </c>
      <c r="T7" s="170" t="n">
        <v>-12960</v>
      </c>
      <c r="U7" s="169" t="n">
        <f aca="false">Q7+R7+S7+T7</f>
        <v>-18102</v>
      </c>
      <c r="V7" s="168" t="n">
        <f aca="false">-(N7+P7+U7)</f>
        <v>251.300000000003</v>
      </c>
    </row>
    <row r="8" s="492" customFormat="true" ht="9.95" hidden="false" customHeight="true" outlineLevel="0" collapsed="false">
      <c r="A8" s="661" t="s">
        <v>203</v>
      </c>
      <c r="B8" s="161" t="n">
        <v>112345.1</v>
      </c>
      <c r="C8" s="178" t="n">
        <v>147983</v>
      </c>
      <c r="D8" s="178" t="n">
        <v>-35637.9</v>
      </c>
      <c r="E8" s="161" t="n">
        <v>15453.4</v>
      </c>
      <c r="F8" s="161" t="n">
        <v>25710.8</v>
      </c>
      <c r="G8" s="161" t="n">
        <v>-10257.4</v>
      </c>
      <c r="H8" s="161" t="n">
        <v>551.7</v>
      </c>
      <c r="I8" s="178" t="n">
        <v>10566.4</v>
      </c>
      <c r="J8" s="161" t="n">
        <v>-10014.7</v>
      </c>
      <c r="K8" s="161" t="n">
        <v>864.8</v>
      </c>
      <c r="L8" s="161" t="n">
        <v>78001.3</v>
      </c>
      <c r="M8" s="161" t="n">
        <v>78866.1</v>
      </c>
      <c r="N8" s="179" t="n">
        <v>22956.1</v>
      </c>
      <c r="O8" s="661" t="s">
        <v>203</v>
      </c>
      <c r="P8" s="161" t="n">
        <v>3373.6</v>
      </c>
      <c r="Q8" s="161" t="n">
        <v>6316.4</v>
      </c>
      <c r="R8" s="161" t="n">
        <v>-2029.5</v>
      </c>
      <c r="S8" s="161" t="n">
        <v>-820.699999999999</v>
      </c>
      <c r="T8" s="161" t="n">
        <v>-24814.3</v>
      </c>
      <c r="U8" s="179" t="n">
        <f aca="false">Q8+R8+S8+T8</f>
        <v>-21348.1</v>
      </c>
      <c r="V8" s="178" t="n">
        <f aca="false">-(N8+P8+U8)</f>
        <v>-4981.6</v>
      </c>
    </row>
    <row r="9" s="223" customFormat="true" ht="9.95" hidden="false" customHeight="true" outlineLevel="0" collapsed="false">
      <c r="A9" s="662" t="s">
        <v>205</v>
      </c>
      <c r="B9" s="168" t="n">
        <v>164159.2</v>
      </c>
      <c r="C9" s="168" t="n">
        <v>216341.1</v>
      </c>
      <c r="D9" s="168" t="n">
        <v>-52181.9</v>
      </c>
      <c r="E9" s="168" t="n">
        <v>18292.9</v>
      </c>
      <c r="F9" s="168" t="n">
        <v>35500.6</v>
      </c>
      <c r="G9" s="168" t="n">
        <v>-17207.7</v>
      </c>
      <c r="H9" s="168" t="n">
        <v>871.7</v>
      </c>
      <c r="I9" s="168" t="n">
        <v>11267.1</v>
      </c>
      <c r="J9" s="168" t="n">
        <v>-10395.4</v>
      </c>
      <c r="K9" s="168" t="n">
        <v>1047.1</v>
      </c>
      <c r="L9" s="168" t="n">
        <v>84013.2</v>
      </c>
      <c r="M9" s="168" t="n">
        <v>85060.3</v>
      </c>
      <c r="N9" s="168" t="n">
        <v>5275.3</v>
      </c>
      <c r="O9" s="662" t="s">
        <v>205</v>
      </c>
      <c r="P9" s="168" t="n">
        <v>4138.1</v>
      </c>
      <c r="Q9" s="168" t="n">
        <v>5585.6</v>
      </c>
      <c r="R9" s="168" t="n">
        <v>-6109.2</v>
      </c>
      <c r="S9" s="168" t="n">
        <v>-9589.8</v>
      </c>
      <c r="T9" s="168" t="n">
        <v>5351</v>
      </c>
      <c r="U9" s="168" t="n">
        <v>-4762.4</v>
      </c>
      <c r="V9" s="168" t="n">
        <v>-4651</v>
      </c>
    </row>
    <row r="10" s="207" customFormat="true" ht="9.95" hidden="false" customHeight="true" outlineLevel="0" collapsed="false">
      <c r="A10" s="661" t="s">
        <v>282</v>
      </c>
      <c r="B10" s="178" t="n">
        <v>193375.5</v>
      </c>
      <c r="C10" s="178" t="n">
        <v>253042.2</v>
      </c>
      <c r="D10" s="178" t="n">
        <v>-59666.7</v>
      </c>
      <c r="E10" s="178" t="n">
        <v>19370.4</v>
      </c>
      <c r="F10" s="178" t="n">
        <v>41880.3</v>
      </c>
      <c r="G10" s="178" t="n">
        <v>-22509.9</v>
      </c>
      <c r="H10" s="178" t="n">
        <v>1523.3</v>
      </c>
      <c r="I10" s="178" t="n">
        <v>13242.2</v>
      </c>
      <c r="J10" s="178" t="n">
        <v>-11718.9</v>
      </c>
      <c r="K10" s="178" t="n">
        <v>829.2</v>
      </c>
      <c r="L10" s="178" t="n">
        <v>101982.6</v>
      </c>
      <c r="M10" s="178" t="n">
        <v>102811.8</v>
      </c>
      <c r="N10" s="178" t="n">
        <v>8916.3</v>
      </c>
      <c r="O10" s="661" t="s">
        <v>282</v>
      </c>
      <c r="P10" s="178" t="n">
        <v>3678.5</v>
      </c>
      <c r="Q10" s="178" t="n">
        <v>9088.2</v>
      </c>
      <c r="R10" s="178" t="n">
        <v>4142.6</v>
      </c>
      <c r="S10" s="178" t="n">
        <v>-17391</v>
      </c>
      <c r="T10" s="178" t="n">
        <v>-2324.5</v>
      </c>
      <c r="U10" s="178" t="n">
        <v>-6484.7</v>
      </c>
      <c r="V10" s="178" t="n">
        <v>-6110.1</v>
      </c>
    </row>
    <row r="11" s="207" customFormat="true" ht="9.95" hidden="false" customHeight="true" outlineLevel="0" collapsed="false">
      <c r="A11" s="663" t="s">
        <v>533</v>
      </c>
      <c r="B11" s="664" t="n">
        <f aca="false">SUM(B12:B15)</f>
        <v>211643</v>
      </c>
      <c r="C11" s="664" t="n">
        <f aca="false">SUM(C12:C15)</f>
        <v>272427.1</v>
      </c>
      <c r="D11" s="664" t="n">
        <f aca="false">SUM(D12:D15)</f>
        <v>-60784.1</v>
      </c>
      <c r="E11" s="664" t="n">
        <f aca="false">SUM(E12:E15)</f>
        <v>22601.1</v>
      </c>
      <c r="F11" s="664" t="n">
        <f aca="false">SUM(F12:F15)</f>
        <v>48387.1</v>
      </c>
      <c r="G11" s="664" t="n">
        <f aca="false">SUM(G12:G15)</f>
        <v>-25786</v>
      </c>
      <c r="H11" s="664" t="n">
        <f aca="false">SUM(H12:H15)</f>
        <v>965</v>
      </c>
      <c r="I11" s="664" t="n">
        <f aca="false">SUM(I12:I15)</f>
        <v>19441.6</v>
      </c>
      <c r="J11" s="664" t="n">
        <f aca="false">SUM(J12:J15)</f>
        <v>-18476.6</v>
      </c>
      <c r="K11" s="664" t="n">
        <f aca="false">SUM(K12:K15)</f>
        <v>516.6</v>
      </c>
      <c r="L11" s="664" t="n">
        <f aca="false">SUM(L12:L15)</f>
        <v>119520.4</v>
      </c>
      <c r="M11" s="664" t="n">
        <f aca="false">SUM(M12:M15)</f>
        <v>120037</v>
      </c>
      <c r="N11" s="664" t="n">
        <f aca="false">SUM(N12:N15)</f>
        <v>14990.3</v>
      </c>
      <c r="O11" s="663" t="s">
        <v>533</v>
      </c>
      <c r="P11" s="664" t="n">
        <f aca="false">SUM(P12:P15)</f>
        <v>4690.8</v>
      </c>
      <c r="Q11" s="664" t="n">
        <f aca="false">SUM(Q12:Q15)</f>
        <v>-13776.3</v>
      </c>
      <c r="R11" s="664" t="n">
        <f aca="false">SUM(R12:R15)</f>
        <v>742.9</v>
      </c>
      <c r="S11" s="664" t="n">
        <f aca="false">SUM(S12:S15)</f>
        <v>-15951.5</v>
      </c>
      <c r="T11" s="664" t="n">
        <f aca="false">SUM(T12:T15)</f>
        <v>41316</v>
      </c>
      <c r="U11" s="664" t="n">
        <f aca="false">SUM(U12:U15)</f>
        <v>12331.1</v>
      </c>
      <c r="V11" s="664" t="n">
        <f aca="false">SUM(V12:V15)</f>
        <v>-7350</v>
      </c>
    </row>
    <row r="12" s="207" customFormat="true" ht="9.95" hidden="false" customHeight="true" outlineLevel="0" collapsed="false">
      <c r="A12" s="661" t="s">
        <v>534</v>
      </c>
      <c r="B12" s="178" t="n">
        <v>50410.7</v>
      </c>
      <c r="C12" s="178" t="n">
        <v>66242.4</v>
      </c>
      <c r="D12" s="178" t="n">
        <f aca="false">B12-C12</f>
        <v>-15831.7</v>
      </c>
      <c r="E12" s="161" t="n">
        <v>5609.4</v>
      </c>
      <c r="F12" s="161" t="n">
        <v>12293.4</v>
      </c>
      <c r="G12" s="178" t="n">
        <f aca="false">E12-F12</f>
        <v>-6684</v>
      </c>
      <c r="H12" s="178" t="n">
        <v>349.3</v>
      </c>
      <c r="I12" s="178" t="n">
        <v>5446.4</v>
      </c>
      <c r="J12" s="178" t="n">
        <f aca="false">H12-I12</f>
        <v>-5097.1</v>
      </c>
      <c r="K12" s="178" t="n">
        <v>242.6</v>
      </c>
      <c r="L12" s="178" t="n">
        <v>29798.7</v>
      </c>
      <c r="M12" s="178" t="n">
        <f aca="false">K12+L12</f>
        <v>30041.3</v>
      </c>
      <c r="N12" s="179" t="n">
        <f aca="false">D12++G12+J12+M12</f>
        <v>2428.5</v>
      </c>
      <c r="O12" s="661" t="s">
        <v>534</v>
      </c>
      <c r="P12" s="178" t="n">
        <v>1051</v>
      </c>
      <c r="Q12" s="178" t="n">
        <v>-3242.7</v>
      </c>
      <c r="R12" s="178" t="n">
        <v>-1032.6</v>
      </c>
      <c r="S12" s="178" t="n">
        <v>2109.8</v>
      </c>
      <c r="T12" s="178" t="n">
        <v>6019</v>
      </c>
      <c r="U12" s="179" t="n">
        <f aca="false">Q12+R12+S12+T12</f>
        <v>3853.5</v>
      </c>
      <c r="V12" s="178" t="n">
        <f aca="false">-(N12+P12-U12)</f>
        <v>373.999999999997</v>
      </c>
    </row>
    <row r="13" s="207" customFormat="true" ht="9.95" hidden="false" customHeight="true" outlineLevel="0" collapsed="false">
      <c r="A13" s="662" t="s">
        <v>535</v>
      </c>
      <c r="B13" s="168" t="n">
        <v>50177.8</v>
      </c>
      <c r="C13" s="192" t="n">
        <v>65773.3</v>
      </c>
      <c r="D13" s="168" t="n">
        <f aca="false">B13-C13</f>
        <v>-15595.5</v>
      </c>
      <c r="E13" s="168" t="n">
        <v>5759.8</v>
      </c>
      <c r="F13" s="170" t="n">
        <v>12670.2</v>
      </c>
      <c r="G13" s="168" t="n">
        <f aca="false">E13-F13</f>
        <v>-6910.4</v>
      </c>
      <c r="H13" s="168" t="n">
        <v>265.1</v>
      </c>
      <c r="I13" s="168" t="n">
        <v>4126.3</v>
      </c>
      <c r="J13" s="168" t="n">
        <f aca="false">H13-I13</f>
        <v>-3861.2</v>
      </c>
      <c r="K13" s="168" t="n">
        <v>116.6</v>
      </c>
      <c r="L13" s="168" t="n">
        <v>32413.6</v>
      </c>
      <c r="M13" s="168" t="n">
        <f aca="false">K13+L13</f>
        <v>32530.2</v>
      </c>
      <c r="N13" s="169" t="n">
        <f aca="false">D13++G13+J13+M13</f>
        <v>6163.1</v>
      </c>
      <c r="O13" s="662" t="s">
        <v>535</v>
      </c>
      <c r="P13" s="168" t="n">
        <v>1548.6</v>
      </c>
      <c r="Q13" s="168" t="n">
        <v>-3238.3</v>
      </c>
      <c r="R13" s="168" t="n">
        <v>1528.8</v>
      </c>
      <c r="S13" s="168" t="n">
        <v>-7249.6</v>
      </c>
      <c r="T13" s="170" t="n">
        <v>12228.5</v>
      </c>
      <c r="U13" s="169" t="n">
        <f aca="false">Q13+R13+S13+T13</f>
        <v>3269.4</v>
      </c>
      <c r="V13" s="168" t="n">
        <f aca="false">-(N13+P13-U13)</f>
        <v>-4442.3</v>
      </c>
    </row>
    <row r="14" s="207" customFormat="true" ht="9.95" hidden="false" customHeight="true" outlineLevel="0" collapsed="false">
      <c r="A14" s="661" t="s">
        <v>536</v>
      </c>
      <c r="B14" s="178" t="n">
        <v>55023.1</v>
      </c>
      <c r="C14" s="178" t="n">
        <v>66242.7</v>
      </c>
      <c r="D14" s="178" t="n">
        <f aca="false">B14-C14</f>
        <v>-11219.6</v>
      </c>
      <c r="E14" s="161" t="n">
        <v>5395.4</v>
      </c>
      <c r="F14" s="161" t="n">
        <v>10954.2</v>
      </c>
      <c r="G14" s="178" t="n">
        <f aca="false">E14-F14</f>
        <v>-5558.8</v>
      </c>
      <c r="H14" s="178" t="n">
        <v>152.7</v>
      </c>
      <c r="I14" s="178" t="n">
        <v>4615.1</v>
      </c>
      <c r="J14" s="178" t="n">
        <f aca="false">H14-I14</f>
        <v>-4462.4</v>
      </c>
      <c r="K14" s="178" t="n">
        <v>79.9</v>
      </c>
      <c r="L14" s="178" t="n">
        <v>30301.4</v>
      </c>
      <c r="M14" s="178" t="n">
        <f aca="false">K14+L14</f>
        <v>30381.3</v>
      </c>
      <c r="N14" s="179" t="n">
        <f aca="false">D14++G14+J14+M14</f>
        <v>9140.5</v>
      </c>
      <c r="O14" s="661" t="s">
        <v>536</v>
      </c>
      <c r="P14" s="178" t="n">
        <v>1061.1</v>
      </c>
      <c r="Q14" s="178" t="n">
        <v>-3658.2</v>
      </c>
      <c r="R14" s="178" t="n">
        <v>-6.1</v>
      </c>
      <c r="S14" s="178" t="n">
        <v>1996.8</v>
      </c>
      <c r="T14" s="178" t="n">
        <v>10823.3</v>
      </c>
      <c r="U14" s="179" t="n">
        <f aca="false">Q14+R14+S14+T14</f>
        <v>9155.8</v>
      </c>
      <c r="V14" s="178" t="n">
        <f aca="false">-(N14+P14-U14)</f>
        <v>-1045.8</v>
      </c>
    </row>
    <row r="15" s="207" customFormat="true" ht="9.95" hidden="false" customHeight="true" outlineLevel="0" collapsed="false">
      <c r="A15" s="662" t="s">
        <v>537</v>
      </c>
      <c r="B15" s="168" t="n">
        <v>56031.4</v>
      </c>
      <c r="C15" s="168" t="n">
        <v>74168.7</v>
      </c>
      <c r="D15" s="168" t="n">
        <f aca="false">B15-C15</f>
        <v>-18137.3</v>
      </c>
      <c r="E15" s="170" t="n">
        <v>5836.5</v>
      </c>
      <c r="F15" s="170" t="n">
        <v>12469.3</v>
      </c>
      <c r="G15" s="168" t="n">
        <f aca="false">E15-F15</f>
        <v>-6632.8</v>
      </c>
      <c r="H15" s="168" t="n">
        <v>197.9</v>
      </c>
      <c r="I15" s="168" t="n">
        <v>5253.8</v>
      </c>
      <c r="J15" s="168" t="n">
        <f aca="false">H15-I15</f>
        <v>-5055.9</v>
      </c>
      <c r="K15" s="168" t="n">
        <v>77.5</v>
      </c>
      <c r="L15" s="168" t="n">
        <v>27006.7</v>
      </c>
      <c r="M15" s="168" t="n">
        <f aca="false">K15+L15</f>
        <v>27084.2</v>
      </c>
      <c r="N15" s="169" t="n">
        <f aca="false">D15++G15+J15+M15</f>
        <v>-2741.8</v>
      </c>
      <c r="O15" s="662" t="s">
        <v>537</v>
      </c>
      <c r="P15" s="168" t="n">
        <v>1030.1</v>
      </c>
      <c r="Q15" s="168" t="n">
        <v>-3637.1</v>
      </c>
      <c r="R15" s="168" t="n">
        <v>252.8</v>
      </c>
      <c r="S15" s="168" t="n">
        <v>-12808.5</v>
      </c>
      <c r="T15" s="170" t="n">
        <v>12245.2</v>
      </c>
      <c r="U15" s="169" t="n">
        <f aca="false">Q15+R15+S15+T15</f>
        <v>-3947.6</v>
      </c>
      <c r="V15" s="168" t="n">
        <f aca="false">-(N15+P15-U15)</f>
        <v>-2235.9</v>
      </c>
    </row>
    <row r="16" s="207" customFormat="true" ht="9.95" hidden="false" customHeight="true" outlineLevel="0" collapsed="false">
      <c r="A16" s="665" t="s">
        <v>208</v>
      </c>
      <c r="B16" s="666" t="n">
        <f aca="false">SUM(B17:B20)</f>
        <v>230946.3</v>
      </c>
      <c r="C16" s="666" t="n">
        <f aca="false">SUM(C17:C20)</f>
        <v>286835.7</v>
      </c>
      <c r="D16" s="666" t="n">
        <f aca="false">SUM(D17:D20)</f>
        <v>-55889.4</v>
      </c>
      <c r="E16" s="666" t="n">
        <f aca="false">SUM(E17:E20)</f>
        <v>24212.9</v>
      </c>
      <c r="F16" s="666" t="n">
        <f aca="false">SUM(F17:F20)</f>
        <v>56129.4</v>
      </c>
      <c r="G16" s="666" t="n">
        <f aca="false">SUM(G17:G20)</f>
        <v>-31916.5</v>
      </c>
      <c r="H16" s="666" t="n">
        <f aca="false">SUM(H17:H20)</f>
        <v>1011.5</v>
      </c>
      <c r="I16" s="666" t="n">
        <f aca="false">SUM(I17:I20)</f>
        <v>21168.1</v>
      </c>
      <c r="J16" s="666" t="n">
        <f aca="false">SUM(J17:J20)</f>
        <v>-20156.6</v>
      </c>
      <c r="K16" s="666" t="n">
        <f aca="false">SUM(K17:K20)</f>
        <v>615.2</v>
      </c>
      <c r="L16" s="666" t="n">
        <f aca="false">SUM(L17:L20)</f>
        <v>115425</v>
      </c>
      <c r="M16" s="666" t="n">
        <f aca="false">SUM(M17:M20)</f>
        <v>116040.2</v>
      </c>
      <c r="N16" s="666" t="n">
        <f aca="false">SUM(N17:N20)</f>
        <v>8077.7</v>
      </c>
      <c r="O16" s="665" t="s">
        <v>208</v>
      </c>
      <c r="P16" s="666" t="n">
        <f aca="false">SUM(P17:P20)</f>
        <v>5009.5</v>
      </c>
      <c r="Q16" s="666" t="n">
        <f aca="false">SUM(Q17:Q20)</f>
        <v>-11562.9</v>
      </c>
      <c r="R16" s="666" t="n">
        <f aca="false">SUM(R17:R20)</f>
        <v>-3019.9</v>
      </c>
      <c r="S16" s="666" t="n">
        <f aca="false">SUM(S17:S20)</f>
        <v>-17019.4</v>
      </c>
      <c r="T16" s="666" t="n">
        <f aca="false">SUM(T17:T20)</f>
        <v>45942.1</v>
      </c>
      <c r="U16" s="666" t="n">
        <f aca="false">SUM(U17:U20)</f>
        <v>14339.9</v>
      </c>
      <c r="V16" s="666" t="n">
        <f aca="false">SUM(V17:V20)</f>
        <v>1252.69999999999</v>
      </c>
    </row>
    <row r="17" s="207" customFormat="true" ht="9.95" hidden="false" customHeight="true" outlineLevel="0" collapsed="false">
      <c r="A17" s="662" t="s">
        <v>534</v>
      </c>
      <c r="B17" s="168" t="n">
        <v>58485.3</v>
      </c>
      <c r="C17" s="168" t="n">
        <v>69051.1</v>
      </c>
      <c r="D17" s="168" t="n">
        <f aca="false">B17-C17</f>
        <v>-10565.8</v>
      </c>
      <c r="E17" s="168" t="n">
        <v>5686.6</v>
      </c>
      <c r="F17" s="168" t="n">
        <v>13333.4</v>
      </c>
      <c r="G17" s="168" t="n">
        <f aca="false">E17-F17</f>
        <v>-7646.8</v>
      </c>
      <c r="H17" s="168" t="n">
        <v>371.8</v>
      </c>
      <c r="I17" s="168" t="n">
        <v>5638.6</v>
      </c>
      <c r="J17" s="168" t="n">
        <f aca="false">H17-I17</f>
        <v>-5266.8</v>
      </c>
      <c r="K17" s="168" t="n">
        <v>117.3</v>
      </c>
      <c r="L17" s="168" t="n">
        <v>26557.8</v>
      </c>
      <c r="M17" s="168" t="n">
        <f aca="false">K17+L17</f>
        <v>26675.1</v>
      </c>
      <c r="N17" s="169" t="n">
        <f aca="false">D17++G17+J17+M17</f>
        <v>3195.7</v>
      </c>
      <c r="O17" s="662" t="s">
        <v>534</v>
      </c>
      <c r="P17" s="168" t="n">
        <v>1558.6</v>
      </c>
      <c r="Q17" s="168" t="n">
        <v>-2578.2</v>
      </c>
      <c r="R17" s="168" t="n">
        <v>-1321.4</v>
      </c>
      <c r="S17" s="168" t="n">
        <v>2920.1</v>
      </c>
      <c r="T17" s="170" t="n">
        <v>4898.7</v>
      </c>
      <c r="U17" s="169" t="n">
        <f aca="false">Q17+R17+S17+T17</f>
        <v>3919.2</v>
      </c>
      <c r="V17" s="168" t="n">
        <f aca="false">-(N17+P17-U17)</f>
        <v>-835.099999999998</v>
      </c>
    </row>
    <row r="18" s="207" customFormat="true" ht="9.95" hidden="false" customHeight="true" outlineLevel="0" collapsed="false">
      <c r="A18" s="661" t="s">
        <v>535</v>
      </c>
      <c r="B18" s="178" t="n">
        <v>54108.6</v>
      </c>
      <c r="C18" s="178" t="n">
        <v>63864.9</v>
      </c>
      <c r="D18" s="178" t="n">
        <f aca="false">B18-C18</f>
        <v>-9756.3</v>
      </c>
      <c r="E18" s="178" t="n">
        <v>6480.5</v>
      </c>
      <c r="F18" s="178" t="n">
        <v>14506.4</v>
      </c>
      <c r="G18" s="178" t="n">
        <f aca="false">E18-F18</f>
        <v>-8025.9</v>
      </c>
      <c r="H18" s="178" t="n">
        <v>309.3</v>
      </c>
      <c r="I18" s="178" t="n">
        <v>5102.4</v>
      </c>
      <c r="J18" s="178" t="n">
        <f aca="false">H18-I18</f>
        <v>-4793.1</v>
      </c>
      <c r="K18" s="178" t="n">
        <v>334.6</v>
      </c>
      <c r="L18" s="178" t="n">
        <v>28796.1</v>
      </c>
      <c r="M18" s="178" t="n">
        <f aca="false">K18+L18</f>
        <v>29130.7</v>
      </c>
      <c r="N18" s="179" t="n">
        <f aca="false">D18++G18+J18+M18</f>
        <v>6555.39999999999</v>
      </c>
      <c r="O18" s="661" t="s">
        <v>535</v>
      </c>
      <c r="P18" s="178" t="n">
        <v>2009.6</v>
      </c>
      <c r="Q18" s="178" t="n">
        <v>-2579.8</v>
      </c>
      <c r="R18" s="178" t="n">
        <v>44.2</v>
      </c>
      <c r="S18" s="178" t="n">
        <v>-10405.1</v>
      </c>
      <c r="T18" s="178" t="n">
        <v>15407.7</v>
      </c>
      <c r="U18" s="179" t="n">
        <f aca="false">Q18+R18+S18+T18</f>
        <v>2467</v>
      </c>
      <c r="V18" s="178" t="n">
        <f aca="false">-(N18+P18-U18)</f>
        <v>-6097.99999999999</v>
      </c>
    </row>
    <row r="19" s="207" customFormat="true" ht="9.95" hidden="false" customHeight="true" outlineLevel="0" collapsed="false">
      <c r="A19" s="662" t="s">
        <v>536</v>
      </c>
      <c r="B19" s="168" t="n">
        <v>57795.4</v>
      </c>
      <c r="C19" s="168" t="n">
        <v>75040.3</v>
      </c>
      <c r="D19" s="168" t="n">
        <f aca="false">B19-C19</f>
        <v>-17244.9</v>
      </c>
      <c r="E19" s="168" t="n">
        <v>5784</v>
      </c>
      <c r="F19" s="168" t="n">
        <v>12885.8</v>
      </c>
      <c r="G19" s="168" t="n">
        <f aca="false">E19-F19</f>
        <v>-7101.8</v>
      </c>
      <c r="H19" s="168" t="n">
        <v>191.8</v>
      </c>
      <c r="I19" s="168" t="n">
        <v>4686.9</v>
      </c>
      <c r="J19" s="168" t="n">
        <f aca="false">H19-I19</f>
        <v>-4495.1</v>
      </c>
      <c r="K19" s="168" t="n">
        <v>111.9</v>
      </c>
      <c r="L19" s="168" t="n">
        <v>29979.7</v>
      </c>
      <c r="M19" s="168" t="n">
        <f aca="false">K19+L19</f>
        <v>30091.6</v>
      </c>
      <c r="N19" s="169" t="n">
        <f aca="false">D19++G19+J19+M19</f>
        <v>1249.8</v>
      </c>
      <c r="O19" s="662" t="s">
        <v>536</v>
      </c>
      <c r="P19" s="168" t="n">
        <v>758</v>
      </c>
      <c r="Q19" s="168" t="n">
        <v>-3404.8</v>
      </c>
      <c r="R19" s="168" t="n">
        <v>1627.5</v>
      </c>
      <c r="S19" s="168" t="n">
        <v>2039.2</v>
      </c>
      <c r="T19" s="168" t="n">
        <v>8876.4</v>
      </c>
      <c r="U19" s="169" t="n">
        <f aca="false">Q19+R19+S19+T19</f>
        <v>9138.3</v>
      </c>
      <c r="V19" s="168" t="n">
        <f aca="false">-(N19+P19-U19)</f>
        <v>7130.5</v>
      </c>
    </row>
    <row r="20" s="207" customFormat="true" ht="9.95" hidden="false" customHeight="true" outlineLevel="0" collapsed="false">
      <c r="A20" s="661" t="s">
        <v>537</v>
      </c>
      <c r="B20" s="178" t="n">
        <v>60557</v>
      </c>
      <c r="C20" s="178" t="n">
        <v>78879.4</v>
      </c>
      <c r="D20" s="178" t="n">
        <f aca="false">B20-C20</f>
        <v>-18322.4</v>
      </c>
      <c r="E20" s="178" t="n">
        <v>6261.8</v>
      </c>
      <c r="F20" s="178" t="n">
        <v>15403.8</v>
      </c>
      <c r="G20" s="178" t="n">
        <f aca="false">E20-F20</f>
        <v>-9142</v>
      </c>
      <c r="H20" s="178" t="n">
        <v>138.6</v>
      </c>
      <c r="I20" s="178" t="n">
        <v>5740.2</v>
      </c>
      <c r="J20" s="178" t="n">
        <f aca="false">H20-I20</f>
        <v>-5601.6</v>
      </c>
      <c r="K20" s="178" t="n">
        <v>51.4</v>
      </c>
      <c r="L20" s="178" t="n">
        <v>30091.4</v>
      </c>
      <c r="M20" s="178" t="n">
        <f aca="false">K20+L20</f>
        <v>30142.8</v>
      </c>
      <c r="N20" s="179" t="n">
        <f aca="false">D20++G20+J20+M20</f>
        <v>-2923.19999999999</v>
      </c>
      <c r="O20" s="661" t="s">
        <v>537</v>
      </c>
      <c r="P20" s="178" t="n">
        <v>683.3</v>
      </c>
      <c r="Q20" s="178" t="n">
        <v>-3000.1</v>
      </c>
      <c r="R20" s="178" t="n">
        <v>-3370.2</v>
      </c>
      <c r="S20" s="178" t="n">
        <v>-11573.6</v>
      </c>
      <c r="T20" s="178" t="n">
        <v>16759.3</v>
      </c>
      <c r="U20" s="179" t="n">
        <f aca="false">Q20+R20+S20+T20</f>
        <v>-1184.6</v>
      </c>
      <c r="V20" s="178" t="n">
        <f aca="false">-(N20+P20-U20)</f>
        <v>1055.29999999999</v>
      </c>
    </row>
    <row r="21" s="223" customFormat="true" ht="9.95" hidden="false" customHeight="true" outlineLevel="0" collapsed="false">
      <c r="A21" s="663" t="s">
        <v>209</v>
      </c>
      <c r="B21" s="664" t="n">
        <f aca="false">SUM(B22:B25)</f>
        <v>238483.7</v>
      </c>
      <c r="C21" s="664" t="n">
        <f aca="false">SUM(C22:C25)</f>
        <v>284654.7</v>
      </c>
      <c r="D21" s="664" t="n">
        <f aca="false">SUM(D22:D25)</f>
        <v>-46171</v>
      </c>
      <c r="E21" s="664" t="n">
        <f aca="false">SUM(E22:E25)</f>
        <v>23956.9</v>
      </c>
      <c r="F21" s="664" t="n">
        <f aca="false">SUM(F22:F25)</f>
        <v>64556.6</v>
      </c>
      <c r="G21" s="664" t="n">
        <f aca="false">SUM(G22:G25)</f>
        <v>-40599.7</v>
      </c>
      <c r="H21" s="664" t="n">
        <f aca="false">SUM(H22:H25)</f>
        <v>582.6</v>
      </c>
      <c r="I21" s="664" t="n">
        <f aca="false">SUM(I22:I25)</f>
        <v>22769.8</v>
      </c>
      <c r="J21" s="664" t="n">
        <f aca="false">SUM(J22:J25)</f>
        <v>-22187.2</v>
      </c>
      <c r="K21" s="664" t="n">
        <f aca="false">SUM(K22:K25)</f>
        <v>594.6</v>
      </c>
      <c r="L21" s="664" t="n">
        <f aca="false">SUM(L22:L25)</f>
        <v>122888.8</v>
      </c>
      <c r="M21" s="664" t="n">
        <f aca="false">SUM(M22:M25)</f>
        <v>123483.4</v>
      </c>
      <c r="N21" s="664" t="n">
        <f aca="false">SUM(N22:N25)</f>
        <v>14525.5</v>
      </c>
      <c r="O21" s="667" t="s">
        <v>209</v>
      </c>
      <c r="P21" s="664" t="n">
        <f aca="false">SUM(P22:P25)</f>
        <v>4024.9</v>
      </c>
      <c r="Q21" s="664" t="n">
        <f aca="false">SUM(Q22:Q25)</f>
        <v>-14217</v>
      </c>
      <c r="R21" s="664" t="n">
        <f aca="false">SUM(R22:R25)</f>
        <v>-4157.5</v>
      </c>
      <c r="S21" s="664" t="n">
        <f aca="false">SUM(S22:S25)</f>
        <v>-3580</v>
      </c>
      <c r="T21" s="664" t="n">
        <f aca="false">SUM(T22:T25)</f>
        <v>33041</v>
      </c>
      <c r="U21" s="664" t="n">
        <f aca="false">SUM(U22:U25)</f>
        <v>11086.5</v>
      </c>
      <c r="V21" s="664" t="n">
        <f aca="false">SUM(V22:V25)</f>
        <v>-7463.90000000001</v>
      </c>
    </row>
    <row r="22" s="207" customFormat="true" ht="9.95" hidden="false" customHeight="true" outlineLevel="0" collapsed="false">
      <c r="A22" s="661" t="s">
        <v>534</v>
      </c>
      <c r="B22" s="178" t="n">
        <v>58763.3</v>
      </c>
      <c r="C22" s="178" t="n">
        <v>67955.6</v>
      </c>
      <c r="D22" s="178" t="n">
        <f aca="false">B22-C22</f>
        <v>-9192.3</v>
      </c>
      <c r="E22" s="178" t="n">
        <v>5790</v>
      </c>
      <c r="F22" s="178" t="n">
        <v>15003.6</v>
      </c>
      <c r="G22" s="178" t="n">
        <f aca="false">E22-F22</f>
        <v>-9213.6</v>
      </c>
      <c r="H22" s="186" t="n">
        <v>189.5</v>
      </c>
      <c r="I22" s="186" t="n">
        <v>6243.7</v>
      </c>
      <c r="J22" s="186" t="n">
        <f aca="false">H22-I22</f>
        <v>-6054.2</v>
      </c>
      <c r="K22" s="186" t="n">
        <v>158</v>
      </c>
      <c r="L22" s="186" t="n">
        <v>31829.8</v>
      </c>
      <c r="M22" s="186" t="n">
        <f aca="false">K22+L22</f>
        <v>31987.8</v>
      </c>
      <c r="N22" s="180" t="n">
        <f aca="false">D22++G22+J22+M22</f>
        <v>7527.7</v>
      </c>
      <c r="O22" s="668" t="s">
        <v>534</v>
      </c>
      <c r="P22" s="186" t="n">
        <v>1108.6</v>
      </c>
      <c r="Q22" s="186" t="n">
        <v>-2637.7</v>
      </c>
      <c r="R22" s="186" t="n">
        <v>-3010.8</v>
      </c>
      <c r="S22" s="186" t="n">
        <v>4057.2</v>
      </c>
      <c r="T22" s="186" t="n">
        <v>5014.2</v>
      </c>
      <c r="U22" s="180" t="n">
        <f aca="false">Q22+R22+S22+T22</f>
        <v>3422.9</v>
      </c>
      <c r="V22" s="178" t="n">
        <f aca="false">-(N22+P22-U22)</f>
        <v>-5213.4</v>
      </c>
    </row>
    <row r="23" s="207" customFormat="true" ht="9.95" hidden="false" customHeight="true" outlineLevel="0" collapsed="false">
      <c r="A23" s="662" t="s">
        <v>535</v>
      </c>
      <c r="B23" s="168" t="n">
        <v>55218</v>
      </c>
      <c r="C23" s="168" t="n">
        <v>68562.4</v>
      </c>
      <c r="D23" s="168" t="n">
        <f aca="false">B23-C23</f>
        <v>-13344.4</v>
      </c>
      <c r="E23" s="168" t="n">
        <v>6487.3</v>
      </c>
      <c r="F23" s="168" t="n">
        <v>17034.3</v>
      </c>
      <c r="G23" s="168" t="n">
        <f aca="false">E23-F23</f>
        <v>-10547</v>
      </c>
      <c r="H23" s="192" t="n">
        <v>108.8</v>
      </c>
      <c r="I23" s="192" t="n">
        <v>5131.4</v>
      </c>
      <c r="J23" s="192" t="n">
        <f aca="false">H23-I23</f>
        <v>-5022.6</v>
      </c>
      <c r="K23" s="192" t="n">
        <v>176.8</v>
      </c>
      <c r="L23" s="192" t="n">
        <v>28737</v>
      </c>
      <c r="M23" s="192" t="n">
        <f aca="false">K23+L23</f>
        <v>28913.8</v>
      </c>
      <c r="N23" s="171" t="n">
        <f aca="false">D23++G23+J23+M23</f>
        <v>-0.199999999993452</v>
      </c>
      <c r="O23" s="662" t="s">
        <v>535</v>
      </c>
      <c r="P23" s="192" t="n">
        <v>1305.5</v>
      </c>
      <c r="Q23" s="192" t="n">
        <v>-3067.2</v>
      </c>
      <c r="R23" s="192" t="n">
        <v>1173.1</v>
      </c>
      <c r="S23" s="192" t="n">
        <v>-7116</v>
      </c>
      <c r="T23" s="192" t="n">
        <v>5362.8</v>
      </c>
      <c r="U23" s="171" t="n">
        <f aca="false">Q23+R23+S23+T23</f>
        <v>-3647.3</v>
      </c>
      <c r="V23" s="168" t="n">
        <f aca="false">-(N23+P23-U23)</f>
        <v>-4952.60000000001</v>
      </c>
    </row>
    <row r="24" s="207" customFormat="true" ht="9.95" hidden="false" customHeight="true" outlineLevel="0" collapsed="false">
      <c r="A24" s="661" t="s">
        <v>536</v>
      </c>
      <c r="B24" s="178" t="n">
        <v>61177.1</v>
      </c>
      <c r="C24" s="178" t="n">
        <v>69187.7</v>
      </c>
      <c r="D24" s="178" t="n">
        <f aca="false">B24-C24</f>
        <v>-8010.6</v>
      </c>
      <c r="E24" s="178" t="n">
        <v>5508.7</v>
      </c>
      <c r="F24" s="178" t="n">
        <v>15305.2</v>
      </c>
      <c r="G24" s="178" t="n">
        <f aca="false">E24-F24</f>
        <v>-9796.5</v>
      </c>
      <c r="H24" s="186" t="n">
        <v>156</v>
      </c>
      <c r="I24" s="186" t="n">
        <v>5663.1</v>
      </c>
      <c r="J24" s="186" t="n">
        <f aca="false">H24-I24</f>
        <v>-5507.1</v>
      </c>
      <c r="K24" s="186" t="n">
        <v>81.4</v>
      </c>
      <c r="L24" s="186" t="n">
        <v>30021.5</v>
      </c>
      <c r="M24" s="186" t="n">
        <f aca="false">K24+L24</f>
        <v>30102.9</v>
      </c>
      <c r="N24" s="180" t="n">
        <f aca="false">D24++G24+J24+M24</f>
        <v>6788.7</v>
      </c>
      <c r="O24" s="661" t="s">
        <v>536</v>
      </c>
      <c r="P24" s="186" t="n">
        <v>542.8</v>
      </c>
      <c r="Q24" s="186" t="n">
        <v>-4719.2</v>
      </c>
      <c r="R24" s="186" t="n">
        <v>-932.7</v>
      </c>
      <c r="S24" s="186" t="n">
        <v>9475.2</v>
      </c>
      <c r="T24" s="186" t="n">
        <v>8244.6</v>
      </c>
      <c r="U24" s="180" t="n">
        <f aca="false">Q24+R24+S24+T24</f>
        <v>12067.9</v>
      </c>
      <c r="V24" s="178" t="n">
        <f aca="false">-(N24+P24-U24)</f>
        <v>4736.4</v>
      </c>
    </row>
    <row r="25" s="207" customFormat="true" ht="9.95" hidden="false" customHeight="true" outlineLevel="0" collapsed="false">
      <c r="A25" s="662" t="s">
        <v>537</v>
      </c>
      <c r="B25" s="168" t="n">
        <v>63325.3</v>
      </c>
      <c r="C25" s="168" t="n">
        <v>78949</v>
      </c>
      <c r="D25" s="168" t="n">
        <f aca="false">B25-C25</f>
        <v>-15623.7</v>
      </c>
      <c r="E25" s="168" t="n">
        <v>6170.9</v>
      </c>
      <c r="F25" s="168" t="n">
        <v>17213.5</v>
      </c>
      <c r="G25" s="168" t="n">
        <f aca="false">E25-F25</f>
        <v>-11042.6</v>
      </c>
      <c r="H25" s="192" t="n">
        <v>128.3</v>
      </c>
      <c r="I25" s="192" t="n">
        <v>5731.6</v>
      </c>
      <c r="J25" s="192" t="n">
        <f aca="false">H25-I25</f>
        <v>-5603.3</v>
      </c>
      <c r="K25" s="192" t="n">
        <v>178.4</v>
      </c>
      <c r="L25" s="192" t="n">
        <v>32300.5</v>
      </c>
      <c r="M25" s="192" t="n">
        <f aca="false">K25+L25</f>
        <v>32478.9</v>
      </c>
      <c r="N25" s="171" t="n">
        <f aca="false">D25++G25+J25+M25</f>
        <v>209.300000000007</v>
      </c>
      <c r="O25" s="662" t="s">
        <v>537</v>
      </c>
      <c r="P25" s="192" t="n">
        <v>1068</v>
      </c>
      <c r="Q25" s="192" t="n">
        <v>-3792.9</v>
      </c>
      <c r="R25" s="192" t="n">
        <v>-1387.1</v>
      </c>
      <c r="S25" s="192" t="n">
        <v>-9996.4</v>
      </c>
      <c r="T25" s="192" t="n">
        <v>14419.4</v>
      </c>
      <c r="U25" s="171" t="n">
        <f aca="false">Q25+R25+S25+T25</f>
        <v>-757</v>
      </c>
      <c r="V25" s="168" t="n">
        <f aca="false">-(N25+P25-U25)</f>
        <v>-2034.30000000001</v>
      </c>
    </row>
    <row r="26" s="207" customFormat="true" ht="9.95" hidden="false" customHeight="true" outlineLevel="0" collapsed="false">
      <c r="A26" s="665" t="s">
        <v>211</v>
      </c>
      <c r="B26" s="666" t="n">
        <f aca="false">SUM(B27:B30)</f>
        <v>261822.6</v>
      </c>
      <c r="C26" s="666" t="n">
        <f aca="false">SUM(C27:C30)</f>
        <v>303951.9</v>
      </c>
      <c r="D26" s="666" t="n">
        <f aca="false">SUM(D27:D30)</f>
        <v>-42129.3</v>
      </c>
      <c r="E26" s="666" t="n">
        <f aca="false">SUM(E27:E30)</f>
        <v>27156.7</v>
      </c>
      <c r="F26" s="666" t="n">
        <f aca="false">SUM(F27:F30)</f>
        <v>57509.7</v>
      </c>
      <c r="G26" s="666" t="n">
        <f aca="false">SUM(G27:G30)</f>
        <v>-30353</v>
      </c>
      <c r="H26" s="666" t="n">
        <f aca="false">SUM(H27:H30)</f>
        <v>1200.1</v>
      </c>
      <c r="I26" s="666" t="n">
        <f aca="false">SUM(I27:I30)</f>
        <v>20802</v>
      </c>
      <c r="J26" s="666" t="n">
        <f aca="false">SUM(J27:J30)</f>
        <v>-19601.9</v>
      </c>
      <c r="K26" s="666" t="n">
        <f aca="false">SUM(K27:K30)</f>
        <v>532.1</v>
      </c>
      <c r="L26" s="666" t="n">
        <f aca="false">SUM(L27:L30)</f>
        <v>119572.5</v>
      </c>
      <c r="M26" s="666" t="n">
        <f aca="false">SUM(M27:M30)</f>
        <v>120104.6</v>
      </c>
      <c r="N26" s="666" t="n">
        <f aca="false">SUM(N27:N30)</f>
        <v>28020.4</v>
      </c>
      <c r="O26" s="665" t="s">
        <v>211</v>
      </c>
      <c r="P26" s="666" t="n">
        <f aca="false">SUM(P27:P30)</f>
        <v>3748.4</v>
      </c>
      <c r="Q26" s="666" t="n">
        <f aca="false">SUM(Q27:Q30)</f>
        <v>-15496</v>
      </c>
      <c r="R26" s="666" t="n">
        <f aca="false">SUM(R27:R30)</f>
        <v>3977.3</v>
      </c>
      <c r="S26" s="666" t="n">
        <f aca="false">SUM(S27:S30)</f>
        <v>-13250.5</v>
      </c>
      <c r="T26" s="666" t="n">
        <f aca="false">SUM(T27:T30)</f>
        <v>42962.3</v>
      </c>
      <c r="U26" s="666" t="n">
        <f aca="false">SUM(U27:U30)</f>
        <v>18193.1</v>
      </c>
      <c r="V26" s="666" t="n">
        <f aca="false">SUM(V27:V30)</f>
        <v>-13575.7</v>
      </c>
    </row>
    <row r="27" s="207" customFormat="true" ht="9.95" hidden="false" customHeight="true" outlineLevel="0" collapsed="false">
      <c r="A27" s="662" t="s">
        <v>534</v>
      </c>
      <c r="B27" s="168" t="n">
        <v>59442.1</v>
      </c>
      <c r="C27" s="168" t="n">
        <v>66334.2</v>
      </c>
      <c r="D27" s="168" t="n">
        <f aca="false">B27-C27</f>
        <v>-6892.1</v>
      </c>
      <c r="E27" s="168" t="n">
        <v>6720.8</v>
      </c>
      <c r="F27" s="168" t="n">
        <v>13331.9</v>
      </c>
      <c r="G27" s="168" t="n">
        <f aca="false">E27-F27</f>
        <v>-6611.1</v>
      </c>
      <c r="H27" s="192" t="n">
        <v>438.1</v>
      </c>
      <c r="I27" s="192" t="n">
        <v>5119.5</v>
      </c>
      <c r="J27" s="192" t="n">
        <f aca="false">H27-I27</f>
        <v>-4681.4</v>
      </c>
      <c r="K27" s="192" t="n">
        <v>106.1</v>
      </c>
      <c r="L27" s="192" t="n">
        <v>31252.8</v>
      </c>
      <c r="M27" s="192" t="n">
        <f aca="false">K27+L27</f>
        <v>31358.9</v>
      </c>
      <c r="N27" s="171" t="n">
        <f aca="false">D27++G27+J27+M27</f>
        <v>13174.3</v>
      </c>
      <c r="O27" s="669" t="s">
        <v>534</v>
      </c>
      <c r="P27" s="192" t="n">
        <v>741</v>
      </c>
      <c r="Q27" s="192" t="n">
        <v>-4603.5</v>
      </c>
      <c r="R27" s="192" t="n">
        <v>-68.6</v>
      </c>
      <c r="S27" s="192" t="n">
        <v>3482.7</v>
      </c>
      <c r="T27" s="192" t="n">
        <v>11547</v>
      </c>
      <c r="U27" s="171" t="n">
        <f aca="false">Q27+R27+S27+T27</f>
        <v>10357.6</v>
      </c>
      <c r="V27" s="168" t="n">
        <f aca="false">-(N27+P27-U27)</f>
        <v>-3557.7</v>
      </c>
    </row>
    <row r="28" s="207" customFormat="true" ht="9.95" hidden="false" customHeight="true" outlineLevel="0" collapsed="false">
      <c r="A28" s="661" t="s">
        <v>535</v>
      </c>
      <c r="B28" s="178" t="n">
        <v>63437</v>
      </c>
      <c r="C28" s="178" t="n">
        <v>80652.4</v>
      </c>
      <c r="D28" s="178" t="n">
        <f aca="false">B28-C28</f>
        <v>-17215.4</v>
      </c>
      <c r="E28" s="178" t="n">
        <v>6804.7</v>
      </c>
      <c r="F28" s="178" t="n">
        <v>14314.6</v>
      </c>
      <c r="G28" s="178" t="n">
        <f aca="false">E28-F28</f>
        <v>-7509.9</v>
      </c>
      <c r="H28" s="186" t="n">
        <v>359.3</v>
      </c>
      <c r="I28" s="186" t="n">
        <v>4697.5</v>
      </c>
      <c r="J28" s="186" t="n">
        <f aca="false">H28-I28</f>
        <v>-4338.2</v>
      </c>
      <c r="K28" s="186" t="n">
        <v>130.9</v>
      </c>
      <c r="L28" s="186" t="n">
        <v>28831.1</v>
      </c>
      <c r="M28" s="186" t="n">
        <f aca="false">K28+L28</f>
        <v>28962</v>
      </c>
      <c r="N28" s="180" t="n">
        <f aca="false">D28++G28+J28+M28</f>
        <v>-101.499999999996</v>
      </c>
      <c r="O28" s="668" t="s">
        <v>535</v>
      </c>
      <c r="P28" s="186" t="n">
        <v>1096.6</v>
      </c>
      <c r="Q28" s="186" t="n">
        <v>-4138.8</v>
      </c>
      <c r="R28" s="186" t="n">
        <v>811.5</v>
      </c>
      <c r="S28" s="186" t="n">
        <v>-5942.4</v>
      </c>
      <c r="T28" s="186" t="n">
        <v>9622.5</v>
      </c>
      <c r="U28" s="180" t="n">
        <f aca="false">Q28+R28+S28+T28</f>
        <v>352.799999999999</v>
      </c>
      <c r="V28" s="178" t="n">
        <f aca="false">-(N28+P28-U28)</f>
        <v>-642.300000000004</v>
      </c>
    </row>
    <row r="29" s="207" customFormat="true" ht="9.95" hidden="false" customHeight="true" outlineLevel="0" collapsed="false">
      <c r="A29" s="662" t="s">
        <v>536</v>
      </c>
      <c r="B29" s="168" t="n">
        <v>67692.9</v>
      </c>
      <c r="C29" s="168" t="n">
        <v>74910.1</v>
      </c>
      <c r="D29" s="168" t="n">
        <f aca="false">B29-C29</f>
        <v>-7217.20000000001</v>
      </c>
      <c r="E29" s="168" t="n">
        <v>6535.6</v>
      </c>
      <c r="F29" s="168" t="n">
        <v>14012.2</v>
      </c>
      <c r="G29" s="168" t="n">
        <f aca="false">E29-F29</f>
        <v>-7476.6</v>
      </c>
      <c r="H29" s="192" t="n">
        <v>222.1</v>
      </c>
      <c r="I29" s="192" t="n">
        <v>4594.4</v>
      </c>
      <c r="J29" s="192" t="n">
        <f aca="false">H29-I29</f>
        <v>-4372.3</v>
      </c>
      <c r="K29" s="192" t="n">
        <v>181.5</v>
      </c>
      <c r="L29" s="192" t="n">
        <v>28449</v>
      </c>
      <c r="M29" s="192" t="n">
        <f aca="false">K29+L29</f>
        <v>28630.5</v>
      </c>
      <c r="N29" s="171" t="n">
        <f aca="false">D29++G29+J29+M29</f>
        <v>9564.39999999999</v>
      </c>
      <c r="O29" s="669" t="s">
        <v>536</v>
      </c>
      <c r="P29" s="192" t="n">
        <v>1102.7</v>
      </c>
      <c r="Q29" s="192" t="n">
        <v>-3207.5</v>
      </c>
      <c r="R29" s="192" t="n">
        <v>-191.7</v>
      </c>
      <c r="S29" s="192" t="n">
        <v>3484</v>
      </c>
      <c r="T29" s="192" t="n">
        <v>6149.2</v>
      </c>
      <c r="U29" s="171" t="n">
        <f aca="false">Q29+R29+S29+T29</f>
        <v>6234</v>
      </c>
      <c r="V29" s="168" t="n">
        <f aca="false">-(N29+P29-U29)</f>
        <v>-4433.09999999999</v>
      </c>
    </row>
    <row r="30" s="207" customFormat="true" ht="9.95" hidden="false" customHeight="true" outlineLevel="0" collapsed="false">
      <c r="A30" s="661" t="s">
        <v>537</v>
      </c>
      <c r="B30" s="178" t="n">
        <v>71250.6</v>
      </c>
      <c r="C30" s="178" t="n">
        <v>82055.2</v>
      </c>
      <c r="D30" s="178" t="n">
        <f aca="false">B30-C30</f>
        <v>-10804.6</v>
      </c>
      <c r="E30" s="178" t="n">
        <v>7095.6</v>
      </c>
      <c r="F30" s="178" t="n">
        <v>15851</v>
      </c>
      <c r="G30" s="178" t="n">
        <f aca="false">E30-F30</f>
        <v>-8755.4</v>
      </c>
      <c r="H30" s="186" t="n">
        <v>180.6</v>
      </c>
      <c r="I30" s="186" t="n">
        <v>6390.6</v>
      </c>
      <c r="J30" s="186" t="n">
        <f aca="false">H30-I30</f>
        <v>-6210</v>
      </c>
      <c r="K30" s="186" t="n">
        <v>113.6</v>
      </c>
      <c r="L30" s="186" t="n">
        <v>31039.6</v>
      </c>
      <c r="M30" s="186" t="n">
        <f aca="false">K30+L30</f>
        <v>31153.2</v>
      </c>
      <c r="N30" s="180" t="n">
        <f aca="false">D30++G30+J30+M30</f>
        <v>5383.2</v>
      </c>
      <c r="O30" s="668" t="s">
        <v>537</v>
      </c>
      <c r="P30" s="186" t="n">
        <v>808.1</v>
      </c>
      <c r="Q30" s="186" t="n">
        <v>-3546.2</v>
      </c>
      <c r="R30" s="186" t="n">
        <v>3426.1</v>
      </c>
      <c r="S30" s="186" t="n">
        <v>-14274.8</v>
      </c>
      <c r="T30" s="186" t="n">
        <v>15643.6</v>
      </c>
      <c r="U30" s="180" t="n">
        <f aca="false">Q30+R30+S30+T30</f>
        <v>1248.7</v>
      </c>
      <c r="V30" s="178" t="n">
        <f aca="false">-(N30+P30-U30)</f>
        <v>-4942.6</v>
      </c>
    </row>
    <row r="31" s="222" customFormat="true" ht="9.95" hidden="false" customHeight="true" outlineLevel="0" collapsed="false">
      <c r="A31" s="663" t="s">
        <v>212</v>
      </c>
      <c r="B31" s="664" t="n">
        <f aca="false">SUM(B32:B35)</f>
        <v>269251.7</v>
      </c>
      <c r="C31" s="664" t="n">
        <f aca="false">SUM(C32:C35)</f>
        <v>334930</v>
      </c>
      <c r="D31" s="664" t="n">
        <f aca="false">SUM(D32:D35)</f>
        <v>-65678.3</v>
      </c>
      <c r="E31" s="664" t="n">
        <f aca="false">SUM(E32:E35)</f>
        <v>28718.6</v>
      </c>
      <c r="F31" s="664" t="n">
        <f aca="false">SUM(F32:F35)</f>
        <v>64385.6</v>
      </c>
      <c r="G31" s="664" t="n">
        <f aca="false">SUM(G32:G35)</f>
        <v>-35667</v>
      </c>
      <c r="H31" s="664" t="n">
        <f aca="false">SUM(H32:H35)</f>
        <v>812.4</v>
      </c>
      <c r="I31" s="664" t="n">
        <f aca="false">SUM(I32:I35)</f>
        <v>21662.2</v>
      </c>
      <c r="J31" s="664" t="n">
        <f aca="false">SUM(J32:J35)</f>
        <v>-20849.8</v>
      </c>
      <c r="K31" s="664" t="n">
        <f aca="false">SUM(K32:K35)</f>
        <v>343.8</v>
      </c>
      <c r="L31" s="664" t="n">
        <f aca="false">SUM(L32:L35)</f>
        <v>105172.2</v>
      </c>
      <c r="M31" s="664" t="n">
        <f aca="false">SUM(M32:M35)</f>
        <v>105516</v>
      </c>
      <c r="N31" s="664" t="n">
        <f aca="false">SUM(N32:N35)</f>
        <v>-16679.1</v>
      </c>
      <c r="O31" s="663" t="s">
        <v>212</v>
      </c>
      <c r="P31" s="664" t="n">
        <f aca="false">SUM(P32:P35)</f>
        <v>2486.4</v>
      </c>
      <c r="Q31" s="664" t="n">
        <f aca="false">SUM(Q32:Q35)</f>
        <v>-18863.1</v>
      </c>
      <c r="R31" s="664" t="n">
        <f aca="false">SUM(R32:R35)</f>
        <v>-1288.7</v>
      </c>
      <c r="S31" s="664" t="n">
        <f aca="false">SUM(S32:S35)</f>
        <v>-27292</v>
      </c>
      <c r="T31" s="664" t="n">
        <f aca="false">SUM(T32:T35)</f>
        <v>26394.4</v>
      </c>
      <c r="U31" s="664" t="n">
        <f aca="false">SUM(U32:U35)</f>
        <v>-21049.4</v>
      </c>
      <c r="V31" s="664" t="n">
        <f aca="false">SUM(V32:V35)</f>
        <v>-6856.69999999998</v>
      </c>
    </row>
    <row r="32" s="222" customFormat="true" ht="9.95" hidden="false" customHeight="true" outlineLevel="0" collapsed="false">
      <c r="A32" s="661" t="s">
        <v>534</v>
      </c>
      <c r="B32" s="178" t="n">
        <v>62005.9</v>
      </c>
      <c r="C32" s="178" t="n">
        <v>72490.8</v>
      </c>
      <c r="D32" s="178" t="n">
        <f aca="false">B32-C32</f>
        <v>-10484.9</v>
      </c>
      <c r="E32" s="178" t="n">
        <v>6787.5</v>
      </c>
      <c r="F32" s="178" t="n">
        <v>14905.5</v>
      </c>
      <c r="G32" s="178" t="n">
        <f aca="false">E32-F32</f>
        <v>-8118</v>
      </c>
      <c r="H32" s="186" t="n">
        <v>165.1</v>
      </c>
      <c r="I32" s="186" t="n">
        <v>5789.6</v>
      </c>
      <c r="J32" s="186" t="n">
        <f aca="false">H32-I32</f>
        <v>-5624.5</v>
      </c>
      <c r="K32" s="186" t="n">
        <v>103.4</v>
      </c>
      <c r="L32" s="186" t="n">
        <v>26671.1</v>
      </c>
      <c r="M32" s="186" t="n">
        <f aca="false">K32+L32</f>
        <v>26774.5</v>
      </c>
      <c r="N32" s="180" t="n">
        <f aca="false">D32++G32+J32+M32</f>
        <v>2547.1</v>
      </c>
      <c r="O32" s="661" t="s">
        <v>534</v>
      </c>
      <c r="P32" s="186" t="n">
        <v>493.5</v>
      </c>
      <c r="Q32" s="186" t="n">
        <v>-4754.7</v>
      </c>
      <c r="R32" s="186" t="n">
        <v>-422.9</v>
      </c>
      <c r="S32" s="186" t="n">
        <v>1061.7</v>
      </c>
      <c r="T32" s="186" t="n">
        <v>7745.3</v>
      </c>
      <c r="U32" s="180" t="n">
        <f aca="false">Q32+R32+S32+T32</f>
        <v>3629.4</v>
      </c>
      <c r="V32" s="178" t="n">
        <f aca="false">-(N32+P32-U32)</f>
        <v>588.800000000002</v>
      </c>
    </row>
    <row r="33" s="222" customFormat="true" ht="9.95" hidden="false" customHeight="true" outlineLevel="0" collapsed="false">
      <c r="A33" s="662" t="s">
        <v>535</v>
      </c>
      <c r="B33" s="168" t="n">
        <v>66800.1</v>
      </c>
      <c r="C33" s="168" t="n">
        <v>87302</v>
      </c>
      <c r="D33" s="168" t="n">
        <f aca="false">B33-C33</f>
        <v>-20501.9</v>
      </c>
      <c r="E33" s="168" t="n">
        <v>7364.4</v>
      </c>
      <c r="F33" s="168" t="n">
        <v>16453.2</v>
      </c>
      <c r="G33" s="168" t="n">
        <f aca="false">E33-F33</f>
        <v>-9088.8</v>
      </c>
      <c r="H33" s="192" t="n">
        <v>170.8</v>
      </c>
      <c r="I33" s="192" t="n">
        <v>5041.6</v>
      </c>
      <c r="J33" s="192" t="n">
        <f aca="false">H33-I33</f>
        <v>-4870.8</v>
      </c>
      <c r="K33" s="192" t="n">
        <v>112.6</v>
      </c>
      <c r="L33" s="192" t="n">
        <v>24143.2</v>
      </c>
      <c r="M33" s="192" t="n">
        <f aca="false">K33+L33</f>
        <v>24255.8</v>
      </c>
      <c r="N33" s="171" t="n">
        <f aca="false">D33++G33+J33+M33</f>
        <v>-10205.7</v>
      </c>
      <c r="O33" s="662" t="s">
        <v>535</v>
      </c>
      <c r="P33" s="192" t="n">
        <v>949.8</v>
      </c>
      <c r="Q33" s="192" t="n">
        <v>-6481.3</v>
      </c>
      <c r="R33" s="192" t="n">
        <v>-3148.9</v>
      </c>
      <c r="S33" s="192" t="n">
        <v>-10725.6</v>
      </c>
      <c r="T33" s="192" t="n">
        <v>10290</v>
      </c>
      <c r="U33" s="171" t="n">
        <f aca="false">Q33+R33+S33+T33</f>
        <v>-10065.8</v>
      </c>
      <c r="V33" s="168" t="n">
        <f aca="false">-(N33+P33-U33)</f>
        <v>-809.900000000001</v>
      </c>
    </row>
    <row r="34" s="222" customFormat="true" ht="9.95" hidden="false" customHeight="true" outlineLevel="0" collapsed="false">
      <c r="A34" s="661" t="s">
        <v>536</v>
      </c>
      <c r="B34" s="178" t="n">
        <v>70661.9</v>
      </c>
      <c r="C34" s="178" t="n">
        <v>88241.6</v>
      </c>
      <c r="D34" s="178" t="n">
        <f aca="false">B34-C34</f>
        <v>-17579.7</v>
      </c>
      <c r="E34" s="178" t="n">
        <v>7320.8</v>
      </c>
      <c r="F34" s="178" t="n">
        <v>16659.4</v>
      </c>
      <c r="G34" s="178" t="n">
        <f aca="false">E34-F34</f>
        <v>-9338.6</v>
      </c>
      <c r="H34" s="186" t="n">
        <v>204.4</v>
      </c>
      <c r="I34" s="186" t="n">
        <v>5107.5</v>
      </c>
      <c r="J34" s="186" t="n">
        <f aca="false">H34-I34</f>
        <v>-4903.1</v>
      </c>
      <c r="K34" s="186" t="n">
        <v>83.2</v>
      </c>
      <c r="L34" s="186" t="n">
        <v>24602.4</v>
      </c>
      <c r="M34" s="186" t="n">
        <f aca="false">K34+L34</f>
        <v>24685.6</v>
      </c>
      <c r="N34" s="180" t="n">
        <f aca="false">D34++G34+J34+M34</f>
        <v>-7135.80000000001</v>
      </c>
      <c r="O34" s="661" t="s">
        <v>536</v>
      </c>
      <c r="P34" s="186" t="n">
        <v>450.3</v>
      </c>
      <c r="Q34" s="186" t="n">
        <v>-3739.3</v>
      </c>
      <c r="R34" s="186" t="n">
        <v>745.3</v>
      </c>
      <c r="S34" s="186" t="n">
        <v>-4348.7</v>
      </c>
      <c r="T34" s="186" t="n">
        <v>-517.5</v>
      </c>
      <c r="U34" s="180" t="n">
        <f aca="false">Q34+R34+S34+T34</f>
        <v>-7860.2</v>
      </c>
      <c r="V34" s="178" t="n">
        <f aca="false">-(N34+P34-U34)</f>
        <v>-1174.69999999999</v>
      </c>
    </row>
    <row r="35" s="222" customFormat="true" ht="9.95" hidden="false" customHeight="true" outlineLevel="0" collapsed="false">
      <c r="A35" s="662" t="s">
        <v>537</v>
      </c>
      <c r="B35" s="168" t="n">
        <v>69783.8</v>
      </c>
      <c r="C35" s="168" t="n">
        <v>86895.6</v>
      </c>
      <c r="D35" s="168" t="n">
        <f aca="false">B35-C35</f>
        <v>-17111.8</v>
      </c>
      <c r="E35" s="168" t="n">
        <v>7245.9</v>
      </c>
      <c r="F35" s="168" t="n">
        <v>16367.5</v>
      </c>
      <c r="G35" s="168" t="n">
        <f aca="false">E35-F35</f>
        <v>-9121.6</v>
      </c>
      <c r="H35" s="192" t="n">
        <v>272.1</v>
      </c>
      <c r="I35" s="192" t="n">
        <v>5723.5</v>
      </c>
      <c r="J35" s="192" t="n">
        <f aca="false">H35-I35</f>
        <v>-5451.4</v>
      </c>
      <c r="K35" s="192" t="n">
        <v>44.6</v>
      </c>
      <c r="L35" s="192" t="n">
        <v>29755.5</v>
      </c>
      <c r="M35" s="192" t="n">
        <f aca="false">K35+L35</f>
        <v>29800.1</v>
      </c>
      <c r="N35" s="171" t="n">
        <f aca="false">D35++G35+J35+M35</f>
        <v>-1884.7</v>
      </c>
      <c r="O35" s="662" t="s">
        <v>537</v>
      </c>
      <c r="P35" s="192" t="n">
        <v>592.8</v>
      </c>
      <c r="Q35" s="192" t="n">
        <v>-3887.8</v>
      </c>
      <c r="R35" s="192" t="n">
        <v>1537.8</v>
      </c>
      <c r="S35" s="192" t="n">
        <v>-13279.4</v>
      </c>
      <c r="T35" s="192" t="n">
        <v>8876.6</v>
      </c>
      <c r="U35" s="171" t="n">
        <f aca="false">Q35+R35+S35+T35</f>
        <v>-6752.8</v>
      </c>
      <c r="V35" s="168" t="n">
        <f aca="false">-(N35+P35-U35)</f>
        <v>-5460.9</v>
      </c>
    </row>
    <row r="36" s="222" customFormat="true" ht="9.95" hidden="false" customHeight="true" outlineLevel="0" collapsed="false">
      <c r="A36" s="665" t="s">
        <v>213</v>
      </c>
      <c r="B36" s="666" t="n">
        <f aca="false">SUM(B37:B40)</f>
        <v>297456.2</v>
      </c>
      <c r="C36" s="666" t="n">
        <f aca="false">SUM(C37:C40)</f>
        <v>447422.4</v>
      </c>
      <c r="D36" s="666" t="n">
        <f aca="false">SUM(D37:D40)</f>
        <v>-149966.2</v>
      </c>
      <c r="E36" s="666" t="n">
        <f aca="false">SUM(E37:E40)</f>
        <v>37062.9</v>
      </c>
      <c r="F36" s="666" t="n">
        <f aca="false">SUM(F37:F40)</f>
        <v>76200.3</v>
      </c>
      <c r="G36" s="666" t="n">
        <f aca="false">SUM(G37:G40)</f>
        <v>-39137.4</v>
      </c>
      <c r="H36" s="666" t="n">
        <f aca="false">SUM(H37:H40)</f>
        <v>1035.1</v>
      </c>
      <c r="I36" s="666" t="n">
        <f aca="false">SUM(I37:I40)</f>
        <v>18647.8</v>
      </c>
      <c r="J36" s="666" t="n">
        <f aca="false">SUM(J37:J40)</f>
        <v>-17612.7</v>
      </c>
      <c r="K36" s="666" t="n">
        <f aca="false">SUM(K37:K40)</f>
        <v>397.6</v>
      </c>
      <c r="L36" s="666" t="n">
        <f aca="false">SUM(L37:L40)</f>
        <v>126970.9</v>
      </c>
      <c r="M36" s="666" t="n">
        <f aca="false">SUM(M37:M40)</f>
        <v>127368.5</v>
      </c>
      <c r="N36" s="666" t="n">
        <f aca="false">SUM(N37:N40)</f>
        <v>-79347.8</v>
      </c>
      <c r="O36" s="665" t="s">
        <v>213</v>
      </c>
      <c r="P36" s="666" t="n">
        <f aca="false">SUM(P37:P40)</f>
        <v>2398.7</v>
      </c>
      <c r="Q36" s="666" t="n">
        <f aca="false">SUM(Q37:Q40)</f>
        <v>-14874.1</v>
      </c>
      <c r="R36" s="666" t="n">
        <f aca="false">SUM(R37:R40)</f>
        <v>664.4</v>
      </c>
      <c r="S36" s="666" t="n">
        <f aca="false">SUM(S37:S40)</f>
        <v>-59732.4</v>
      </c>
      <c r="T36" s="666" t="n">
        <f aca="false">SUM(T37:T40)</f>
        <v>-6402.3</v>
      </c>
      <c r="U36" s="666" t="n">
        <f aca="false">SUM(U37:U40)</f>
        <v>-80344.4</v>
      </c>
      <c r="V36" s="666" t="n">
        <f aca="false">SUM(V37:V40)</f>
        <v>-3395.29999999999</v>
      </c>
    </row>
    <row r="37" s="222" customFormat="true" ht="9.95" hidden="false" customHeight="true" outlineLevel="0" collapsed="false">
      <c r="A37" s="662" t="s">
        <v>534</v>
      </c>
      <c r="B37" s="168" t="n">
        <v>68969.8</v>
      </c>
      <c r="C37" s="168" t="n">
        <v>98425.8</v>
      </c>
      <c r="D37" s="168" t="n">
        <f aca="false">B37-C37</f>
        <v>-29456</v>
      </c>
      <c r="E37" s="168" t="n">
        <v>7797.9</v>
      </c>
      <c r="F37" s="168" t="n">
        <v>16636.8</v>
      </c>
      <c r="G37" s="168" t="n">
        <f aca="false">E37-F37</f>
        <v>-8838.9</v>
      </c>
      <c r="H37" s="192" t="n">
        <v>224.6</v>
      </c>
      <c r="I37" s="192" t="n">
        <v>4263.6</v>
      </c>
      <c r="J37" s="192" t="n">
        <f aca="false">H37-I37</f>
        <v>-4039</v>
      </c>
      <c r="K37" s="192" t="n">
        <v>97.2</v>
      </c>
      <c r="L37" s="192" t="n">
        <v>27772.4</v>
      </c>
      <c r="M37" s="192" t="n">
        <f aca="false">K37+L37</f>
        <v>27869.6</v>
      </c>
      <c r="N37" s="171" t="n">
        <f aca="false">D37+G37+J37+M37</f>
        <v>-14464.3</v>
      </c>
      <c r="O37" s="662" t="s">
        <v>534</v>
      </c>
      <c r="P37" s="192" t="n">
        <v>519.3</v>
      </c>
      <c r="Q37" s="192" t="n">
        <v>-1710.9</v>
      </c>
      <c r="R37" s="192" t="n">
        <v>573.1</v>
      </c>
      <c r="S37" s="192" t="n">
        <v>-8333.3</v>
      </c>
      <c r="T37" s="192" t="n">
        <v>-6625</v>
      </c>
      <c r="U37" s="171" t="n">
        <f aca="false">Q37+R37+S37+T37</f>
        <v>-16096.1</v>
      </c>
      <c r="V37" s="168" t="n">
        <f aca="false">-(N37+P37-U37)</f>
        <v>-2151.1</v>
      </c>
    </row>
    <row r="38" s="222" customFormat="true" ht="9.95" hidden="false" customHeight="true" outlineLevel="0" collapsed="false">
      <c r="A38" s="661" t="s">
        <v>535</v>
      </c>
      <c r="B38" s="178" t="n">
        <v>74553.6</v>
      </c>
      <c r="C38" s="178" t="n">
        <v>115042.6</v>
      </c>
      <c r="D38" s="178" t="n">
        <f aca="false">B38-C38</f>
        <v>-40489</v>
      </c>
      <c r="E38" s="178" t="n">
        <v>8780.4</v>
      </c>
      <c r="F38" s="178" t="n">
        <v>18716.1</v>
      </c>
      <c r="G38" s="178" t="n">
        <f aca="false">E38-F38</f>
        <v>-9935.7</v>
      </c>
      <c r="H38" s="186" t="n">
        <v>191.4</v>
      </c>
      <c r="I38" s="186" t="n">
        <v>5033.5</v>
      </c>
      <c r="J38" s="186" t="n">
        <f aca="false">H38-I38</f>
        <v>-4842.1</v>
      </c>
      <c r="K38" s="186" t="n">
        <v>219.1</v>
      </c>
      <c r="L38" s="186" t="n">
        <v>30119.4</v>
      </c>
      <c r="M38" s="186" t="n">
        <f aca="false">K38+L38</f>
        <v>30338.5</v>
      </c>
      <c r="N38" s="180" t="n">
        <f aca="false">D38+G38+J38+M38</f>
        <v>-24928.3</v>
      </c>
      <c r="O38" s="661" t="s">
        <v>535</v>
      </c>
      <c r="P38" s="186" t="n">
        <v>798.6</v>
      </c>
      <c r="Q38" s="186" t="n">
        <v>-4203.1</v>
      </c>
      <c r="R38" s="186" t="n">
        <v>-1450.2</v>
      </c>
      <c r="S38" s="186" t="n">
        <v>-16810.8</v>
      </c>
      <c r="T38" s="186" t="n">
        <v>3232.9</v>
      </c>
      <c r="U38" s="180" t="n">
        <f aca="false">Q38+R38+S38+T38</f>
        <v>-19231.2</v>
      </c>
      <c r="V38" s="178" t="n">
        <f aca="false">-(N38+P38-U38)</f>
        <v>4898.5</v>
      </c>
    </row>
    <row r="39" s="222" customFormat="true" ht="9.95" hidden="false" customHeight="true" outlineLevel="0" collapsed="false">
      <c r="A39" s="662" t="s">
        <v>536</v>
      </c>
      <c r="B39" s="168" t="n">
        <v>78019.4</v>
      </c>
      <c r="C39" s="168" t="n">
        <v>115941.7</v>
      </c>
      <c r="D39" s="168" t="n">
        <f aca="false">B39-C39</f>
        <v>-37922.3</v>
      </c>
      <c r="E39" s="168" t="n">
        <v>9475.9</v>
      </c>
      <c r="F39" s="168" t="n">
        <v>18471.3</v>
      </c>
      <c r="G39" s="168" t="n">
        <f aca="false">E39-F39</f>
        <v>-8995.4</v>
      </c>
      <c r="H39" s="192" t="n">
        <v>251.7</v>
      </c>
      <c r="I39" s="192" t="n">
        <v>4551.7</v>
      </c>
      <c r="J39" s="192" t="n">
        <f aca="false">H39-I39</f>
        <v>-4300</v>
      </c>
      <c r="K39" s="192" t="n">
        <v>41.7</v>
      </c>
      <c r="L39" s="192" t="n">
        <v>32444.2</v>
      </c>
      <c r="M39" s="192" t="n">
        <f aca="false">K39+L39</f>
        <v>32485.9</v>
      </c>
      <c r="N39" s="171" t="n">
        <f aca="false">D39+G39+J39+M39</f>
        <v>-18731.8</v>
      </c>
      <c r="O39" s="662" t="s">
        <v>536</v>
      </c>
      <c r="P39" s="192" t="n">
        <v>554.6</v>
      </c>
      <c r="Q39" s="192" t="n">
        <v>-3082.8</v>
      </c>
      <c r="R39" s="192" t="n">
        <v>451</v>
      </c>
      <c r="S39" s="192" t="n">
        <v>-8851.3</v>
      </c>
      <c r="T39" s="192" t="n">
        <v>-8321.9</v>
      </c>
      <c r="U39" s="171" t="n">
        <f aca="false">Q39+R39+S39+T39</f>
        <v>-19805</v>
      </c>
      <c r="V39" s="168" t="n">
        <f aca="false">-(N39+P39-U39)</f>
        <v>-1627.8</v>
      </c>
    </row>
    <row r="40" s="222" customFormat="true" ht="9.95" hidden="false" customHeight="true" outlineLevel="0" collapsed="false">
      <c r="A40" s="661" t="s">
        <v>537</v>
      </c>
      <c r="B40" s="178" t="n">
        <v>75913.4</v>
      </c>
      <c r="C40" s="178" t="n">
        <v>118012.3</v>
      </c>
      <c r="D40" s="178" t="n">
        <f aca="false">B40-C40</f>
        <v>-42098.9</v>
      </c>
      <c r="E40" s="178" t="n">
        <v>11008.7</v>
      </c>
      <c r="F40" s="178" t="n">
        <v>22376.1</v>
      </c>
      <c r="G40" s="178" t="n">
        <f aca="false">E40-F40</f>
        <v>-11367.4</v>
      </c>
      <c r="H40" s="186" t="n">
        <v>367.4</v>
      </c>
      <c r="I40" s="186" t="n">
        <v>4799</v>
      </c>
      <c r="J40" s="186" t="n">
        <f aca="false">H40-I40</f>
        <v>-4431.6</v>
      </c>
      <c r="K40" s="186" t="n">
        <v>39.6</v>
      </c>
      <c r="L40" s="186" t="n">
        <v>36634.9</v>
      </c>
      <c r="M40" s="186" t="n">
        <f aca="false">K40+L40</f>
        <v>36674.5</v>
      </c>
      <c r="N40" s="186" t="n">
        <f aca="false">D40+G40+J40+M40</f>
        <v>-21223.4</v>
      </c>
      <c r="O40" s="661" t="s">
        <v>537</v>
      </c>
      <c r="P40" s="186" t="n">
        <v>526.2</v>
      </c>
      <c r="Q40" s="186" t="n">
        <v>-5877.3</v>
      </c>
      <c r="R40" s="186" t="n">
        <v>1090.5</v>
      </c>
      <c r="S40" s="186" t="n">
        <v>-25737</v>
      </c>
      <c r="T40" s="186" t="n">
        <v>5311.7</v>
      </c>
      <c r="U40" s="180" t="n">
        <f aca="false">Q40+R40+S40+T40</f>
        <v>-25212.1</v>
      </c>
      <c r="V40" s="178" t="n">
        <f aca="false">-(N40+P40-U40)</f>
        <v>-4514.9</v>
      </c>
    </row>
    <row r="41" s="222" customFormat="true" ht="9.95" hidden="false" customHeight="true" outlineLevel="0" collapsed="false">
      <c r="A41" s="663" t="s">
        <v>226</v>
      </c>
      <c r="B41" s="670" t="n">
        <f aca="false">SUM(B42:B45)</f>
        <v>335633.3</v>
      </c>
      <c r="C41" s="670" t="n">
        <f aca="false">SUM(C42:C45)</f>
        <v>465793.3</v>
      </c>
      <c r="D41" s="671" t="n">
        <f aca="false">SUM(D42:D45)</f>
        <v>-130160</v>
      </c>
      <c r="E41" s="671" t="n">
        <f aca="false">SUM(E42:E45)</f>
        <v>50849.1</v>
      </c>
      <c r="F41" s="671" t="n">
        <f aca="false">SUM(F42:F45)</f>
        <v>79728</v>
      </c>
      <c r="G41" s="671" t="n">
        <f aca="false">SUM(G42:G45)</f>
        <v>-28878.9</v>
      </c>
      <c r="H41" s="671" t="n">
        <f aca="false">SUM(H42:H45)</f>
        <v>3522.8</v>
      </c>
      <c r="I41" s="671" t="n">
        <f aca="false">SUM(I42:I45)</f>
        <v>20633.8</v>
      </c>
      <c r="J41" s="671" t="n">
        <f aca="false">SUM(J42:J45)</f>
        <v>-17111</v>
      </c>
      <c r="K41" s="671" t="n">
        <f aca="false">SUM(K42:K45)</f>
        <v>195</v>
      </c>
      <c r="L41" s="671" t="n">
        <f aca="false">SUM(L42:L45)</f>
        <v>142465.8</v>
      </c>
      <c r="M41" s="671" t="n">
        <f aca="false">SUM(M42:M45)</f>
        <v>142660.8</v>
      </c>
      <c r="N41" s="671" t="n">
        <f aca="false">SUM(N42:N45)</f>
        <v>-33489.1</v>
      </c>
      <c r="O41" s="663" t="s">
        <v>226</v>
      </c>
      <c r="P41" s="670" t="n">
        <f aca="false">SUM(P42:P45)</f>
        <v>1955.5</v>
      </c>
      <c r="Q41" s="670" t="n">
        <f aca="false">SUM(Q42:Q45)</f>
        <v>-22072.3</v>
      </c>
      <c r="R41" s="670" t="n">
        <f aca="false">SUM(R42:R45)</f>
        <v>1609.2</v>
      </c>
      <c r="S41" s="670" t="n">
        <f aca="false">SUM(S42:S45)</f>
        <v>-20294.7</v>
      </c>
      <c r="T41" s="670" t="n">
        <f aca="false">SUM(T42:T45)</f>
        <v>-831.499999999999</v>
      </c>
      <c r="U41" s="670" t="n">
        <f aca="false">SUM(U42:U45)</f>
        <v>-41589.3</v>
      </c>
      <c r="V41" s="670" t="n">
        <f aca="false">SUM(V42:V45)</f>
        <v>-10055.7</v>
      </c>
    </row>
    <row r="42" s="222" customFormat="true" ht="9.95" hidden="false" customHeight="true" outlineLevel="0" collapsed="false">
      <c r="A42" s="661" t="s">
        <v>534</v>
      </c>
      <c r="B42" s="178" t="n">
        <v>81626.9</v>
      </c>
      <c r="C42" s="178" t="n">
        <v>113892.6</v>
      </c>
      <c r="D42" s="178" t="n">
        <f aca="false">B42-C42</f>
        <v>-32265.7</v>
      </c>
      <c r="E42" s="178" t="n">
        <v>12108.4</v>
      </c>
      <c r="F42" s="178" t="n">
        <v>18476.6</v>
      </c>
      <c r="G42" s="178" t="n">
        <f aca="false">E42-F42</f>
        <v>-6368.2</v>
      </c>
      <c r="H42" s="186" t="n">
        <v>308.9</v>
      </c>
      <c r="I42" s="186" t="n">
        <v>4783.1</v>
      </c>
      <c r="J42" s="186" t="n">
        <f aca="false">H42-I42</f>
        <v>-4474.2</v>
      </c>
      <c r="K42" s="186" t="n">
        <v>75.7</v>
      </c>
      <c r="L42" s="186" t="n">
        <v>33108.8</v>
      </c>
      <c r="M42" s="186" t="n">
        <f aca="false">K42+L42</f>
        <v>33184.5</v>
      </c>
      <c r="N42" s="186" t="n">
        <f aca="false">D42+G42+J42+M42</f>
        <v>-9923.60000000001</v>
      </c>
      <c r="O42" s="661" t="s">
        <v>534</v>
      </c>
      <c r="P42" s="186" t="n">
        <v>370.5</v>
      </c>
      <c r="Q42" s="186" t="n">
        <v>-5019.8</v>
      </c>
      <c r="R42" s="186" t="n">
        <v>1079.6</v>
      </c>
      <c r="S42" s="186" t="n">
        <v>7321.5</v>
      </c>
      <c r="T42" s="186" t="n">
        <v>-7263.3</v>
      </c>
      <c r="U42" s="186" t="n">
        <f aca="false">Q42+R42+S42+T42</f>
        <v>-3882</v>
      </c>
      <c r="V42" s="186" t="n">
        <f aca="false">-(N42+P42-U42)</f>
        <v>5671.10000000001</v>
      </c>
    </row>
    <row r="43" s="222" customFormat="true" ht="9.95" hidden="false" customHeight="true" outlineLevel="0" collapsed="false">
      <c r="A43" s="662" t="s">
        <v>535</v>
      </c>
      <c r="B43" s="168" t="n">
        <v>87356.3</v>
      </c>
      <c r="C43" s="168" t="n">
        <v>119277.2</v>
      </c>
      <c r="D43" s="168" t="n">
        <f aca="false">B43-C43</f>
        <v>-31920.9</v>
      </c>
      <c r="E43" s="168" t="n">
        <v>12886</v>
      </c>
      <c r="F43" s="168" t="n">
        <v>20968.6</v>
      </c>
      <c r="G43" s="168" t="n">
        <f aca="false">E43-F43</f>
        <v>-8082.6</v>
      </c>
      <c r="H43" s="192" t="n">
        <v>2338.7</v>
      </c>
      <c r="I43" s="192" t="n">
        <v>3597.2</v>
      </c>
      <c r="J43" s="192" t="n">
        <f aca="false">H43-I43</f>
        <v>-1258.5</v>
      </c>
      <c r="K43" s="192" t="n">
        <v>56.8</v>
      </c>
      <c r="L43" s="192" t="n">
        <v>31942.8</v>
      </c>
      <c r="M43" s="192" t="n">
        <f aca="false">K43+L43</f>
        <v>31999.6</v>
      </c>
      <c r="N43" s="192" t="n">
        <f aca="false">D43+G43+J43+M43</f>
        <v>-9262.39999999999</v>
      </c>
      <c r="O43" s="662" t="s">
        <v>535</v>
      </c>
      <c r="P43" s="192" t="n">
        <v>753.9</v>
      </c>
      <c r="Q43" s="192" t="n">
        <v>-6088.9</v>
      </c>
      <c r="R43" s="192" t="n">
        <v>-2822.8</v>
      </c>
      <c r="S43" s="192" t="n">
        <v>-6719.7</v>
      </c>
      <c r="T43" s="192" t="n">
        <v>1157.3</v>
      </c>
      <c r="U43" s="192" t="n">
        <f aca="false">Q43+R43+S43+T43</f>
        <v>-14474.1</v>
      </c>
      <c r="V43" s="192" t="n">
        <f aca="false">-(N43+P43-U43)</f>
        <v>-5965.60000000001</v>
      </c>
    </row>
    <row r="44" s="222" customFormat="true" ht="9.95" hidden="false" customHeight="true" outlineLevel="0" collapsed="false">
      <c r="A44" s="661" t="s">
        <v>536</v>
      </c>
      <c r="B44" s="178" t="n">
        <v>86382</v>
      </c>
      <c r="C44" s="178" t="n">
        <v>122256.9</v>
      </c>
      <c r="D44" s="178" t="n">
        <f aca="false">B44-C44</f>
        <v>-35874.9</v>
      </c>
      <c r="E44" s="178" t="n">
        <v>12386.2</v>
      </c>
      <c r="F44" s="178" t="n">
        <v>19794.2</v>
      </c>
      <c r="G44" s="178" t="n">
        <f aca="false">E44-F44</f>
        <v>-7408</v>
      </c>
      <c r="H44" s="186" t="n">
        <v>400</v>
      </c>
      <c r="I44" s="186" t="n">
        <v>6293.6</v>
      </c>
      <c r="J44" s="186" t="n">
        <f aca="false">H44-I44</f>
        <v>-5893.6</v>
      </c>
      <c r="K44" s="186" t="n">
        <v>37.3</v>
      </c>
      <c r="L44" s="186" t="n">
        <v>37661.9</v>
      </c>
      <c r="M44" s="186" t="n">
        <f aca="false">K44+L44</f>
        <v>37699.2</v>
      </c>
      <c r="N44" s="186" t="n">
        <f aca="false">D44+G44+J44+M44</f>
        <v>-11477.3</v>
      </c>
      <c r="O44" s="661" t="s">
        <v>536</v>
      </c>
      <c r="P44" s="186" t="n">
        <v>496.1</v>
      </c>
      <c r="Q44" s="186" t="n">
        <v>-7370</v>
      </c>
      <c r="R44" s="186" t="n">
        <v>2136.3</v>
      </c>
      <c r="S44" s="186" t="n">
        <v>-7373.4</v>
      </c>
      <c r="T44" s="186" t="n">
        <v>-4293.2</v>
      </c>
      <c r="U44" s="186" t="n">
        <f aca="false">Q44+R44+S44+T44</f>
        <v>-16900.3</v>
      </c>
      <c r="V44" s="186" t="n">
        <f aca="false">-(N44+P44-U44)</f>
        <v>-5919.10000000001</v>
      </c>
    </row>
    <row r="45" s="222" customFormat="true" ht="9.95" hidden="false" customHeight="true" outlineLevel="0" collapsed="false">
      <c r="A45" s="662" t="s">
        <v>537</v>
      </c>
      <c r="B45" s="168" t="n">
        <v>80268.1</v>
      </c>
      <c r="C45" s="168" t="n">
        <v>110366.6</v>
      </c>
      <c r="D45" s="168" t="n">
        <f aca="false">B45-C45</f>
        <v>-30098.5</v>
      </c>
      <c r="E45" s="168" t="n">
        <v>13468.5</v>
      </c>
      <c r="F45" s="168" t="n">
        <v>20488.6</v>
      </c>
      <c r="G45" s="168" t="n">
        <f aca="false">E45-F45</f>
        <v>-7020.1</v>
      </c>
      <c r="H45" s="192" t="n">
        <v>475.2</v>
      </c>
      <c r="I45" s="192" t="n">
        <v>5959.9</v>
      </c>
      <c r="J45" s="192" t="n">
        <f aca="false">H45-I45</f>
        <v>-5484.7</v>
      </c>
      <c r="K45" s="192" t="n">
        <v>25.2</v>
      </c>
      <c r="L45" s="192" t="n">
        <v>39752.3</v>
      </c>
      <c r="M45" s="192" t="n">
        <f aca="false">K45+L45</f>
        <v>39777.5</v>
      </c>
      <c r="N45" s="192" t="n">
        <f aca="false">D45+G45+J45+M45</f>
        <v>-2825.8</v>
      </c>
      <c r="O45" s="662" t="s">
        <v>537</v>
      </c>
      <c r="P45" s="192" t="n">
        <v>335</v>
      </c>
      <c r="Q45" s="192" t="n">
        <v>-3593.6</v>
      </c>
      <c r="R45" s="192" t="n">
        <v>1216.1</v>
      </c>
      <c r="S45" s="192" t="n">
        <v>-13523.1</v>
      </c>
      <c r="T45" s="192" t="n">
        <v>9567.7</v>
      </c>
      <c r="U45" s="192" t="n">
        <f aca="false">Q45+R45+S45+T45</f>
        <v>-6332.9</v>
      </c>
      <c r="V45" s="192" t="n">
        <f aca="false">-(N45+P45-U45)</f>
        <v>-3842.1</v>
      </c>
    </row>
    <row r="46" s="222" customFormat="true" ht="12" hidden="false" customHeight="true" outlineLevel="0" collapsed="false">
      <c r="A46" s="665" t="s">
        <v>283</v>
      </c>
      <c r="B46" s="178"/>
      <c r="C46" s="178"/>
      <c r="D46" s="178"/>
      <c r="E46" s="178"/>
      <c r="F46" s="178"/>
      <c r="G46" s="178"/>
      <c r="H46" s="186"/>
      <c r="I46" s="186"/>
      <c r="J46" s="186"/>
      <c r="K46" s="186"/>
      <c r="L46" s="186"/>
      <c r="M46" s="186"/>
      <c r="N46" s="186"/>
      <c r="O46" s="665" t="s">
        <v>283</v>
      </c>
      <c r="P46" s="186"/>
      <c r="Q46" s="186"/>
      <c r="R46" s="186"/>
      <c r="S46" s="186"/>
      <c r="T46" s="186"/>
      <c r="U46" s="186"/>
      <c r="V46" s="186"/>
    </row>
    <row r="47" s="222" customFormat="true" ht="9.95" hidden="false" customHeight="true" outlineLevel="0" collapsed="false">
      <c r="A47" s="662" t="s">
        <v>214</v>
      </c>
      <c r="B47" s="168" t="n">
        <v>32079.5</v>
      </c>
      <c r="C47" s="168" t="n">
        <v>41018.7</v>
      </c>
      <c r="D47" s="168" t="n">
        <f aca="false">B47-C47</f>
        <v>-8939.2</v>
      </c>
      <c r="E47" s="168" t="n">
        <v>4131.4</v>
      </c>
      <c r="F47" s="168" t="n">
        <v>7263</v>
      </c>
      <c r="G47" s="168" t="n">
        <f aca="false">E47-F47</f>
        <v>-3131.6</v>
      </c>
      <c r="H47" s="192" t="n">
        <v>128.4</v>
      </c>
      <c r="I47" s="192" t="n">
        <v>1631</v>
      </c>
      <c r="J47" s="192" t="n">
        <f aca="false">H47-I47</f>
        <v>-1502.6</v>
      </c>
      <c r="K47" s="192" t="n">
        <v>1.8</v>
      </c>
      <c r="L47" s="192" t="n">
        <v>13891.4</v>
      </c>
      <c r="M47" s="192" t="n">
        <f aca="false">K47+L47</f>
        <v>13893.2</v>
      </c>
      <c r="N47" s="192" t="n">
        <f aca="false">D47+G47+J47+M47</f>
        <v>319.800000000001</v>
      </c>
      <c r="O47" s="662" t="s">
        <v>214</v>
      </c>
      <c r="P47" s="192" t="n">
        <v>23.5</v>
      </c>
      <c r="Q47" s="192" t="n">
        <v>-811</v>
      </c>
      <c r="R47" s="192" t="n">
        <v>667.6</v>
      </c>
      <c r="S47" s="192" t="n">
        <v>3529.1</v>
      </c>
      <c r="T47" s="192" t="n">
        <v>-4518.8</v>
      </c>
      <c r="U47" s="192" t="n">
        <f aca="false">Q47+R47+S47+T47</f>
        <v>-1133.1</v>
      </c>
      <c r="V47" s="192" t="n">
        <f aca="false">-(N47+P47-U47)</f>
        <v>-1476.4</v>
      </c>
    </row>
    <row r="48" s="222" customFormat="true" ht="9.95" hidden="false" customHeight="true" outlineLevel="0" collapsed="false">
      <c r="A48" s="661" t="s">
        <v>215</v>
      </c>
      <c r="B48" s="178" t="n">
        <v>23701.9</v>
      </c>
      <c r="C48" s="178" t="n">
        <v>31840.2</v>
      </c>
      <c r="D48" s="178" t="n">
        <f aca="false">B48-C48</f>
        <v>-8138.3</v>
      </c>
      <c r="E48" s="178" t="n">
        <v>3622.3</v>
      </c>
      <c r="F48" s="178" t="n">
        <v>6274.8</v>
      </c>
      <c r="G48" s="178" t="n">
        <f aca="false">E48-F48</f>
        <v>-2652.5</v>
      </c>
      <c r="H48" s="186" t="n">
        <v>116.6</v>
      </c>
      <c r="I48" s="186" t="n">
        <v>1768</v>
      </c>
      <c r="J48" s="186" t="n">
        <f aca="false">H48-I48</f>
        <v>-1651.4</v>
      </c>
      <c r="K48" s="186" t="n">
        <v>0.8</v>
      </c>
      <c r="L48" s="186" t="n">
        <v>12499.1</v>
      </c>
      <c r="M48" s="186" t="n">
        <f aca="false">K48+L48</f>
        <v>12499.9</v>
      </c>
      <c r="N48" s="186" t="n">
        <f aca="false">D48+G48+J48+M48</f>
        <v>57.7000000000007</v>
      </c>
      <c r="O48" s="661" t="s">
        <v>215</v>
      </c>
      <c r="P48" s="186" t="n">
        <v>11</v>
      </c>
      <c r="Q48" s="186" t="n">
        <v>-1038.8</v>
      </c>
      <c r="R48" s="186" t="n">
        <v>481.7</v>
      </c>
      <c r="S48" s="186" t="n">
        <v>-5636.7</v>
      </c>
      <c r="T48" s="186" t="n">
        <v>5651.1</v>
      </c>
      <c r="U48" s="186" t="n">
        <f aca="false">Q48+R48+S48+T48</f>
        <v>-542.699999999999</v>
      </c>
      <c r="V48" s="186" t="n">
        <f aca="false">-(N48+P48-U48)</f>
        <v>-611.4</v>
      </c>
    </row>
    <row r="49" s="222" customFormat="true" ht="9.95" hidden="false" customHeight="true" outlineLevel="0" collapsed="false">
      <c r="A49" s="662" t="s">
        <v>216</v>
      </c>
      <c r="B49" s="168" t="n">
        <v>24414.3</v>
      </c>
      <c r="C49" s="168" t="n">
        <v>39123.9</v>
      </c>
      <c r="D49" s="168" t="n">
        <f aca="false">B49-C49</f>
        <v>-14709.6</v>
      </c>
      <c r="E49" s="168" t="n">
        <v>4172.1</v>
      </c>
      <c r="F49" s="168" t="n">
        <v>7527.4</v>
      </c>
      <c r="G49" s="168" t="n">
        <f aca="false">E49-F49</f>
        <v>-3355.3</v>
      </c>
      <c r="H49" s="192" t="n">
        <v>100.2</v>
      </c>
      <c r="I49" s="192" t="n">
        <v>2442.4</v>
      </c>
      <c r="J49" s="192" t="n">
        <f aca="false">H49-I49</f>
        <v>-2342.2</v>
      </c>
      <c r="K49" s="192" t="n">
        <v>63.2</v>
      </c>
      <c r="L49" s="192" t="n">
        <v>12616.2</v>
      </c>
      <c r="M49" s="192" t="n">
        <f aca="false">K49+L49</f>
        <v>12679.4</v>
      </c>
      <c r="N49" s="192" t="n">
        <f aca="false">D49+G49+J49+M49</f>
        <v>-7727.7</v>
      </c>
      <c r="O49" s="662" t="s">
        <v>216</v>
      </c>
      <c r="P49" s="192" t="n">
        <v>205.7</v>
      </c>
      <c r="Q49" s="192" t="n">
        <v>-1328.8</v>
      </c>
      <c r="R49" s="192" t="n">
        <v>417.3</v>
      </c>
      <c r="S49" s="192" t="n">
        <v>-110.6</v>
      </c>
      <c r="T49" s="192" t="n">
        <v>-7675.9</v>
      </c>
      <c r="U49" s="192" t="n">
        <f aca="false">Q49+R49+S49+T49</f>
        <v>-8698</v>
      </c>
      <c r="V49" s="192" t="n">
        <f aca="false">-(N49+P49-U49)</f>
        <v>-1176</v>
      </c>
    </row>
    <row r="50" s="222" customFormat="true" ht="9.95" hidden="false" customHeight="true" outlineLevel="0" collapsed="false">
      <c r="A50" s="661" t="s">
        <v>217</v>
      </c>
      <c r="B50" s="178" t="n">
        <v>25576.1</v>
      </c>
      <c r="C50" s="178" t="n">
        <v>41354.1</v>
      </c>
      <c r="D50" s="178" t="n">
        <f aca="false">B50-C50</f>
        <v>-15778</v>
      </c>
      <c r="E50" s="178" t="n">
        <v>4689.9</v>
      </c>
      <c r="F50" s="178" t="n">
        <v>7376.1</v>
      </c>
      <c r="G50" s="178" t="n">
        <f aca="false">E50-F50</f>
        <v>-2686.2</v>
      </c>
      <c r="H50" s="186" t="n">
        <v>102</v>
      </c>
      <c r="I50" s="186" t="n">
        <v>1903.6</v>
      </c>
      <c r="J50" s="186" t="n">
        <f aca="false">H50-I50</f>
        <v>-1801.6</v>
      </c>
      <c r="K50" s="186" t="n">
        <v>41.8</v>
      </c>
      <c r="L50" s="186" t="n">
        <v>14256</v>
      </c>
      <c r="M50" s="186" t="n">
        <f aca="false">K50+L50</f>
        <v>14297.8</v>
      </c>
      <c r="N50" s="186" t="n">
        <f aca="false">D50+G50+J50+M50</f>
        <v>-5968</v>
      </c>
      <c r="O50" s="661" t="s">
        <v>217</v>
      </c>
      <c r="P50" s="186" t="n">
        <v>555.8</v>
      </c>
      <c r="Q50" s="186" t="n">
        <v>-588.9</v>
      </c>
      <c r="R50" s="186" t="n">
        <v>32.1</v>
      </c>
      <c r="S50" s="186" t="n">
        <v>-10725.7</v>
      </c>
      <c r="T50" s="186" t="n">
        <v>3992.9</v>
      </c>
      <c r="U50" s="186" t="n">
        <f aca="false">Q50+R50+S50+T50</f>
        <v>-7289.6</v>
      </c>
      <c r="V50" s="186" t="n">
        <f aca="false">-(N50+P50-U50)</f>
        <v>-1877.4</v>
      </c>
    </row>
    <row r="51" s="222" customFormat="true" ht="9.95" hidden="false" customHeight="true" outlineLevel="0" collapsed="false">
      <c r="A51" s="662" t="s">
        <v>218</v>
      </c>
      <c r="B51" s="168" t="n">
        <v>25437.5</v>
      </c>
      <c r="C51" s="168" t="n">
        <v>34452.8</v>
      </c>
      <c r="D51" s="168" t="n">
        <f aca="false">B51-C51</f>
        <v>-9015.3</v>
      </c>
      <c r="E51" s="168" t="n">
        <v>4047.1</v>
      </c>
      <c r="F51" s="168" t="n">
        <v>6311.9</v>
      </c>
      <c r="G51" s="168" t="n">
        <f aca="false">E51-F51</f>
        <v>-2264.8</v>
      </c>
      <c r="H51" s="192" t="n">
        <v>69.1</v>
      </c>
      <c r="I51" s="192" t="n">
        <v>1640.9</v>
      </c>
      <c r="J51" s="192" t="n">
        <f aca="false">H51-I51</f>
        <v>-1571.8</v>
      </c>
      <c r="K51" s="192" t="n">
        <v>0.5</v>
      </c>
      <c r="L51" s="192" t="n">
        <v>13598.4</v>
      </c>
      <c r="M51" s="192" t="n">
        <f aca="false">K51+L51</f>
        <v>13598.9</v>
      </c>
      <c r="N51" s="192" t="n">
        <f aca="false">D51+G51+J51+M51</f>
        <v>746.999999999998</v>
      </c>
      <c r="O51" s="662" t="s">
        <v>218</v>
      </c>
      <c r="P51" s="192" t="n">
        <v>6.6</v>
      </c>
      <c r="Q51" s="192" t="n">
        <v>-1089.6</v>
      </c>
      <c r="R51" s="192" t="n">
        <v>522.5</v>
      </c>
      <c r="S51" s="192" t="n">
        <v>5666.9</v>
      </c>
      <c r="T51" s="192" t="n">
        <v>-5578.1</v>
      </c>
      <c r="U51" s="192" t="n">
        <f aca="false">Q51+R51+S51+T51</f>
        <v>-478.300000000001</v>
      </c>
      <c r="V51" s="192" t="n">
        <f aca="false">-(N51+P51-U51)</f>
        <v>-1231.9</v>
      </c>
    </row>
    <row r="52" s="222" customFormat="true" ht="9.95" hidden="false" customHeight="true" outlineLevel="0" collapsed="false">
      <c r="A52" s="661" t="s">
        <v>219</v>
      </c>
      <c r="B52" s="178" t="n">
        <v>29444</v>
      </c>
      <c r="C52" s="178" t="n">
        <v>41273.4</v>
      </c>
      <c r="D52" s="178" t="n">
        <f aca="false">B52-C52</f>
        <v>-11829.4</v>
      </c>
      <c r="E52" s="178" t="n">
        <v>5005.8</v>
      </c>
      <c r="F52" s="178" t="n">
        <v>7310.4</v>
      </c>
      <c r="G52" s="178" t="n">
        <f aca="false">E52-F52</f>
        <v>-2304.6</v>
      </c>
      <c r="H52" s="186" t="n">
        <v>80.4</v>
      </c>
      <c r="I52" s="186" t="n">
        <v>1862.4</v>
      </c>
      <c r="J52" s="186" t="n">
        <f aca="false">H52-I52</f>
        <v>-1782</v>
      </c>
      <c r="K52" s="186" t="n">
        <v>22.1</v>
      </c>
      <c r="L52" s="186" t="n">
        <v>13781.6</v>
      </c>
      <c r="M52" s="186" t="n">
        <f aca="false">K52+L52</f>
        <v>13803.7</v>
      </c>
      <c r="N52" s="186" t="n">
        <f aca="false">D52+G52+J52+M52</f>
        <v>-2112.3</v>
      </c>
      <c r="O52" s="661" t="s">
        <v>219</v>
      </c>
      <c r="P52" s="186" t="n">
        <v>293.1</v>
      </c>
      <c r="Q52" s="186" t="n">
        <v>-890.3</v>
      </c>
      <c r="R52" s="186" t="n">
        <v>1282.1</v>
      </c>
      <c r="S52" s="186" t="n">
        <v>-11052.1</v>
      </c>
      <c r="T52" s="186" t="n">
        <v>7298.5</v>
      </c>
      <c r="U52" s="186" t="n">
        <f aca="false">Q52+R52+S52+T52</f>
        <v>-3361.8</v>
      </c>
      <c r="V52" s="186" t="n">
        <f aca="false">-(N52+P52-U52)</f>
        <v>-1542.6</v>
      </c>
    </row>
    <row r="53" s="222" customFormat="true" ht="9.95" hidden="false" customHeight="true" outlineLevel="0" collapsed="false">
      <c r="A53" s="662" t="s">
        <v>220</v>
      </c>
      <c r="B53" s="168" t="n">
        <v>30181.6</v>
      </c>
      <c r="C53" s="168" t="n">
        <v>41901.7</v>
      </c>
      <c r="D53" s="168" t="n">
        <f aca="false">B53-C53</f>
        <v>-11720.1</v>
      </c>
      <c r="E53" s="168" t="n">
        <v>4996.2</v>
      </c>
      <c r="F53" s="168" t="n">
        <v>6860.6</v>
      </c>
      <c r="G53" s="168" t="n">
        <f aca="false">E53-F53</f>
        <v>-1864.4</v>
      </c>
      <c r="H53" s="192" t="n">
        <v>82</v>
      </c>
      <c r="I53" s="192" t="n">
        <v>1856</v>
      </c>
      <c r="J53" s="192" t="n">
        <f aca="false">H53-I53</f>
        <v>-1774</v>
      </c>
      <c r="K53" s="192" t="n">
        <v>11.3</v>
      </c>
      <c r="L53" s="192" t="n">
        <v>14200.6</v>
      </c>
      <c r="M53" s="192" t="n">
        <f aca="false">K53+L53</f>
        <v>14211.9</v>
      </c>
      <c r="N53" s="192" t="n">
        <f aca="false">D53+G53+J53+M53</f>
        <v>-1146.6</v>
      </c>
      <c r="O53" s="662" t="s">
        <v>220</v>
      </c>
      <c r="P53" s="192" t="n">
        <v>149.7</v>
      </c>
      <c r="Q53" s="192" t="n">
        <v>-1197.7</v>
      </c>
      <c r="R53" s="192" t="n">
        <v>15.7</v>
      </c>
      <c r="S53" s="192" t="n">
        <v>784.1</v>
      </c>
      <c r="T53" s="192" t="n">
        <v>-2377.4</v>
      </c>
      <c r="U53" s="192" t="n">
        <f aca="false">Q53+R53+S53+T53</f>
        <v>-2775.3</v>
      </c>
      <c r="V53" s="192" t="n">
        <f aca="false">-(N53+P53-U53)</f>
        <v>-1778.4</v>
      </c>
    </row>
    <row r="54" s="222" customFormat="true" ht="9.95" hidden="false" customHeight="true" outlineLevel="0" collapsed="false">
      <c r="A54" s="661" t="s">
        <v>221</v>
      </c>
      <c r="B54" s="178" t="n">
        <v>27693.1</v>
      </c>
      <c r="C54" s="178" t="n">
        <v>37129.2</v>
      </c>
      <c r="D54" s="178" t="n">
        <f aca="false">B54-C54</f>
        <v>-9436.1</v>
      </c>
      <c r="E54" s="178" t="n">
        <v>2873.4</v>
      </c>
      <c r="F54" s="178" t="n">
        <v>8103.1</v>
      </c>
      <c r="G54" s="178" t="n">
        <f aca="false">E54-F54</f>
        <v>-5229.7</v>
      </c>
      <c r="H54" s="186" t="n">
        <v>66.4</v>
      </c>
      <c r="I54" s="186" t="n">
        <v>1886.5</v>
      </c>
      <c r="J54" s="186" t="n">
        <f aca="false">H54-I54</f>
        <v>-1820.1</v>
      </c>
      <c r="K54" s="186" t="n">
        <v>0.1</v>
      </c>
      <c r="L54" s="186" t="n">
        <v>12466</v>
      </c>
      <c r="M54" s="186" t="n">
        <f aca="false">K54+L54</f>
        <v>12466.1</v>
      </c>
      <c r="N54" s="186" t="n">
        <f aca="false">D54+G54+J54+M54</f>
        <v>-4019.8</v>
      </c>
      <c r="O54" s="661" t="s">
        <v>221</v>
      </c>
      <c r="P54" s="186" t="n">
        <v>2</v>
      </c>
      <c r="Q54" s="186" t="n">
        <v>-840.3</v>
      </c>
      <c r="R54" s="186" t="n">
        <v>-56.7</v>
      </c>
      <c r="S54" s="186" t="n">
        <v>-10112</v>
      </c>
      <c r="T54" s="186" t="n">
        <v>5489.1</v>
      </c>
      <c r="U54" s="186" t="n">
        <f aca="false">Q54+R54+S54+T54</f>
        <v>-5519.9</v>
      </c>
      <c r="V54" s="186" t="n">
        <f aca="false">-(N54+P54-U54)</f>
        <v>-1502.1</v>
      </c>
    </row>
    <row r="55" s="222" customFormat="true" ht="9.95" hidden="false" customHeight="true" outlineLevel="0" collapsed="false">
      <c r="A55" s="662" t="s">
        <v>222</v>
      </c>
      <c r="B55" s="168" t="n">
        <v>22328.4</v>
      </c>
      <c r="C55" s="168" t="n">
        <v>33618.2</v>
      </c>
      <c r="D55" s="168" t="n">
        <f aca="false">B55-C55</f>
        <v>-11289.8</v>
      </c>
      <c r="E55" s="168" t="n">
        <v>4601</v>
      </c>
      <c r="F55" s="168" t="n">
        <v>6114</v>
      </c>
      <c r="G55" s="168" t="n">
        <f aca="false">E55-F55</f>
        <v>-1513</v>
      </c>
      <c r="H55" s="192" t="n">
        <v>124.9</v>
      </c>
      <c r="I55" s="192" t="n">
        <v>2737.2</v>
      </c>
      <c r="J55" s="192" t="n">
        <f aca="false">H55-I55</f>
        <v>-2612.3</v>
      </c>
      <c r="K55" s="192" t="n">
        <v>5.3</v>
      </c>
      <c r="L55" s="192" t="n">
        <v>11242.2</v>
      </c>
      <c r="M55" s="192" t="n">
        <f aca="false">K55+L55</f>
        <v>11247.5</v>
      </c>
      <c r="N55" s="192" t="n">
        <f aca="false">D55+G55+J55+M55</f>
        <v>-4167.6</v>
      </c>
      <c r="O55" s="431" t="s">
        <v>222</v>
      </c>
      <c r="P55" s="192" t="n">
        <v>71</v>
      </c>
      <c r="Q55" s="192" t="n">
        <v>-2680.6</v>
      </c>
      <c r="R55" s="192" t="n">
        <v>264</v>
      </c>
      <c r="S55" s="192" t="n">
        <v>603.8</v>
      </c>
      <c r="T55" s="192" t="n">
        <v>-1230</v>
      </c>
      <c r="U55" s="192" t="n">
        <f aca="false">Q55+R55+S55+T55</f>
        <v>-3042.8</v>
      </c>
      <c r="V55" s="192" t="n">
        <f aca="false">-(N55+P55-U55)</f>
        <v>1053.79999999999</v>
      </c>
    </row>
    <row r="56" s="222" customFormat="true" ht="9" hidden="false" customHeight="true" outlineLevel="0" collapsed="false">
      <c r="A56" s="661" t="s">
        <v>223</v>
      </c>
      <c r="B56" s="178" t="n">
        <v>4338.9</v>
      </c>
      <c r="C56" s="178" t="n">
        <v>22466.8</v>
      </c>
      <c r="D56" s="178" t="n">
        <f aca="false">B56-C56</f>
        <v>-18127.9</v>
      </c>
      <c r="E56" s="178" t="n">
        <v>3161.3</v>
      </c>
      <c r="F56" s="178" t="n">
        <v>4113.7</v>
      </c>
      <c r="G56" s="178" t="n">
        <f aca="false">E56-F56</f>
        <v>-952.4</v>
      </c>
      <c r="H56" s="186" t="n">
        <v>102.2</v>
      </c>
      <c r="I56" s="186" t="n">
        <v>1843.7</v>
      </c>
      <c r="J56" s="186" t="n">
        <f aca="false">H56-I56</f>
        <v>-1741.5</v>
      </c>
      <c r="K56" s="186" t="n">
        <v>5</v>
      </c>
      <c r="L56" s="186" t="n">
        <v>9566.5</v>
      </c>
      <c r="M56" s="186" t="n">
        <f aca="false">K56+L56</f>
        <v>9571.5</v>
      </c>
      <c r="N56" s="186" t="n">
        <f aca="false">D56+G56+J56+M56</f>
        <v>-11250.3</v>
      </c>
      <c r="O56" s="429" t="s">
        <v>223</v>
      </c>
      <c r="P56" s="186" t="n">
        <v>65.7</v>
      </c>
      <c r="Q56" s="186" t="n">
        <v>-769.4</v>
      </c>
      <c r="R56" s="186" t="n">
        <v>-11.2</v>
      </c>
      <c r="S56" s="186" t="n">
        <v>-11950</v>
      </c>
      <c r="T56" s="186" t="n">
        <v>2646.8</v>
      </c>
      <c r="U56" s="186" t="n">
        <f aca="false">Q56+R56+S56+T56</f>
        <v>-10083.8</v>
      </c>
      <c r="V56" s="186" t="n">
        <f aca="false">-(N56+P56-U56)</f>
        <v>1100.8</v>
      </c>
    </row>
    <row r="57" s="222" customFormat="true" ht="12" hidden="false" customHeight="true" outlineLevel="0" collapsed="false">
      <c r="A57" s="672" t="s">
        <v>224</v>
      </c>
      <c r="B57" s="673" t="n">
        <v>12238.9</v>
      </c>
      <c r="C57" s="673" t="n">
        <v>27768.7</v>
      </c>
      <c r="D57" s="673" t="n">
        <f aca="false">B57-C57</f>
        <v>-15529.8</v>
      </c>
      <c r="E57" s="673" t="n">
        <v>3688.3</v>
      </c>
      <c r="F57" s="673" t="n">
        <v>4934.3</v>
      </c>
      <c r="G57" s="673" t="n">
        <f aca="false">E57-F57</f>
        <v>-1246</v>
      </c>
      <c r="H57" s="310" t="n">
        <v>57.2</v>
      </c>
      <c r="I57" s="310" t="n">
        <v>3360.8</v>
      </c>
      <c r="J57" s="310" t="n">
        <f aca="false">H57-I57</f>
        <v>-3303.6</v>
      </c>
      <c r="K57" s="310" t="n">
        <v>24.6</v>
      </c>
      <c r="L57" s="310" t="n">
        <v>13229.4</v>
      </c>
      <c r="M57" s="310" t="n">
        <f aca="false">K57+L57</f>
        <v>13254</v>
      </c>
      <c r="N57" s="310" t="n">
        <f aca="false">D57+G57+J57+M57</f>
        <v>-6825.4</v>
      </c>
      <c r="O57" s="674" t="s">
        <v>224</v>
      </c>
      <c r="P57" s="310" t="n">
        <v>326.4</v>
      </c>
      <c r="Q57" s="310" t="n">
        <v>-965.3</v>
      </c>
      <c r="R57" s="310" t="n">
        <v>-30.2</v>
      </c>
      <c r="S57" s="310" t="n">
        <v>-6514.7</v>
      </c>
      <c r="T57" s="310" t="n">
        <v>2124.5</v>
      </c>
      <c r="U57" s="310" t="n">
        <f aca="false">Q57+R57+S57+T57</f>
        <v>-5385.7</v>
      </c>
      <c r="V57" s="310" t="n">
        <f aca="false">-(N57+P57-U57)</f>
        <v>1113.3</v>
      </c>
    </row>
    <row r="58" s="222" customFormat="true" ht="11.25" hidden="false" customHeight="true" outlineLevel="0" collapsed="false">
      <c r="A58" s="675" t="s">
        <v>538</v>
      </c>
      <c r="B58" s="405" t="s">
        <v>539</v>
      </c>
      <c r="C58" s="405"/>
      <c r="D58" s="405"/>
      <c r="E58" s="405"/>
      <c r="F58" s="405"/>
      <c r="G58" s="405"/>
      <c r="H58" s="676" t="s">
        <v>256</v>
      </c>
      <c r="I58" s="407" t="s">
        <v>540</v>
      </c>
      <c r="J58" s="407"/>
      <c r="K58" s="407"/>
      <c r="L58" s="407"/>
      <c r="M58" s="407"/>
      <c r="N58" s="407"/>
      <c r="O58" s="677" t="s">
        <v>541</v>
      </c>
      <c r="P58" s="515" t="s">
        <v>542</v>
      </c>
      <c r="Q58" s="515"/>
      <c r="R58" s="515"/>
      <c r="S58" s="515"/>
      <c r="T58" s="515"/>
      <c r="U58" s="515"/>
      <c r="V58" s="515"/>
    </row>
    <row r="59" s="222" customFormat="true" ht="11.25" hidden="false" customHeight="false" outlineLevel="0" collapsed="false">
      <c r="A59" s="207"/>
      <c r="B59" s="515" t="s">
        <v>543</v>
      </c>
      <c r="C59" s="207"/>
      <c r="D59" s="207"/>
      <c r="E59" s="207"/>
      <c r="F59" s="207"/>
      <c r="G59" s="207"/>
      <c r="H59" s="207"/>
      <c r="I59" s="207"/>
      <c r="J59" s="207"/>
      <c r="K59" s="207"/>
      <c r="L59" s="207"/>
      <c r="M59" s="207"/>
      <c r="N59" s="207"/>
      <c r="O59" s="207"/>
      <c r="P59" s="515" t="s">
        <v>544</v>
      </c>
      <c r="Q59" s="515"/>
      <c r="R59" s="515"/>
      <c r="S59" s="515"/>
      <c r="T59" s="515"/>
      <c r="U59" s="515"/>
      <c r="V59" s="515"/>
    </row>
    <row r="60" s="222" customFormat="true" ht="11.25" hidden="false" customHeight="false" outlineLevel="0" collapsed="false">
      <c r="P60" s="515" t="s">
        <v>543</v>
      </c>
    </row>
    <row r="61" s="222" customFormat="true" ht="11.25" hidden="false" customHeight="false" outlineLevel="0" collapsed="false">
      <c r="Q61" s="678"/>
    </row>
    <row r="62" s="222" customFormat="true" ht="11.25" hidden="false" customHeight="false" outlineLevel="0" collapsed="false">
      <c r="G62" s="259"/>
    </row>
    <row r="63" s="222" customFormat="true" ht="11.25" hidden="false" customHeight="false" outlineLevel="0" collapsed="false"/>
    <row r="64" s="222" customFormat="true" ht="11.25" hidden="false" customHeight="false" outlineLevel="0" collapsed="false"/>
    <row r="65" s="222" customFormat="true" ht="11.25" hidden="false" customHeight="false" outlineLevel="0" collapsed="false">
      <c r="B65" s="259"/>
      <c r="C65" s="259"/>
      <c r="D65" s="259"/>
      <c r="E65" s="259"/>
      <c r="F65" s="259"/>
      <c r="G65" s="259"/>
      <c r="H65" s="259"/>
      <c r="I65" s="259"/>
      <c r="J65" s="259"/>
      <c r="K65" s="259"/>
      <c r="L65" s="259"/>
      <c r="M65" s="259"/>
      <c r="N65" s="259"/>
      <c r="O65" s="259"/>
      <c r="P65" s="259"/>
      <c r="Q65" s="259"/>
      <c r="R65" s="259"/>
      <c r="S65" s="259"/>
      <c r="T65" s="259"/>
      <c r="U65" s="259"/>
      <c r="V65" s="259"/>
    </row>
    <row r="66" s="222" customFormat="true" ht="11.25" hidden="false" customHeight="false" outlineLevel="0" collapsed="false">
      <c r="V66" s="259"/>
    </row>
    <row r="67" s="222" customFormat="true" ht="11.25" hidden="false" customHeight="false" outlineLevel="0" collapsed="false">
      <c r="G67" s="259"/>
    </row>
    <row r="68" s="222" customFormat="true" ht="11.25" hidden="false" customHeight="false" outlineLevel="0" collapsed="false"/>
    <row r="69" s="222" customFormat="true" ht="11.25" hidden="false" customHeight="false" outlineLevel="0" collapsed="false"/>
    <row r="70" s="222" customFormat="true" ht="11.25" hidden="false" customHeight="false" outlineLevel="0" collapsed="false"/>
    <row r="71" s="222" customFormat="true" ht="11.25" hidden="false" customHeight="false" outlineLevel="0" collapsed="false"/>
    <row r="72" s="222" customFormat="true" ht="11.25" hidden="false" customHeight="false" outlineLevel="0" collapsed="false"/>
    <row r="73" s="222" customFormat="true" ht="11.25" hidden="false" customHeight="false" outlineLevel="0" collapsed="false"/>
    <row r="74" s="222" customFormat="true" ht="11.25" hidden="false" customHeight="false" outlineLevel="0" collapsed="false"/>
    <row r="75" s="222" customFormat="true" ht="11.25" hidden="false" customHeight="false" outlineLevel="0" collapsed="false"/>
    <row r="76" s="222" customFormat="true" ht="11.25" hidden="false" customHeight="false" outlineLevel="0" collapsed="false"/>
    <row r="77" s="222" customFormat="true" ht="11.25" hidden="false" customHeight="false" outlineLevel="0" collapsed="false">
      <c r="G77" s="259"/>
    </row>
    <row r="78" s="222" customFormat="true" ht="11.25" hidden="false" customHeight="false" outlineLevel="0" collapsed="false"/>
    <row r="79" s="222" customFormat="true" ht="11.25" hidden="false" customHeight="false" outlineLevel="0" collapsed="false"/>
    <row r="80" s="222" customFormat="true" ht="11.25" hidden="false" customHeight="false" outlineLevel="0" collapsed="false"/>
    <row r="81" s="222" customFormat="true" ht="11.25" hidden="false" customHeight="false" outlineLevel="0" collapsed="false"/>
    <row r="82" s="222" customFormat="true" ht="11.25" hidden="false" customHeight="false" outlineLevel="0" collapsed="false"/>
    <row r="83" s="222" customFormat="true" ht="11.25" hidden="false" customHeight="false" outlineLevel="0" collapsed="false"/>
    <row r="84" s="222" customFormat="true" ht="11.25" hidden="false" customHeight="false" outlineLevel="0" collapsed="false"/>
    <row r="85" s="222" customFormat="true" ht="11.25" hidden="false" customHeight="false" outlineLevel="0" collapsed="false"/>
    <row r="86" s="222" customFormat="true" ht="11.25" hidden="false" customHeight="false" outlineLevel="0" collapsed="false"/>
    <row r="87" s="222" customFormat="true" ht="11.25" hidden="false" customHeight="false" outlineLevel="0" collapsed="false"/>
    <row r="88" s="222" customFormat="true" ht="11.25" hidden="false" customHeight="false" outlineLevel="0" collapsed="false"/>
    <row r="89" s="222" customFormat="true" ht="11.25" hidden="false" customHeight="false" outlineLevel="0" collapsed="false"/>
    <row r="90" s="222" customFormat="true" ht="11.25" hidden="false" customHeight="false" outlineLevel="0" collapsed="false"/>
    <row r="91" s="222" customFormat="true" ht="11.25" hidden="false" customHeight="false" outlineLevel="0" collapsed="false"/>
    <row r="92" s="222" customFormat="true" ht="11.25" hidden="false" customHeight="false" outlineLevel="0" collapsed="false"/>
    <row r="93" s="222" customFormat="true" ht="11.25" hidden="false" customHeight="false" outlineLevel="0" collapsed="false"/>
    <row r="94" s="222" customFormat="true" ht="11.25" hidden="false" customHeight="false" outlineLevel="0" collapsed="false"/>
    <row r="95" s="222" customFormat="true" ht="11.25" hidden="false" customHeight="false" outlineLevel="0" collapsed="false"/>
    <row r="96" s="222" customFormat="true" ht="11.25" hidden="false" customHeight="false" outlineLevel="0" collapsed="false"/>
    <row r="97" s="222" customFormat="true" ht="11.25" hidden="false" customHeight="false" outlineLevel="0" collapsed="false"/>
    <row r="98" s="222" customFormat="true" ht="11.25" hidden="false" customHeight="false" outlineLevel="0" collapsed="false"/>
    <row r="99" s="222" customFormat="true" ht="11.25" hidden="false" customHeight="false" outlineLevel="0" collapsed="false"/>
    <row r="100" s="222" customFormat="true" ht="11.25" hidden="false" customHeight="false" outlineLevel="0" collapsed="false"/>
    <row r="101" s="222" customFormat="true" ht="11.25" hidden="false" customHeight="false" outlineLevel="0" collapsed="false"/>
    <row r="102" s="222" customFormat="true" ht="11.25" hidden="false" customHeight="false" outlineLevel="0" collapsed="false"/>
    <row r="103" s="222" customFormat="true" ht="11.25" hidden="false" customHeight="false" outlineLevel="0" collapsed="false"/>
    <row r="104" s="222" customFormat="true" ht="11.25" hidden="false" customHeight="false" outlineLevel="0" collapsed="false"/>
    <row r="105" s="222" customFormat="true" ht="11.25" hidden="false" customHeight="false" outlineLevel="0" collapsed="false"/>
    <row r="106" s="222" customFormat="true" ht="11.25" hidden="false" customHeight="false" outlineLevel="0" collapsed="false"/>
    <row r="107" s="222" customFormat="true" ht="11.25" hidden="false" customHeight="false" outlineLevel="0" collapsed="false"/>
    <row r="108" s="222" customFormat="true" ht="11.25" hidden="false" customHeight="false" outlineLevel="0" collapsed="false"/>
    <row r="109" s="222" customFormat="true" ht="11.25" hidden="false" customHeight="false" outlineLevel="0" collapsed="false"/>
    <row r="110" s="222" customFormat="true" ht="11.25" hidden="false" customHeight="false" outlineLevel="0" collapsed="false"/>
    <row r="111" s="222" customFormat="true" ht="11.25" hidden="false" customHeight="false" outlineLevel="0" collapsed="false"/>
    <row r="112" s="222" customFormat="true" ht="11.25" hidden="false" customHeight="false" outlineLevel="0" collapsed="false"/>
    <row r="113" s="222" customFormat="true" ht="11.25" hidden="false" customHeight="false" outlineLevel="0" collapsed="false"/>
    <row r="114" s="222" customFormat="true" ht="11.25" hidden="false" customHeight="false" outlineLevel="0" collapsed="false"/>
    <row r="115" s="222" customFormat="true" ht="11.25" hidden="false" customHeight="false" outlineLevel="0" collapsed="false"/>
    <row r="116" s="222" customFormat="true" ht="11.25" hidden="false" customHeight="false" outlineLevel="0" collapsed="false"/>
    <row r="117" s="222" customFormat="true" ht="11.25" hidden="false" customHeight="false" outlineLevel="0" collapsed="false"/>
    <row r="118" s="222" customFormat="true" ht="11.25" hidden="false" customHeight="false" outlineLevel="0" collapsed="false"/>
    <row r="119" s="222" customFormat="true" ht="11.25" hidden="false" customHeight="false" outlineLevel="0" collapsed="false"/>
    <row r="120" s="222" customFormat="true" ht="11.25" hidden="false" customHeight="false" outlineLevel="0" collapsed="false"/>
    <row r="121" s="222" customFormat="true" ht="11.25" hidden="false" customHeight="false" outlineLevel="0" collapsed="false"/>
    <row r="122" s="222" customFormat="true" ht="11.25" hidden="false" customHeight="false" outlineLevel="0" collapsed="false"/>
    <row r="123" s="222" customFormat="true" ht="11.25" hidden="false" customHeight="false" outlineLevel="0" collapsed="false"/>
    <row r="124" s="222" customFormat="true" ht="11.25" hidden="false" customHeight="false" outlineLevel="0" collapsed="false"/>
    <row r="125" s="222" customFormat="true" ht="11.25" hidden="false" customHeight="false" outlineLevel="0" collapsed="false"/>
    <row r="126" s="222" customFormat="true" ht="11.25" hidden="false" customHeight="false" outlineLevel="0" collapsed="false"/>
    <row r="127" s="222" customFormat="true" ht="11.25" hidden="false" customHeight="false" outlineLevel="0" collapsed="false"/>
    <row r="128" s="222" customFormat="true" ht="11.25" hidden="false" customHeight="false" outlineLevel="0" collapsed="false"/>
    <row r="129" s="222" customFormat="true" ht="11.25" hidden="false" customHeight="false" outlineLevel="0" collapsed="false"/>
    <row r="130" s="222" customFormat="true" ht="11.25" hidden="false" customHeight="false" outlineLevel="0" collapsed="false"/>
    <row r="131" s="222" customFormat="true" ht="11.25" hidden="false" customHeight="false" outlineLevel="0" collapsed="false"/>
    <row r="132" s="222" customFormat="true" ht="11.25" hidden="false" customHeight="false" outlineLevel="0" collapsed="false"/>
    <row r="133" s="222" customFormat="true" ht="11.25" hidden="false" customHeight="false" outlineLevel="0" collapsed="false"/>
    <row r="134" s="222" customFormat="true" ht="11.25" hidden="false" customHeight="false" outlineLevel="0" collapsed="false"/>
    <row r="135" s="222" customFormat="true" ht="11.25" hidden="false" customHeight="false" outlineLevel="0" collapsed="false"/>
    <row r="136" s="222" customFormat="true" ht="11.25" hidden="false" customHeight="false" outlineLevel="0" collapsed="false"/>
    <row r="137" s="222" customFormat="true" ht="11.25" hidden="false" customHeight="false" outlineLevel="0" collapsed="false"/>
    <row r="138" s="222" customFormat="true" ht="11.25" hidden="false" customHeight="false" outlineLevel="0" collapsed="false"/>
    <row r="139" s="222" customFormat="true" ht="11.25" hidden="false" customHeight="false" outlineLevel="0" collapsed="false"/>
    <row r="140" s="222" customFormat="true" ht="11.25" hidden="false" customHeight="false" outlineLevel="0" collapsed="false"/>
    <row r="141" s="222" customFormat="true" ht="11.25" hidden="false" customHeight="false" outlineLevel="0" collapsed="false"/>
    <row r="142" s="222" customFormat="true" ht="11.25" hidden="false" customHeight="false" outlineLevel="0" collapsed="false"/>
    <row r="143" s="222" customFormat="true" ht="11.25" hidden="false" customHeight="false" outlineLevel="0" collapsed="false"/>
    <row r="144" s="222" customFormat="true" ht="11.25" hidden="false" customHeight="false" outlineLevel="0" collapsed="false"/>
    <row r="145" s="222" customFormat="true" ht="11.25" hidden="false" customHeight="false" outlineLevel="0" collapsed="false"/>
    <row r="146" s="222" customFormat="true" ht="11.25" hidden="false" customHeight="false" outlineLevel="0" collapsed="false"/>
    <row r="147" s="222" customFormat="true" ht="11.25" hidden="false" customHeight="false" outlineLevel="0" collapsed="false"/>
    <row r="148" s="222" customFormat="true" ht="11.25" hidden="false" customHeight="false" outlineLevel="0" collapsed="false"/>
    <row r="149" s="222" customFormat="true" ht="11.25" hidden="false" customHeight="false" outlineLevel="0" collapsed="false"/>
    <row r="150" s="222" customFormat="true" ht="11.25" hidden="false" customHeight="false" outlineLevel="0" collapsed="false"/>
    <row r="151" s="222" customFormat="true" ht="11.25" hidden="false" customHeight="false" outlineLevel="0" collapsed="false"/>
    <row r="152" s="222" customFormat="true" ht="11.25" hidden="false" customHeight="false" outlineLevel="0" collapsed="false"/>
    <row r="153" s="222" customFormat="true" ht="11.25" hidden="false" customHeight="false" outlineLevel="0" collapsed="false"/>
    <row r="154" s="222" customFormat="true" ht="11.25" hidden="false" customHeight="false" outlineLevel="0" collapsed="false"/>
    <row r="155" s="222" customFormat="true" ht="11.25" hidden="false" customHeight="false" outlineLevel="0" collapsed="false"/>
    <row r="156" s="222" customFormat="true" ht="11.25" hidden="false" customHeight="false" outlineLevel="0" collapsed="false"/>
    <row r="157" s="222" customFormat="true" ht="11.25" hidden="false" customHeight="false" outlineLevel="0" collapsed="false"/>
    <row r="158" s="222" customFormat="true" ht="11.25" hidden="false" customHeight="false" outlineLevel="0" collapsed="false"/>
    <row r="159" s="222" customFormat="true" ht="11.25" hidden="false" customHeight="false" outlineLevel="0" collapsed="false"/>
    <row r="160" s="222" customFormat="true" ht="11.25" hidden="false" customHeight="false" outlineLevel="0" collapsed="false"/>
    <row r="161" s="222" customFormat="true" ht="11.25" hidden="false" customHeight="false" outlineLevel="0" collapsed="false"/>
    <row r="162" s="222" customFormat="true" ht="11.25" hidden="false" customHeight="false" outlineLevel="0" collapsed="false"/>
    <row r="163" s="222" customFormat="true" ht="11.25" hidden="false" customHeight="false" outlineLevel="0" collapsed="false"/>
    <row r="164" s="222" customFormat="true" ht="11.25" hidden="false" customHeight="false" outlineLevel="0" collapsed="false"/>
    <row r="165" s="222" customFormat="true" ht="11.25" hidden="false" customHeight="false" outlineLevel="0" collapsed="false"/>
    <row r="166" s="222" customFormat="true" ht="11.25" hidden="false" customHeight="false" outlineLevel="0" collapsed="false"/>
    <row r="167" s="222" customFormat="true" ht="11.25" hidden="false" customHeight="false" outlineLevel="0" collapsed="false"/>
    <row r="168" s="222" customFormat="true" ht="11.25" hidden="false" customHeight="false" outlineLevel="0" collapsed="false"/>
    <row r="169" customFormat="false" ht="11.25" hidden="false" customHeight="false" outlineLevel="0" collapsed="false">
      <c r="A169" s="222"/>
      <c r="B169" s="222"/>
      <c r="C169" s="222"/>
      <c r="D169" s="222"/>
      <c r="E169" s="222"/>
      <c r="F169" s="222"/>
      <c r="G169" s="222"/>
      <c r="H169" s="222"/>
      <c r="I169" s="222"/>
      <c r="J169" s="222"/>
      <c r="K169" s="222"/>
      <c r="L169" s="222"/>
      <c r="M169" s="222"/>
      <c r="N169" s="222"/>
      <c r="O169" s="222"/>
      <c r="P169" s="222"/>
      <c r="Q169" s="222"/>
      <c r="R169" s="222"/>
      <c r="S169" s="222"/>
      <c r="T169" s="222"/>
      <c r="U169" s="222"/>
      <c r="V169" s="222"/>
    </row>
    <row r="170" customFormat="false" ht="11.25" hidden="false" customHeight="false" outlineLevel="0" collapsed="false">
      <c r="A170" s="222"/>
      <c r="B170" s="222"/>
      <c r="C170" s="222"/>
      <c r="D170" s="222"/>
      <c r="E170" s="222"/>
      <c r="F170" s="222"/>
      <c r="G170" s="222"/>
      <c r="H170" s="222"/>
      <c r="I170" s="222"/>
      <c r="J170" s="222"/>
      <c r="K170" s="222"/>
      <c r="L170" s="222"/>
      <c r="M170" s="222"/>
      <c r="N170" s="222"/>
      <c r="O170" s="222"/>
      <c r="P170" s="222"/>
      <c r="Q170" s="222"/>
      <c r="R170" s="222"/>
      <c r="S170" s="222"/>
      <c r="T170" s="222"/>
      <c r="U170" s="222"/>
      <c r="V170" s="222"/>
    </row>
    <row r="171" customFormat="false" ht="11.25" hidden="false" customHeight="false" outlineLevel="0" collapsed="false">
      <c r="A171" s="222"/>
      <c r="B171" s="222"/>
      <c r="C171" s="222"/>
      <c r="D171" s="222"/>
      <c r="E171" s="222"/>
      <c r="F171" s="222"/>
      <c r="G171" s="222"/>
      <c r="H171" s="222"/>
      <c r="I171" s="222"/>
      <c r="J171" s="222"/>
      <c r="K171" s="222"/>
      <c r="L171" s="222"/>
      <c r="M171" s="222"/>
      <c r="N171" s="222"/>
      <c r="O171" s="222"/>
      <c r="P171" s="222"/>
      <c r="Q171" s="222"/>
      <c r="R171" s="222"/>
      <c r="S171" s="222"/>
      <c r="T171" s="222"/>
      <c r="U171" s="222"/>
      <c r="V171" s="222"/>
    </row>
    <row r="172" customFormat="false" ht="11.25" hidden="false" customHeight="false" outlineLevel="0" collapsed="false">
      <c r="A172" s="222"/>
      <c r="B172" s="222"/>
      <c r="C172" s="222"/>
      <c r="D172" s="222"/>
      <c r="E172" s="222"/>
      <c r="F172" s="222"/>
      <c r="G172" s="222"/>
      <c r="H172" s="222"/>
      <c r="I172" s="222"/>
      <c r="J172" s="222"/>
      <c r="K172" s="222"/>
      <c r="L172" s="222"/>
      <c r="M172" s="222"/>
      <c r="N172" s="222"/>
      <c r="O172" s="222"/>
      <c r="P172" s="222"/>
      <c r="Q172" s="222"/>
      <c r="R172" s="222"/>
      <c r="S172" s="222"/>
      <c r="T172" s="222"/>
      <c r="U172" s="222"/>
      <c r="V172" s="222"/>
    </row>
    <row r="173" customFormat="false" ht="11.25" hidden="false" customHeight="false" outlineLevel="0" collapsed="false">
      <c r="A173" s="222"/>
      <c r="B173" s="222"/>
      <c r="C173" s="222"/>
      <c r="D173" s="222"/>
      <c r="E173" s="222"/>
      <c r="F173" s="222"/>
      <c r="G173" s="222"/>
      <c r="H173" s="222"/>
      <c r="I173" s="222"/>
      <c r="J173" s="222"/>
      <c r="K173" s="222"/>
      <c r="L173" s="222"/>
      <c r="M173" s="222"/>
      <c r="N173" s="222"/>
      <c r="O173" s="222"/>
      <c r="P173" s="222"/>
      <c r="Q173" s="222"/>
      <c r="R173" s="222"/>
      <c r="S173" s="222"/>
      <c r="T173" s="222"/>
      <c r="U173" s="222"/>
      <c r="V173" s="222"/>
    </row>
    <row r="174" customFormat="false" ht="11.25" hidden="false" customHeight="false" outlineLevel="0" collapsed="false">
      <c r="A174" s="222"/>
      <c r="B174" s="222"/>
      <c r="C174" s="222"/>
      <c r="D174" s="222"/>
      <c r="E174" s="222"/>
      <c r="F174" s="222"/>
      <c r="G174" s="222"/>
      <c r="H174" s="222"/>
      <c r="I174" s="222"/>
      <c r="J174" s="222"/>
      <c r="K174" s="222"/>
      <c r="L174" s="222"/>
      <c r="M174" s="222"/>
      <c r="N174" s="222"/>
      <c r="O174" s="222"/>
      <c r="P174" s="222"/>
      <c r="Q174" s="222"/>
      <c r="R174" s="222"/>
      <c r="S174" s="222"/>
      <c r="T174" s="222"/>
      <c r="U174" s="222"/>
      <c r="V174" s="222"/>
    </row>
    <row r="175" customFormat="false" ht="11.25" hidden="false" customHeight="false" outlineLevel="0" collapsed="false">
      <c r="A175" s="222"/>
      <c r="B175" s="222"/>
      <c r="C175" s="222"/>
      <c r="D175" s="222"/>
      <c r="E175" s="222"/>
      <c r="F175" s="222"/>
      <c r="G175" s="222"/>
      <c r="H175" s="222"/>
      <c r="I175" s="222"/>
      <c r="J175" s="222"/>
      <c r="K175" s="222"/>
      <c r="L175" s="222"/>
      <c r="M175" s="222"/>
      <c r="N175" s="222"/>
      <c r="O175" s="222"/>
      <c r="P175" s="222"/>
      <c r="Q175" s="222"/>
      <c r="R175" s="222"/>
      <c r="S175" s="222"/>
      <c r="T175" s="222"/>
      <c r="U175" s="222"/>
      <c r="V175" s="222"/>
    </row>
    <row r="176" customFormat="false" ht="11.25" hidden="false" customHeight="false" outlineLevel="0" collapsed="false">
      <c r="A176" s="222"/>
      <c r="B176" s="222"/>
      <c r="C176" s="222"/>
      <c r="D176" s="222"/>
      <c r="E176" s="222"/>
      <c r="F176" s="222"/>
      <c r="G176" s="222"/>
      <c r="H176" s="222"/>
      <c r="I176" s="222"/>
      <c r="J176" s="222"/>
      <c r="K176" s="222"/>
      <c r="L176" s="222"/>
      <c r="M176" s="222"/>
      <c r="N176" s="222"/>
      <c r="O176" s="222"/>
      <c r="P176" s="222"/>
      <c r="Q176" s="222"/>
      <c r="R176" s="222"/>
      <c r="S176" s="222"/>
      <c r="T176" s="222"/>
      <c r="U176" s="222"/>
      <c r="V176" s="222"/>
    </row>
    <row r="177" customFormat="false" ht="11.25" hidden="false" customHeight="false" outlineLevel="0" collapsed="false">
      <c r="A177" s="222"/>
      <c r="B177" s="222"/>
      <c r="C177" s="222"/>
      <c r="D177" s="222"/>
      <c r="E177" s="222"/>
      <c r="F177" s="222"/>
      <c r="G177" s="222"/>
      <c r="H177" s="222"/>
      <c r="I177" s="222"/>
      <c r="J177" s="222"/>
      <c r="K177" s="222"/>
      <c r="L177" s="222"/>
      <c r="M177" s="222"/>
      <c r="N177" s="222"/>
      <c r="O177" s="222"/>
      <c r="P177" s="222"/>
      <c r="Q177" s="222"/>
      <c r="R177" s="222"/>
      <c r="S177" s="222"/>
      <c r="T177" s="222"/>
      <c r="U177" s="222"/>
      <c r="V177" s="222"/>
    </row>
    <row r="178" customFormat="false" ht="11.25" hidden="false" customHeight="false" outlineLevel="0" collapsed="false">
      <c r="A178" s="222"/>
      <c r="B178" s="222"/>
      <c r="C178" s="222"/>
      <c r="D178" s="222"/>
      <c r="E178" s="222"/>
      <c r="F178" s="222"/>
      <c r="G178" s="222"/>
      <c r="H178" s="222"/>
      <c r="I178" s="222"/>
      <c r="J178" s="222"/>
      <c r="K178" s="222"/>
      <c r="L178" s="222"/>
      <c r="M178" s="222"/>
      <c r="N178" s="222"/>
      <c r="O178" s="222"/>
      <c r="P178" s="222"/>
      <c r="Q178" s="222"/>
      <c r="R178" s="222"/>
      <c r="S178" s="222"/>
      <c r="T178" s="222"/>
      <c r="U178" s="222"/>
      <c r="V178" s="222"/>
    </row>
    <row r="179" customFormat="false" ht="11.25" hidden="false" customHeight="false" outlineLevel="0" collapsed="false">
      <c r="A179" s="222"/>
      <c r="B179" s="222"/>
      <c r="C179" s="222"/>
      <c r="D179" s="222"/>
      <c r="E179" s="222"/>
      <c r="F179" s="222"/>
      <c r="G179" s="222"/>
      <c r="H179" s="222"/>
      <c r="I179" s="222"/>
      <c r="J179" s="222"/>
      <c r="K179" s="222"/>
      <c r="L179" s="222"/>
      <c r="M179" s="222"/>
      <c r="N179" s="222"/>
      <c r="O179" s="222"/>
      <c r="P179" s="222"/>
      <c r="Q179" s="222"/>
      <c r="R179" s="222"/>
      <c r="S179" s="222"/>
      <c r="T179" s="222"/>
      <c r="U179" s="222"/>
      <c r="V179" s="222"/>
    </row>
    <row r="180" customFormat="false" ht="11.25" hidden="false" customHeight="false" outlineLevel="0" collapsed="false">
      <c r="A180" s="222"/>
      <c r="B180" s="222"/>
      <c r="C180" s="222"/>
      <c r="D180" s="222"/>
      <c r="E180" s="222"/>
      <c r="F180" s="222"/>
      <c r="G180" s="222"/>
      <c r="H180" s="222"/>
      <c r="I180" s="222"/>
      <c r="J180" s="222"/>
      <c r="K180" s="222"/>
      <c r="L180" s="222"/>
      <c r="M180" s="222"/>
      <c r="N180" s="222"/>
      <c r="O180" s="222"/>
      <c r="P180" s="222"/>
      <c r="Q180" s="222"/>
      <c r="R180" s="222"/>
      <c r="S180" s="222"/>
      <c r="T180" s="222"/>
      <c r="U180" s="222"/>
      <c r="V180" s="222"/>
    </row>
  </sheetData>
  <mergeCells count="19">
    <mergeCell ref="F1:G1"/>
    <mergeCell ref="H1:I1"/>
    <mergeCell ref="L1:N1"/>
    <mergeCell ref="O1:S1"/>
    <mergeCell ref="T1:V1"/>
    <mergeCell ref="L2:N2"/>
    <mergeCell ref="U2:V2"/>
    <mergeCell ref="A3:A5"/>
    <mergeCell ref="B3:D3"/>
    <mergeCell ref="E3:G3"/>
    <mergeCell ref="H3:J3"/>
    <mergeCell ref="K3:M3"/>
    <mergeCell ref="N3:N4"/>
    <mergeCell ref="O3:O5"/>
    <mergeCell ref="P3:P4"/>
    <mergeCell ref="Q3:U3"/>
    <mergeCell ref="V3:V5"/>
    <mergeCell ref="B58:G58"/>
    <mergeCell ref="I58:L58"/>
  </mergeCells>
  <printOptions headings="false" gridLines="false" gridLinesSet="true" horizontalCentered="false" verticalCentered="false"/>
  <pageMargins left="0.629861111111111" right="0.511805555555555" top="0.511805555555555" bottom="0.511805555555555" header="0.511805555555555" footer="0.472222222222222"/>
  <pageSetup paperSize="1" scale="100" firstPageNumber="28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>&amp;C&amp;"Times New Roman,Regular"&amp;8&amp;P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7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1" ySplit="5" topLeftCell="B45" activePane="bottomRight" state="frozen"/>
      <selection pane="topLeft" activeCell="A1" activeCellId="0" sqref="A1"/>
      <selection pane="topRight" activeCell="B1" activeCellId="0" sqref="B1"/>
      <selection pane="bottomLeft" activeCell="A45" activeCellId="0" sqref="A45"/>
      <selection pane="bottomRight" activeCell="J17" activeCellId="0" sqref="J17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7.86"/>
    <col collapsed="false" customWidth="true" hidden="false" outlineLevel="0" max="2" min="2" style="0" width="8.29"/>
    <col collapsed="false" customWidth="true" hidden="false" outlineLevel="0" max="3" min="3" style="0" width="9.42"/>
    <col collapsed="false" customWidth="true" hidden="false" outlineLevel="0" max="6" min="5" style="0" width="8.29"/>
    <col collapsed="false" customWidth="true" hidden="false" outlineLevel="0" max="8" min="8" style="0" width="8.57"/>
    <col collapsed="false" customWidth="true" hidden="false" outlineLevel="0" max="9" min="9" style="0" width="8.42"/>
  </cols>
  <sheetData>
    <row r="1" customFormat="false" ht="15.75" hidden="false" customHeight="true" outlineLevel="0" collapsed="false">
      <c r="A1" s="679" t="s">
        <v>545</v>
      </c>
      <c r="B1" s="679"/>
      <c r="C1" s="679"/>
      <c r="D1" s="679"/>
      <c r="E1" s="679"/>
      <c r="F1" s="679"/>
      <c r="G1" s="679"/>
      <c r="H1" s="680"/>
      <c r="I1" s="681" t="s">
        <v>546</v>
      </c>
    </row>
    <row r="2" customFormat="false" ht="15" hidden="false" customHeight="true" outlineLevel="0" collapsed="false">
      <c r="A2" s="679"/>
      <c r="B2" s="679"/>
      <c r="C2" s="679"/>
      <c r="D2" s="679"/>
      <c r="E2" s="679"/>
      <c r="F2" s="679"/>
      <c r="G2" s="679"/>
      <c r="H2" s="680"/>
    </row>
    <row r="3" customFormat="false" ht="10.5" hidden="false" customHeight="true" outlineLevel="0" collapsed="false">
      <c r="A3" s="682"/>
      <c r="B3" s="683"/>
      <c r="C3" s="683"/>
      <c r="D3" s="683"/>
      <c r="F3" s="684"/>
      <c r="H3" s="685" t="s">
        <v>547</v>
      </c>
      <c r="I3" s="685"/>
    </row>
    <row r="4" s="688" customFormat="true" ht="12.95" hidden="false" customHeight="true" outlineLevel="0" collapsed="false">
      <c r="A4" s="686" t="s">
        <v>260</v>
      </c>
      <c r="B4" s="687" t="s">
        <v>548</v>
      </c>
      <c r="C4" s="687"/>
      <c r="D4" s="687"/>
      <c r="E4" s="687"/>
      <c r="F4" s="687" t="s">
        <v>549</v>
      </c>
      <c r="G4" s="687"/>
      <c r="H4" s="687"/>
      <c r="I4" s="687"/>
    </row>
    <row r="5" customFormat="false" ht="36" hidden="false" customHeight="false" outlineLevel="0" collapsed="false">
      <c r="A5" s="686"/>
      <c r="B5" s="689" t="s">
        <v>550</v>
      </c>
      <c r="C5" s="689" t="s">
        <v>551</v>
      </c>
      <c r="D5" s="689" t="s">
        <v>552</v>
      </c>
      <c r="E5" s="690" t="s">
        <v>553</v>
      </c>
      <c r="F5" s="689" t="s">
        <v>554</v>
      </c>
      <c r="G5" s="689" t="s">
        <v>555</v>
      </c>
      <c r="H5" s="689" t="s">
        <v>556</v>
      </c>
      <c r="I5" s="690" t="s">
        <v>557</v>
      </c>
    </row>
    <row r="6" s="695" customFormat="true" ht="9.6" hidden="false" customHeight="true" outlineLevel="0" collapsed="false">
      <c r="A6" s="691" t="s">
        <v>558</v>
      </c>
      <c r="B6" s="692" t="n">
        <v>464.5</v>
      </c>
      <c r="C6" s="693" t="n">
        <v>281</v>
      </c>
      <c r="D6" s="693" t="n">
        <v>47.24</v>
      </c>
      <c r="E6" s="693" t="n">
        <v>792.74</v>
      </c>
      <c r="F6" s="693" t="n">
        <v>2857.96</v>
      </c>
      <c r="G6" s="693" t="n">
        <v>1146.22</v>
      </c>
      <c r="H6" s="694" t="n">
        <v>364.23</v>
      </c>
      <c r="I6" s="694" t="n">
        <v>4368.41</v>
      </c>
      <c r="R6" s="696"/>
      <c r="S6" s="696"/>
      <c r="T6" s="696"/>
      <c r="U6" s="696"/>
      <c r="V6" s="696"/>
      <c r="W6" s="696"/>
      <c r="X6" s="696"/>
      <c r="Y6" s="696"/>
    </row>
    <row r="7" s="695" customFormat="true" ht="9.6" hidden="false" customHeight="true" outlineLevel="0" collapsed="false">
      <c r="A7" s="697" t="s">
        <v>531</v>
      </c>
      <c r="B7" s="698" t="n">
        <v>545.69</v>
      </c>
      <c r="C7" s="699" t="n">
        <v>197.71</v>
      </c>
      <c r="D7" s="699" t="n">
        <v>25.29</v>
      </c>
      <c r="E7" s="698" t="n">
        <v>768.69</v>
      </c>
      <c r="F7" s="700" t="n">
        <v>3719.99</v>
      </c>
      <c r="G7" s="699" t="n">
        <v>873.76</v>
      </c>
      <c r="H7" s="699" t="n">
        <v>210.68</v>
      </c>
      <c r="I7" s="700" t="n">
        <v>4804.43</v>
      </c>
      <c r="R7" s="696"/>
      <c r="S7" s="696"/>
      <c r="T7" s="696"/>
      <c r="U7" s="696"/>
      <c r="V7" s="696"/>
      <c r="W7" s="696"/>
      <c r="X7" s="696"/>
      <c r="Y7" s="696"/>
    </row>
    <row r="8" s="695" customFormat="true" ht="9.6" hidden="false" customHeight="true" outlineLevel="0" collapsed="false">
      <c r="A8" s="691" t="s">
        <v>532</v>
      </c>
      <c r="B8" s="692" t="n">
        <v>535.42</v>
      </c>
      <c r="C8" s="693" t="n">
        <v>336.61</v>
      </c>
      <c r="D8" s="693" t="n">
        <v>88.56</v>
      </c>
      <c r="E8" s="693" t="n">
        <v>960.59</v>
      </c>
      <c r="F8" s="701" t="n">
        <v>3909.6</v>
      </c>
      <c r="G8" s="694" t="n">
        <v>903.65</v>
      </c>
      <c r="H8" s="694" t="n">
        <v>325.94</v>
      </c>
      <c r="I8" s="694" t="n">
        <v>5139.19</v>
      </c>
    </row>
    <row r="9" s="702" customFormat="true" ht="9.6" hidden="false" customHeight="true" outlineLevel="0" collapsed="false">
      <c r="A9" s="697" t="s">
        <v>203</v>
      </c>
      <c r="B9" s="698" t="n">
        <v>515.14</v>
      </c>
      <c r="C9" s="698" t="n">
        <v>331.1</v>
      </c>
      <c r="D9" s="698" t="n">
        <v>66.78</v>
      </c>
      <c r="E9" s="698" t="n">
        <v>913.02</v>
      </c>
      <c r="F9" s="698" t="n">
        <v>5014.96</v>
      </c>
      <c r="G9" s="698" t="n">
        <v>544.21</v>
      </c>
      <c r="H9" s="698" t="n">
        <v>410.29</v>
      </c>
      <c r="I9" s="700" t="n">
        <v>5969.46</v>
      </c>
    </row>
    <row r="10" s="707" customFormat="true" ht="9.6" hidden="false" customHeight="true" outlineLevel="0" collapsed="false">
      <c r="A10" s="703" t="s">
        <v>205</v>
      </c>
      <c r="B10" s="704" t="n">
        <f aca="false">B11+B12</f>
        <v>249.95</v>
      </c>
      <c r="C10" s="704" t="n">
        <f aca="false">C11+C12</f>
        <v>445.19</v>
      </c>
      <c r="D10" s="704" t="n">
        <f aca="false">D11+D12</f>
        <v>83.9</v>
      </c>
      <c r="E10" s="705" t="n">
        <f aca="false">SUM(B10:D10)</f>
        <v>779.04</v>
      </c>
      <c r="F10" s="704" t="n">
        <f aca="false">F12</f>
        <v>5143.7</v>
      </c>
      <c r="G10" s="704" t="n">
        <f aca="false">G12</f>
        <v>612.69</v>
      </c>
      <c r="H10" s="704" t="n">
        <f aca="false">H12</f>
        <v>462.67</v>
      </c>
      <c r="I10" s="706" t="n">
        <f aca="false">SUM(F10:H10)</f>
        <v>6219.06</v>
      </c>
    </row>
    <row r="11" s="707" customFormat="true" ht="9.6" hidden="false" customHeight="true" outlineLevel="0" collapsed="false">
      <c r="A11" s="697" t="s">
        <v>559</v>
      </c>
      <c r="B11" s="698" t="n">
        <v>118.31</v>
      </c>
      <c r="C11" s="698" t="n">
        <v>211.57</v>
      </c>
      <c r="D11" s="698" t="n">
        <v>12.64</v>
      </c>
      <c r="E11" s="699" t="n">
        <f aca="false">SUM(B11:D11)</f>
        <v>342.52</v>
      </c>
      <c r="F11" s="708" t="n">
        <v>5196.21</v>
      </c>
      <c r="G11" s="708" t="n">
        <v>533.65</v>
      </c>
      <c r="H11" s="708" t="n">
        <v>342.21</v>
      </c>
      <c r="I11" s="699" t="n">
        <f aca="false">SUM(F11:H11)</f>
        <v>6072.07</v>
      </c>
    </row>
    <row r="12" s="707" customFormat="true" ht="9.6" hidden="false" customHeight="true" outlineLevel="0" collapsed="false">
      <c r="A12" s="691" t="s">
        <v>560</v>
      </c>
      <c r="B12" s="692" t="n">
        <v>131.64</v>
      </c>
      <c r="C12" s="692" t="n">
        <v>233.62</v>
      </c>
      <c r="D12" s="692" t="n">
        <v>71.26</v>
      </c>
      <c r="E12" s="709" t="n">
        <f aca="false">SUM(B12:D12)</f>
        <v>436.52</v>
      </c>
      <c r="F12" s="710" t="n">
        <v>5143.7</v>
      </c>
      <c r="G12" s="710" t="n">
        <v>612.69</v>
      </c>
      <c r="H12" s="710" t="n">
        <v>462.67</v>
      </c>
      <c r="I12" s="694" t="n">
        <f aca="false">SUM(F12:H12)</f>
        <v>6219.06</v>
      </c>
    </row>
    <row r="13" s="707" customFormat="true" ht="9.6" hidden="false" customHeight="true" outlineLevel="0" collapsed="false">
      <c r="A13" s="711" t="s">
        <v>282</v>
      </c>
      <c r="B13" s="712" t="n">
        <f aca="false">B14+B15</f>
        <v>454.1</v>
      </c>
      <c r="C13" s="712" t="n">
        <f aca="false">C14+C15</f>
        <v>542.35</v>
      </c>
      <c r="D13" s="712" t="n">
        <f aca="false">D14+D15</f>
        <v>198.43</v>
      </c>
      <c r="E13" s="712" t="n">
        <f aca="false">SUM(B13:D13)</f>
        <v>1194.88</v>
      </c>
      <c r="F13" s="712" t="n">
        <f aca="false">F15</f>
        <v>4855.47</v>
      </c>
      <c r="G13" s="712" t="n">
        <f aca="false">G15</f>
        <v>861.44</v>
      </c>
      <c r="H13" s="712" t="n">
        <f aca="false">H15</f>
        <v>533.95</v>
      </c>
      <c r="I13" s="713" t="n">
        <f aca="false">SUM(F13:H13)</f>
        <v>6250.86</v>
      </c>
    </row>
    <row r="14" s="707" customFormat="true" ht="9.6" hidden="false" customHeight="true" outlineLevel="0" collapsed="false">
      <c r="A14" s="691" t="s">
        <v>559</v>
      </c>
      <c r="B14" s="692" t="n">
        <v>300.21</v>
      </c>
      <c r="C14" s="692" t="n">
        <v>256.01</v>
      </c>
      <c r="D14" s="692" t="n">
        <v>143.64</v>
      </c>
      <c r="E14" s="709" t="n">
        <f aca="false">SUM(B14:D14)</f>
        <v>699.86</v>
      </c>
      <c r="F14" s="710" t="n">
        <v>4943.83</v>
      </c>
      <c r="G14" s="710" t="n">
        <v>670.37</v>
      </c>
      <c r="H14" s="710" t="n">
        <v>551.61</v>
      </c>
      <c r="I14" s="694" t="n">
        <f aca="false">SUM(F14:H14)</f>
        <v>6165.81</v>
      </c>
    </row>
    <row r="15" s="707" customFormat="true" ht="9.6" hidden="false" customHeight="true" outlineLevel="0" collapsed="false">
      <c r="A15" s="697" t="s">
        <v>560</v>
      </c>
      <c r="B15" s="698" t="n">
        <v>153.89</v>
      </c>
      <c r="C15" s="698" t="n">
        <v>286.34</v>
      </c>
      <c r="D15" s="698" t="n">
        <v>54.79</v>
      </c>
      <c r="E15" s="699" t="n">
        <f aca="false">SUM(B15:D15)</f>
        <v>495.02</v>
      </c>
      <c r="F15" s="708" t="n">
        <v>4855.47</v>
      </c>
      <c r="G15" s="708" t="n">
        <v>861.44</v>
      </c>
      <c r="H15" s="708" t="n">
        <v>533.95</v>
      </c>
      <c r="I15" s="699" t="n">
        <f aca="false">SUM(F15:H15)</f>
        <v>6250.86</v>
      </c>
    </row>
    <row r="16" s="707" customFormat="true" ht="9.6" hidden="false" customHeight="true" outlineLevel="0" collapsed="false">
      <c r="A16" s="714" t="s">
        <v>207</v>
      </c>
      <c r="B16" s="704" t="n">
        <f aca="false">B17+B18</f>
        <v>761.03</v>
      </c>
      <c r="C16" s="704" t="n">
        <f aca="false">C17+C18</f>
        <v>645.64</v>
      </c>
      <c r="D16" s="704" t="n">
        <f aca="false">D17+D18</f>
        <v>323.96</v>
      </c>
      <c r="E16" s="705" t="n">
        <f aca="false">SUM(B16:D16)</f>
        <v>1730.63</v>
      </c>
      <c r="F16" s="704" t="n">
        <f aca="false">F18</f>
        <v>6333.41</v>
      </c>
      <c r="G16" s="704" t="n">
        <f aca="false">G18</f>
        <v>995.87</v>
      </c>
      <c r="H16" s="704" t="n">
        <f aca="false">H18</f>
        <v>1033.78</v>
      </c>
      <c r="I16" s="706" t="n">
        <f aca="false">SUM(F16:H16)</f>
        <v>8363.06</v>
      </c>
    </row>
    <row r="17" s="707" customFormat="true" ht="9.6" hidden="false" customHeight="true" outlineLevel="0" collapsed="false">
      <c r="A17" s="697" t="s">
        <v>559</v>
      </c>
      <c r="B17" s="698" t="n">
        <v>343.74</v>
      </c>
      <c r="C17" s="698" t="n">
        <v>301.19</v>
      </c>
      <c r="D17" s="698" t="n">
        <v>152.61</v>
      </c>
      <c r="E17" s="699" t="n">
        <f aca="false">SUM(B17:D17)</f>
        <v>797.54</v>
      </c>
      <c r="F17" s="708" t="n">
        <v>6085.39</v>
      </c>
      <c r="G17" s="708" t="n">
        <v>846.55</v>
      </c>
      <c r="H17" s="708" t="n">
        <v>818.3</v>
      </c>
      <c r="I17" s="699" t="n">
        <f aca="false">SUM(F17:H17)</f>
        <v>7750.24</v>
      </c>
    </row>
    <row r="18" s="707" customFormat="true" ht="8.25" hidden="false" customHeight="true" outlineLevel="0" collapsed="false">
      <c r="A18" s="691" t="s">
        <v>560</v>
      </c>
      <c r="B18" s="709" t="n">
        <v>417.29</v>
      </c>
      <c r="C18" s="709" t="n">
        <v>344.45</v>
      </c>
      <c r="D18" s="709" t="n">
        <v>171.35</v>
      </c>
      <c r="E18" s="709" t="n">
        <f aca="false">SUM(B18:D18)</f>
        <v>933.09</v>
      </c>
      <c r="F18" s="715" t="n">
        <v>6333.41</v>
      </c>
      <c r="G18" s="715" t="n">
        <v>995.87</v>
      </c>
      <c r="H18" s="715" t="n">
        <v>1033.78</v>
      </c>
      <c r="I18" s="694" t="n">
        <f aca="false">SUM(F18:H18)</f>
        <v>8363.06</v>
      </c>
    </row>
    <row r="19" s="707" customFormat="true" ht="9.6" hidden="false" customHeight="true" outlineLevel="0" collapsed="false">
      <c r="A19" s="711" t="s">
        <v>208</v>
      </c>
      <c r="B19" s="712" t="n">
        <f aca="false">B20+B23+B22</f>
        <v>233.84</v>
      </c>
      <c r="C19" s="712" t="n">
        <f aca="false">C20+C23+C22</f>
        <v>795.78</v>
      </c>
      <c r="D19" s="712" t="n">
        <f aca="false">D20+D23+D22</f>
        <v>450.72</v>
      </c>
      <c r="E19" s="712" t="n">
        <f aca="false">SUM(B19:D19)</f>
        <v>1480.34</v>
      </c>
      <c r="F19" s="712" t="n">
        <f aca="false">F23</f>
        <v>6375.35</v>
      </c>
      <c r="G19" s="712" t="n">
        <f aca="false">G23</f>
        <v>964.83</v>
      </c>
      <c r="H19" s="712" t="n">
        <f aca="false">H23</f>
        <v>2000.05</v>
      </c>
      <c r="I19" s="713" t="n">
        <f aca="false">SUM(F19:H19)</f>
        <v>9340.23</v>
      </c>
    </row>
    <row r="20" s="707" customFormat="true" ht="9.6" hidden="false" customHeight="true" outlineLevel="0" collapsed="false">
      <c r="A20" s="716" t="s">
        <v>559</v>
      </c>
      <c r="B20" s="709" t="n">
        <v>123.77</v>
      </c>
      <c r="C20" s="709" t="n">
        <v>352.66</v>
      </c>
      <c r="D20" s="709" t="n">
        <v>189.64</v>
      </c>
      <c r="E20" s="709" t="n">
        <f aca="false">SUM(B20:D20)</f>
        <v>666.07</v>
      </c>
      <c r="F20" s="715" t="n">
        <v>6345.56</v>
      </c>
      <c r="G20" s="715" t="n">
        <v>969.93</v>
      </c>
      <c r="H20" s="715" t="n">
        <v>1278</v>
      </c>
      <c r="I20" s="694" t="n">
        <f aca="false">SUM(F20:H20)</f>
        <v>8593.49</v>
      </c>
    </row>
    <row r="21" s="707" customFormat="true" ht="9.6" hidden="false" customHeight="true" outlineLevel="0" collapsed="false">
      <c r="A21" s="697" t="s">
        <v>560</v>
      </c>
      <c r="B21" s="698" t="n">
        <f aca="false">B22+B23</f>
        <v>110.07</v>
      </c>
      <c r="C21" s="698" t="n">
        <f aca="false">C22+C23</f>
        <v>443.12</v>
      </c>
      <c r="D21" s="698" t="n">
        <f aca="false">D22+D23</f>
        <v>261.08</v>
      </c>
      <c r="E21" s="699" t="n">
        <f aca="false">SUM(B21:D21)</f>
        <v>814.27</v>
      </c>
      <c r="F21" s="708" t="n">
        <v>6375.35</v>
      </c>
      <c r="G21" s="708" t="n">
        <v>964.83</v>
      </c>
      <c r="H21" s="708" t="n">
        <v>2000.05</v>
      </c>
      <c r="I21" s="699" t="n">
        <f aca="false">SUM(F21:H21)</f>
        <v>9340.23</v>
      </c>
    </row>
    <row r="22" s="707" customFormat="true" ht="9.6" hidden="false" customHeight="true" outlineLevel="0" collapsed="false">
      <c r="A22" s="717" t="s">
        <v>490</v>
      </c>
      <c r="B22" s="709" t="n">
        <v>71.7</v>
      </c>
      <c r="C22" s="709" t="n">
        <v>246.42</v>
      </c>
      <c r="D22" s="709" t="n">
        <v>129.38</v>
      </c>
      <c r="E22" s="709" t="n">
        <f aca="false">SUM(B22:D22)</f>
        <v>447.5</v>
      </c>
      <c r="F22" s="715" t="n">
        <v>6228.02</v>
      </c>
      <c r="G22" s="715" t="n">
        <v>850.53</v>
      </c>
      <c r="H22" s="715" t="n">
        <v>1768.18</v>
      </c>
      <c r="I22" s="694" t="n">
        <f aca="false">SUM(F22:H22)</f>
        <v>8846.73</v>
      </c>
    </row>
    <row r="23" s="707" customFormat="true" ht="9.6" hidden="false" customHeight="true" outlineLevel="0" collapsed="false">
      <c r="A23" s="697" t="s">
        <v>491</v>
      </c>
      <c r="B23" s="698" t="n">
        <v>38.37</v>
      </c>
      <c r="C23" s="698" t="n">
        <v>196.7</v>
      </c>
      <c r="D23" s="698" t="n">
        <v>131.7</v>
      </c>
      <c r="E23" s="699" t="n">
        <f aca="false">SUM(B23:D23)</f>
        <v>366.77</v>
      </c>
      <c r="F23" s="708" t="n">
        <v>6375.35</v>
      </c>
      <c r="G23" s="708" t="n">
        <v>964.83</v>
      </c>
      <c r="H23" s="708" t="n">
        <v>2000.05</v>
      </c>
      <c r="I23" s="699" t="n">
        <f aca="false">SUM(F23:H23)</f>
        <v>9340.23</v>
      </c>
    </row>
    <row r="24" s="707" customFormat="true" ht="9.6" hidden="false" customHeight="true" outlineLevel="0" collapsed="false">
      <c r="A24" s="714" t="s">
        <v>209</v>
      </c>
      <c r="B24" s="704" t="n">
        <f aca="false">B25+B28</f>
        <v>528.03</v>
      </c>
      <c r="C24" s="704" t="n">
        <f aca="false">C25+C28</f>
        <v>1141.34</v>
      </c>
      <c r="D24" s="704" t="n">
        <f aca="false">D25+D28</f>
        <v>164.5</v>
      </c>
      <c r="E24" s="705" t="n">
        <f aca="false">SUM(B24:D24)</f>
        <v>1833.87</v>
      </c>
      <c r="F24" s="718" t="n">
        <f aca="false">F30</f>
        <v>9027.07</v>
      </c>
      <c r="G24" s="718" t="n">
        <f aca="false">G30</f>
        <v>1326.11</v>
      </c>
      <c r="H24" s="718" t="n">
        <f aca="false">H30</f>
        <v>2147.95</v>
      </c>
      <c r="I24" s="706" t="n">
        <f aca="false">SUM(F24:H24)</f>
        <v>12501.13</v>
      </c>
    </row>
    <row r="25" s="707" customFormat="true" ht="9.6" hidden="false" customHeight="true" outlineLevel="0" collapsed="false">
      <c r="A25" s="697" t="s">
        <v>559</v>
      </c>
      <c r="B25" s="698" t="n">
        <f aca="false">B26+B27</f>
        <v>170.23</v>
      </c>
      <c r="C25" s="698" t="n">
        <f aca="false">C26+C27</f>
        <v>545.69</v>
      </c>
      <c r="D25" s="698" t="n">
        <f aca="false">D26+D27</f>
        <v>21.09</v>
      </c>
      <c r="E25" s="699" t="n">
        <f aca="false">SUM(B25:D25)</f>
        <v>737.01</v>
      </c>
      <c r="F25" s="708" t="n">
        <v>6717.59</v>
      </c>
      <c r="G25" s="708" t="n">
        <v>1142.17</v>
      </c>
      <c r="H25" s="708" t="n">
        <v>2169.04</v>
      </c>
      <c r="I25" s="699" t="n">
        <f aca="false">SUM(F25:H25)</f>
        <v>10028.8</v>
      </c>
    </row>
    <row r="26" s="707" customFormat="true" ht="9.6" hidden="false" customHeight="true" outlineLevel="0" collapsed="false">
      <c r="A26" s="716" t="s">
        <v>484</v>
      </c>
      <c r="B26" s="709" t="n">
        <v>51.06</v>
      </c>
      <c r="C26" s="709" t="n">
        <v>260.08</v>
      </c>
      <c r="D26" s="709" t="n">
        <v>29.96</v>
      </c>
      <c r="E26" s="709" t="n">
        <f aca="false">SUM(B26:D26)</f>
        <v>341.1</v>
      </c>
      <c r="F26" s="715" t="n">
        <v>6372.25</v>
      </c>
      <c r="G26" s="715" t="n">
        <v>1086.7</v>
      </c>
      <c r="H26" s="715" t="n">
        <v>2120.88</v>
      </c>
      <c r="I26" s="694" t="n">
        <f aca="false">SUM(F26:H26)</f>
        <v>9579.83</v>
      </c>
    </row>
    <row r="27" s="707" customFormat="true" ht="9.6" hidden="false" customHeight="true" outlineLevel="0" collapsed="false">
      <c r="A27" s="719" t="s">
        <v>489</v>
      </c>
      <c r="B27" s="698" t="n">
        <v>119.17</v>
      </c>
      <c r="C27" s="698" t="n">
        <v>285.61</v>
      </c>
      <c r="D27" s="698" t="n">
        <v>-8.87</v>
      </c>
      <c r="E27" s="699" t="n">
        <f aca="false">SUM(B27:D27)</f>
        <v>395.91</v>
      </c>
      <c r="F27" s="708" t="n">
        <v>6717.59</v>
      </c>
      <c r="G27" s="708" t="n">
        <v>1142.17</v>
      </c>
      <c r="H27" s="708" t="n">
        <v>2169.04</v>
      </c>
      <c r="I27" s="699" t="n">
        <f aca="false">SUM(F27:H27)</f>
        <v>10028.8</v>
      </c>
    </row>
    <row r="28" s="707" customFormat="true" ht="9.6" hidden="false" customHeight="true" outlineLevel="0" collapsed="false">
      <c r="A28" s="720" t="s">
        <v>560</v>
      </c>
      <c r="B28" s="709" t="n">
        <f aca="false">B29+B30</f>
        <v>357.8</v>
      </c>
      <c r="C28" s="709" t="n">
        <f aca="false">C29+C30</f>
        <v>595.65</v>
      </c>
      <c r="D28" s="709" t="n">
        <f aca="false">D29+D30</f>
        <v>143.41</v>
      </c>
      <c r="E28" s="709" t="n">
        <f aca="false">SUM(B28:D28)</f>
        <v>1096.86</v>
      </c>
      <c r="F28" s="715" t="n">
        <v>9027.07</v>
      </c>
      <c r="G28" s="715" t="n">
        <v>1326.11</v>
      </c>
      <c r="H28" s="715" t="n">
        <v>2147.95</v>
      </c>
      <c r="I28" s="694" t="n">
        <f aca="false">SUM(F28:H28)</f>
        <v>12501.13</v>
      </c>
    </row>
    <row r="29" s="707" customFormat="true" ht="9.6" hidden="false" customHeight="true" outlineLevel="0" collapsed="false">
      <c r="A29" s="719" t="s">
        <v>490</v>
      </c>
      <c r="B29" s="698" t="n">
        <v>195.69</v>
      </c>
      <c r="C29" s="698" t="n">
        <v>330.5</v>
      </c>
      <c r="D29" s="698" t="n">
        <v>80.73</v>
      </c>
      <c r="E29" s="699" t="n">
        <f aca="false">SUM(B29:D29)</f>
        <v>606.92</v>
      </c>
      <c r="F29" s="708" t="n">
        <v>8996.68</v>
      </c>
      <c r="G29" s="708" t="n">
        <v>1401.28</v>
      </c>
      <c r="H29" s="708" t="n">
        <v>2287.89</v>
      </c>
      <c r="I29" s="699" t="n">
        <f aca="false">SUM(F29:H29)</f>
        <v>12685.85</v>
      </c>
    </row>
    <row r="30" s="707" customFormat="true" ht="8.25" hidden="false" customHeight="true" outlineLevel="0" collapsed="false">
      <c r="A30" s="720" t="s">
        <v>491</v>
      </c>
      <c r="B30" s="709" t="n">
        <v>162.11</v>
      </c>
      <c r="C30" s="709" t="n">
        <v>265.15</v>
      </c>
      <c r="D30" s="709" t="n">
        <v>62.68</v>
      </c>
      <c r="E30" s="709" t="n">
        <f aca="false">SUM(B30:D30)</f>
        <v>489.94</v>
      </c>
      <c r="F30" s="715" t="n">
        <v>9027.07</v>
      </c>
      <c r="G30" s="715" t="n">
        <v>1326.11</v>
      </c>
      <c r="H30" s="715" t="n">
        <v>2147.95</v>
      </c>
      <c r="I30" s="694" t="n">
        <f aca="false">SUM(F30:H30)</f>
        <v>12501.13</v>
      </c>
    </row>
    <row r="31" s="707" customFormat="true" ht="9" hidden="false" customHeight="true" outlineLevel="0" collapsed="false">
      <c r="A31" s="721" t="s">
        <v>211</v>
      </c>
      <c r="B31" s="712" t="n">
        <f aca="false">B32+B35</f>
        <v>505.55</v>
      </c>
      <c r="C31" s="712" t="n">
        <f aca="false">C32+C35</f>
        <v>1154.45</v>
      </c>
      <c r="D31" s="712" t="n">
        <f aca="false">D32+D35</f>
        <v>343.53</v>
      </c>
      <c r="E31" s="712" t="n">
        <f aca="false">SUM(B31:D31)</f>
        <v>2003.53</v>
      </c>
      <c r="F31" s="722" t="n">
        <f aca="false">F37</f>
        <v>9549.39</v>
      </c>
      <c r="G31" s="722" t="n">
        <f aca="false">G37</f>
        <v>1585.21</v>
      </c>
      <c r="H31" s="722" t="n">
        <f aca="false">H37</f>
        <v>2311.54</v>
      </c>
      <c r="I31" s="713" t="n">
        <f aca="false">SUM(F31:H31)</f>
        <v>13446.14</v>
      </c>
    </row>
    <row r="32" s="707" customFormat="true" ht="9.75" hidden="false" customHeight="true" outlineLevel="0" collapsed="false">
      <c r="A32" s="720" t="s">
        <v>559</v>
      </c>
      <c r="B32" s="709" t="n">
        <f aca="false">B33+B34</f>
        <v>338.87</v>
      </c>
      <c r="C32" s="709" t="n">
        <f aca="false">C33+C34</f>
        <v>549.09</v>
      </c>
      <c r="D32" s="709" t="n">
        <f aca="false">D33+D34</f>
        <v>250.57</v>
      </c>
      <c r="E32" s="709" t="n">
        <f aca="false">SUM(B32:D32)</f>
        <v>1138.53</v>
      </c>
      <c r="F32" s="715" t="n">
        <v>9276.15</v>
      </c>
      <c r="G32" s="715" t="n">
        <v>1325.46</v>
      </c>
      <c r="H32" s="715" t="n">
        <v>2310.53</v>
      </c>
      <c r="I32" s="694" t="n">
        <f aca="false">SUM(F32:H32)</f>
        <v>12912.14</v>
      </c>
    </row>
    <row r="33" s="707" customFormat="true" ht="7.5" hidden="false" customHeight="true" outlineLevel="0" collapsed="false">
      <c r="A33" s="719" t="s">
        <v>484</v>
      </c>
      <c r="B33" s="698" t="n">
        <v>224.91</v>
      </c>
      <c r="C33" s="698" t="n">
        <v>244.38</v>
      </c>
      <c r="D33" s="698" t="n">
        <v>128.79</v>
      </c>
      <c r="E33" s="699" t="n">
        <f aca="false">SUM(B33:D33)</f>
        <v>598.08</v>
      </c>
      <c r="F33" s="708" t="n">
        <v>9211.55</v>
      </c>
      <c r="G33" s="708" t="n">
        <v>1257.28</v>
      </c>
      <c r="H33" s="708" t="n">
        <v>2141.58</v>
      </c>
      <c r="I33" s="699" t="n">
        <f aca="false">SUM(F33:H33)</f>
        <v>12610.41</v>
      </c>
    </row>
    <row r="34" s="707" customFormat="true" ht="9.6" hidden="false" customHeight="true" outlineLevel="0" collapsed="false">
      <c r="A34" s="720" t="s">
        <v>489</v>
      </c>
      <c r="B34" s="709" t="n">
        <v>113.96</v>
      </c>
      <c r="C34" s="709" t="n">
        <v>304.71</v>
      </c>
      <c r="D34" s="709" t="n">
        <v>121.78</v>
      </c>
      <c r="E34" s="709" t="n">
        <f aca="false">SUM(B34:D34)</f>
        <v>540.45</v>
      </c>
      <c r="F34" s="715" t="n">
        <v>9276.15</v>
      </c>
      <c r="G34" s="715" t="n">
        <v>1325.46</v>
      </c>
      <c r="H34" s="715" t="n">
        <v>2310.53</v>
      </c>
      <c r="I34" s="694" t="n">
        <f aca="false">SUM(F34:H34)</f>
        <v>12912.14</v>
      </c>
    </row>
    <row r="35" s="707" customFormat="true" ht="9.6" hidden="false" customHeight="true" outlineLevel="0" collapsed="false">
      <c r="A35" s="719" t="s">
        <v>560</v>
      </c>
      <c r="B35" s="698" t="n">
        <f aca="false">B36+B37</f>
        <v>166.68</v>
      </c>
      <c r="C35" s="698" t="n">
        <f aca="false">C36+C37</f>
        <v>605.36</v>
      </c>
      <c r="D35" s="698" t="n">
        <f aca="false">D36+D37</f>
        <v>92.96</v>
      </c>
      <c r="E35" s="699" t="n">
        <f aca="false">SUM(B35:D35)</f>
        <v>865</v>
      </c>
      <c r="F35" s="708" t="n">
        <f aca="false">F37</f>
        <v>9549.39</v>
      </c>
      <c r="G35" s="708" t="n">
        <f aca="false">G37</f>
        <v>1585.21</v>
      </c>
      <c r="H35" s="708" t="n">
        <f aca="false">H37</f>
        <v>2311.54</v>
      </c>
      <c r="I35" s="699" t="n">
        <f aca="false">SUM(F35:H35)</f>
        <v>13446.14</v>
      </c>
    </row>
    <row r="36" s="707" customFormat="true" ht="9.6" hidden="false" customHeight="true" outlineLevel="0" collapsed="false">
      <c r="A36" s="720" t="s">
        <v>490</v>
      </c>
      <c r="B36" s="709" t="n">
        <v>90.29</v>
      </c>
      <c r="C36" s="709" t="n">
        <v>299.86</v>
      </c>
      <c r="D36" s="709" t="n">
        <v>20.53</v>
      </c>
      <c r="E36" s="709" t="n">
        <f aca="false">SUM(B36:D36)</f>
        <v>410.68</v>
      </c>
      <c r="F36" s="715" t="n">
        <v>9674.09</v>
      </c>
      <c r="G36" s="715" t="n">
        <v>1567.33</v>
      </c>
      <c r="H36" s="715" t="n">
        <v>2298.65</v>
      </c>
      <c r="I36" s="694" t="n">
        <f aca="false">SUM(F36:H36)</f>
        <v>13540.07</v>
      </c>
    </row>
    <row r="37" s="707" customFormat="true" ht="9.6" hidden="false" customHeight="true" outlineLevel="0" collapsed="false">
      <c r="A37" s="719" t="s">
        <v>491</v>
      </c>
      <c r="B37" s="698" t="n">
        <v>76.39</v>
      </c>
      <c r="C37" s="698" t="n">
        <v>305.5</v>
      </c>
      <c r="D37" s="698" t="n">
        <v>72.43</v>
      </c>
      <c r="E37" s="699" t="n">
        <f aca="false">SUM(B37:D37)</f>
        <v>454.32</v>
      </c>
      <c r="F37" s="708" t="n">
        <v>9549.39</v>
      </c>
      <c r="G37" s="708" t="n">
        <v>1585.21</v>
      </c>
      <c r="H37" s="708" t="n">
        <v>2311.54</v>
      </c>
      <c r="I37" s="699" t="n">
        <f aca="false">SUM(F37:H37)</f>
        <v>13446.14</v>
      </c>
    </row>
    <row r="38" s="707" customFormat="true" ht="9" hidden="false" customHeight="true" outlineLevel="0" collapsed="false">
      <c r="A38" s="714" t="s">
        <v>212</v>
      </c>
      <c r="B38" s="704" t="n">
        <f aca="false">B39+B42</f>
        <v>1006.74</v>
      </c>
      <c r="C38" s="704" t="n">
        <f aca="false">C39+C42</f>
        <v>1253</v>
      </c>
      <c r="D38" s="704" t="n">
        <f aca="false">D39+D42</f>
        <v>195.07</v>
      </c>
      <c r="E38" s="704" t="n">
        <f aca="false">SUM(B38:D38)</f>
        <v>2454.81</v>
      </c>
      <c r="F38" s="718" t="n">
        <f aca="false">F44</f>
        <v>9527.51</v>
      </c>
      <c r="G38" s="718" t="n">
        <f aca="false">G44</f>
        <v>2699.93</v>
      </c>
      <c r="H38" s="718" t="n">
        <f aca="false">H44</f>
        <v>2239.13</v>
      </c>
      <c r="I38" s="723" t="n">
        <f aca="false">SUM(F38:H38)</f>
        <v>14466.57</v>
      </c>
    </row>
    <row r="39" s="707" customFormat="true" ht="9.6" hidden="false" customHeight="true" outlineLevel="0" collapsed="false">
      <c r="A39" s="719" t="s">
        <v>559</v>
      </c>
      <c r="B39" s="698" t="n">
        <f aca="false">B40+B41</f>
        <v>744.7</v>
      </c>
      <c r="C39" s="698" t="n">
        <f aca="false">C40+C41</f>
        <v>610.03</v>
      </c>
      <c r="D39" s="698" t="n">
        <f aca="false">D40+D41</f>
        <v>112.99</v>
      </c>
      <c r="E39" s="699" t="n">
        <f aca="false">SUM(B39:D39)</f>
        <v>1467.72</v>
      </c>
      <c r="F39" s="708" t="n">
        <v>10735.38</v>
      </c>
      <c r="G39" s="708" t="n">
        <v>1640.2</v>
      </c>
      <c r="H39" s="708" t="n">
        <v>2163.74</v>
      </c>
      <c r="I39" s="699" t="n">
        <f aca="false">SUM(F39:H39)</f>
        <v>14539.32</v>
      </c>
    </row>
    <row r="40" s="707" customFormat="true" ht="9.6" hidden="false" customHeight="true" outlineLevel="0" collapsed="false">
      <c r="A40" s="720" t="s">
        <v>484</v>
      </c>
      <c r="B40" s="709" t="n">
        <v>258.52</v>
      </c>
      <c r="C40" s="709" t="n">
        <v>294.55</v>
      </c>
      <c r="D40" s="709" t="n">
        <v>60.92</v>
      </c>
      <c r="E40" s="709" t="n">
        <f aca="false">SUM(B40:D40)</f>
        <v>613.99</v>
      </c>
      <c r="F40" s="715" t="n">
        <v>9846.48</v>
      </c>
      <c r="G40" s="715" t="n">
        <v>1517.16</v>
      </c>
      <c r="H40" s="715" t="n">
        <v>2430.59</v>
      </c>
      <c r="I40" s="694" t="n">
        <f aca="false">SUM(F40:H40)</f>
        <v>13794.23</v>
      </c>
    </row>
    <row r="41" s="707" customFormat="true" ht="7.5" hidden="false" customHeight="true" outlineLevel="0" collapsed="false">
      <c r="A41" s="719" t="s">
        <v>489</v>
      </c>
      <c r="B41" s="698" t="n">
        <v>486.18</v>
      </c>
      <c r="C41" s="698" t="n">
        <v>315.48</v>
      </c>
      <c r="D41" s="698" t="n">
        <v>52.07</v>
      </c>
      <c r="E41" s="698" t="n">
        <f aca="false">SUM(B41:D41)</f>
        <v>853.73</v>
      </c>
      <c r="F41" s="708" t="n">
        <v>10735.38</v>
      </c>
      <c r="G41" s="708" t="n">
        <v>1640.2</v>
      </c>
      <c r="H41" s="708" t="n">
        <v>2163.74</v>
      </c>
      <c r="I41" s="699" t="n">
        <f aca="false">SUM(F41:H41)</f>
        <v>14539.32</v>
      </c>
    </row>
    <row r="42" s="469" customFormat="true" ht="7.5" hidden="false" customHeight="true" outlineLevel="0" collapsed="false">
      <c r="A42" s="720" t="s">
        <v>560</v>
      </c>
      <c r="B42" s="709" t="n">
        <f aca="false">B43+B44</f>
        <v>262.04</v>
      </c>
      <c r="C42" s="709" t="n">
        <f aca="false">C43+C44</f>
        <v>642.97</v>
      </c>
      <c r="D42" s="709" t="n">
        <f aca="false">D43+D44</f>
        <v>82.08</v>
      </c>
      <c r="E42" s="694" t="n">
        <f aca="false">SUM(B42:D42)</f>
        <v>987.09</v>
      </c>
      <c r="F42" s="715" t="n">
        <f aca="false">F44</f>
        <v>9527.51</v>
      </c>
      <c r="G42" s="715" t="n">
        <f aca="false">G44</f>
        <v>2699.93</v>
      </c>
      <c r="H42" s="715" t="n">
        <f aca="false">H44</f>
        <v>2239.13</v>
      </c>
      <c r="I42" s="694" t="n">
        <f aca="false">SUM(F42:H42)</f>
        <v>14466.57</v>
      </c>
    </row>
    <row r="43" s="707" customFormat="true" ht="7.5" hidden="false" customHeight="true" outlineLevel="0" collapsed="false">
      <c r="A43" s="719" t="s">
        <v>490</v>
      </c>
      <c r="B43" s="698" t="n">
        <v>140.35</v>
      </c>
      <c r="C43" s="698" t="n">
        <v>319.3</v>
      </c>
      <c r="D43" s="698" t="n">
        <v>36.19</v>
      </c>
      <c r="E43" s="698" t="n">
        <f aca="false">SUM(B43:D43)</f>
        <v>495.84</v>
      </c>
      <c r="F43" s="708" t="n">
        <v>9528.91</v>
      </c>
      <c r="G43" s="708" t="n">
        <v>2705.15</v>
      </c>
      <c r="H43" s="708" t="n">
        <v>2144.1</v>
      </c>
      <c r="I43" s="698" t="n">
        <f aca="false">SUM(F43:H43)</f>
        <v>14378.16</v>
      </c>
    </row>
    <row r="44" s="707" customFormat="true" ht="8.25" hidden="false" customHeight="true" outlineLevel="0" collapsed="false">
      <c r="A44" s="720" t="s">
        <v>491</v>
      </c>
      <c r="B44" s="709" t="n">
        <v>121.69</v>
      </c>
      <c r="C44" s="709" t="n">
        <v>323.67</v>
      </c>
      <c r="D44" s="709" t="n">
        <v>45.89</v>
      </c>
      <c r="E44" s="709" t="n">
        <f aca="false">SUM(B44:D44)</f>
        <v>491.25</v>
      </c>
      <c r="F44" s="715" t="n">
        <v>9527.51</v>
      </c>
      <c r="G44" s="715" t="n">
        <v>2699.93</v>
      </c>
      <c r="H44" s="715" t="n">
        <v>2239.13</v>
      </c>
      <c r="I44" s="709" t="n">
        <f aca="false">SUM(F44:H44)</f>
        <v>14466.57</v>
      </c>
    </row>
    <row r="45" s="707" customFormat="true" ht="9" hidden="false" customHeight="true" outlineLevel="0" collapsed="false">
      <c r="A45" s="711" t="s">
        <v>213</v>
      </c>
      <c r="B45" s="712" t="n">
        <f aca="false">B46+B49</f>
        <v>614.76</v>
      </c>
      <c r="C45" s="712" t="n">
        <f aca="false">C46+C49</f>
        <v>1253.44</v>
      </c>
      <c r="D45" s="712" t="n">
        <f aca="false">D46+D49</f>
        <v>712.24</v>
      </c>
      <c r="E45" s="712" t="n">
        <f aca="false">SUM(B45:D45)</f>
        <v>2580.44</v>
      </c>
      <c r="F45" s="722" t="n">
        <f aca="false">F51</f>
        <v>9895.78</v>
      </c>
      <c r="G45" s="722" t="n">
        <f aca="false">G51</f>
        <v>3080.35</v>
      </c>
      <c r="H45" s="722" t="n">
        <f aca="false">H51</f>
        <v>2815.21</v>
      </c>
      <c r="I45" s="713" t="n">
        <f aca="false">SUM(F45:H45)</f>
        <v>15791.34</v>
      </c>
    </row>
    <row r="46" s="469" customFormat="true" ht="8.25" hidden="false" customHeight="true" outlineLevel="0" collapsed="false">
      <c r="A46" s="720" t="s">
        <v>559</v>
      </c>
      <c r="B46" s="709" t="n">
        <f aca="false">B47+B48</f>
        <v>276.86</v>
      </c>
      <c r="C46" s="709" t="n">
        <f aca="false">C47+C48</f>
        <v>636.45</v>
      </c>
      <c r="D46" s="709" t="n">
        <f aca="false">D47+D48</f>
        <v>251.16</v>
      </c>
      <c r="E46" s="694" t="n">
        <f aca="false">SUM(B46:D46)</f>
        <v>1164.47</v>
      </c>
      <c r="F46" s="715" t="n">
        <v>9601.63</v>
      </c>
      <c r="G46" s="715" t="n">
        <v>2697.3</v>
      </c>
      <c r="H46" s="715" t="n">
        <v>2258.29</v>
      </c>
      <c r="I46" s="694" t="n">
        <v>14557.22</v>
      </c>
    </row>
    <row r="47" s="469" customFormat="true" ht="9.6" hidden="false" customHeight="true" outlineLevel="0" collapsed="false">
      <c r="A47" s="719" t="s">
        <v>484</v>
      </c>
      <c r="B47" s="698" t="n">
        <v>154.41</v>
      </c>
      <c r="C47" s="698" t="n">
        <v>291.88</v>
      </c>
      <c r="D47" s="698" t="n">
        <v>60.86</v>
      </c>
      <c r="E47" s="698" t="n">
        <f aca="false">SUM(B47:D47)</f>
        <v>507.15</v>
      </c>
      <c r="F47" s="708" t="n">
        <v>9696.59</v>
      </c>
      <c r="G47" s="708" t="n">
        <v>2787.24</v>
      </c>
      <c r="H47" s="708" t="n">
        <v>2263.13</v>
      </c>
      <c r="I47" s="708" t="n">
        <f aca="false">SUM(F47:H47)</f>
        <v>14746.96</v>
      </c>
    </row>
    <row r="48" s="469" customFormat="true" ht="9.6" hidden="false" customHeight="true" outlineLevel="0" collapsed="false">
      <c r="A48" s="720" t="s">
        <v>489</v>
      </c>
      <c r="B48" s="709" t="n">
        <v>122.45</v>
      </c>
      <c r="C48" s="709" t="n">
        <v>344.57</v>
      </c>
      <c r="D48" s="709" t="n">
        <v>190.3</v>
      </c>
      <c r="E48" s="709" t="n">
        <f aca="false">SUM(B48:D48)</f>
        <v>657.32</v>
      </c>
      <c r="F48" s="715" t="n">
        <v>9601.63</v>
      </c>
      <c r="G48" s="715" t="n">
        <v>2697.3</v>
      </c>
      <c r="H48" s="715" t="n">
        <v>2258.29</v>
      </c>
      <c r="I48" s="715" t="n">
        <f aca="false">SUM(F48:H48)</f>
        <v>14557.22</v>
      </c>
    </row>
    <row r="49" s="469" customFormat="true" ht="7.5" hidden="false" customHeight="true" outlineLevel="0" collapsed="false">
      <c r="A49" s="719" t="s">
        <v>560</v>
      </c>
      <c r="B49" s="698" t="n">
        <f aca="false">B50+B51</f>
        <v>337.9</v>
      </c>
      <c r="C49" s="698" t="n">
        <f aca="false">C50+C51</f>
        <v>616.99</v>
      </c>
      <c r="D49" s="698" t="n">
        <f aca="false">D50+D51</f>
        <v>461.08</v>
      </c>
      <c r="E49" s="699" t="n">
        <f aca="false">SUM(B49:D49)</f>
        <v>1415.97</v>
      </c>
      <c r="F49" s="708" t="n">
        <v>9895.78</v>
      </c>
      <c r="G49" s="708" t="n">
        <v>3080.35</v>
      </c>
      <c r="H49" s="708" t="n">
        <v>2815.21</v>
      </c>
      <c r="I49" s="708" t="n">
        <v>15791.34</v>
      </c>
    </row>
    <row r="50" s="469" customFormat="true" ht="6.75" hidden="false" customHeight="true" outlineLevel="0" collapsed="false">
      <c r="A50" s="720" t="s">
        <v>490</v>
      </c>
      <c r="B50" s="715" t="n">
        <v>111.22</v>
      </c>
      <c r="C50" s="715" t="n">
        <v>324.96</v>
      </c>
      <c r="D50" s="715" t="n">
        <v>67.6</v>
      </c>
      <c r="E50" s="715" t="n">
        <f aca="false">SUM(B50:D50)</f>
        <v>503.78</v>
      </c>
      <c r="F50" s="715" t="n">
        <v>9470.5</v>
      </c>
      <c r="G50" s="715" t="n">
        <v>2885.89</v>
      </c>
      <c r="H50" s="715" t="n">
        <v>2283.5</v>
      </c>
      <c r="I50" s="715" t="n">
        <f aca="false">SUM(F50:H50)</f>
        <v>14639.89</v>
      </c>
    </row>
    <row r="51" s="469" customFormat="true" ht="9.6" hidden="false" customHeight="true" outlineLevel="0" collapsed="false">
      <c r="A51" s="719" t="s">
        <v>491</v>
      </c>
      <c r="B51" s="708" t="n">
        <v>226.68</v>
      </c>
      <c r="C51" s="708" t="n">
        <v>292.03</v>
      </c>
      <c r="D51" s="708" t="n">
        <v>393.48</v>
      </c>
      <c r="E51" s="708" t="n">
        <f aca="false">SUM(B51:D51)</f>
        <v>912.19</v>
      </c>
      <c r="F51" s="708" t="n">
        <v>9895.78</v>
      </c>
      <c r="G51" s="708" t="n">
        <v>3080.35</v>
      </c>
      <c r="H51" s="708" t="n">
        <v>2815.21</v>
      </c>
      <c r="I51" s="708" t="n">
        <f aca="false">SUM(F51:H51)</f>
        <v>15791.34</v>
      </c>
    </row>
    <row r="52" s="469" customFormat="true" ht="9.6" hidden="false" customHeight="true" outlineLevel="0" collapsed="false">
      <c r="A52" s="724" t="s">
        <v>226</v>
      </c>
      <c r="B52" s="704" t="n">
        <f aca="false">B53+B56</f>
        <v>1195.2</v>
      </c>
      <c r="C52" s="704" t="n">
        <f aca="false">C53+C56</f>
        <v>1363.46</v>
      </c>
      <c r="D52" s="704" t="n">
        <f aca="false">D53+D56</f>
        <v>1330.33</v>
      </c>
      <c r="E52" s="704" t="n">
        <f aca="false">SUM(B52:D52)</f>
        <v>3888.99</v>
      </c>
      <c r="F52" s="718" t="n">
        <f aca="false">F58</f>
        <v>11775.91</v>
      </c>
      <c r="G52" s="718" t="n">
        <f aca="false">G58</f>
        <v>3021.77</v>
      </c>
      <c r="H52" s="718" t="n">
        <f aca="false">H58</f>
        <v>3882.53</v>
      </c>
      <c r="I52" s="723" t="n">
        <f aca="false">SUM(F52:H52)</f>
        <v>18680.21</v>
      </c>
    </row>
    <row r="53" s="469" customFormat="true" ht="7.5" hidden="false" customHeight="true" outlineLevel="0" collapsed="false">
      <c r="A53" s="719" t="s">
        <v>559</v>
      </c>
      <c r="B53" s="698" t="n">
        <f aca="false">B54+B55</f>
        <v>786.23</v>
      </c>
      <c r="C53" s="698" t="n">
        <f aca="false">C54+C55</f>
        <v>692.12</v>
      </c>
      <c r="D53" s="698" t="n">
        <f aca="false">D54+D55</f>
        <v>718.98</v>
      </c>
      <c r="E53" s="699" t="n">
        <f aca="false">SUM(B53:D53)</f>
        <v>2197.33</v>
      </c>
      <c r="F53" s="708" t="n">
        <v>10865.73</v>
      </c>
      <c r="G53" s="708" t="n">
        <v>2721.98</v>
      </c>
      <c r="H53" s="708" t="n">
        <v>3473.92</v>
      </c>
      <c r="I53" s="708" t="n">
        <v>17061.63</v>
      </c>
    </row>
    <row r="54" s="469" customFormat="true" ht="9.6" hidden="false" customHeight="true" outlineLevel="0" collapsed="false">
      <c r="A54" s="720" t="s">
        <v>484</v>
      </c>
      <c r="B54" s="715" t="n">
        <v>267.47</v>
      </c>
      <c r="C54" s="715" t="n">
        <v>311.28</v>
      </c>
      <c r="D54" s="715" t="n">
        <v>270.87</v>
      </c>
      <c r="E54" s="715" t="n">
        <f aca="false">SUM(B54:D54)</f>
        <v>849.62</v>
      </c>
      <c r="F54" s="715" t="n">
        <v>10364.04</v>
      </c>
      <c r="G54" s="715" t="n">
        <v>3076.04</v>
      </c>
      <c r="H54" s="715" t="n">
        <v>3202.41</v>
      </c>
      <c r="I54" s="715" t="n">
        <f aca="false">SUM(F54:H54)</f>
        <v>16642.49</v>
      </c>
    </row>
    <row r="55" s="469" customFormat="true" ht="9.6" hidden="false" customHeight="true" outlineLevel="0" collapsed="false">
      <c r="A55" s="719" t="s">
        <v>489</v>
      </c>
      <c r="B55" s="708" t="n">
        <v>518.76</v>
      </c>
      <c r="C55" s="708" t="n">
        <v>380.84</v>
      </c>
      <c r="D55" s="708" t="n">
        <v>448.11</v>
      </c>
      <c r="E55" s="708" t="n">
        <f aca="false">SUM(B55:D55)</f>
        <v>1347.71</v>
      </c>
      <c r="F55" s="708" t="n">
        <v>10865.73</v>
      </c>
      <c r="G55" s="708" t="n">
        <v>2721.98</v>
      </c>
      <c r="H55" s="708" t="n">
        <v>3473.92</v>
      </c>
      <c r="I55" s="708" t="n">
        <f aca="false">SUM(F55:H55)</f>
        <v>17061.63</v>
      </c>
    </row>
    <row r="56" s="469" customFormat="true" ht="9.6" hidden="false" customHeight="true" outlineLevel="0" collapsed="false">
      <c r="A56" s="720" t="s">
        <v>560</v>
      </c>
      <c r="B56" s="709" t="n">
        <f aca="false">B57+B58</f>
        <v>408.97</v>
      </c>
      <c r="C56" s="709" t="n">
        <f aca="false">C57+C58</f>
        <v>671.34</v>
      </c>
      <c r="D56" s="709" t="n">
        <f aca="false">D57+D58</f>
        <v>611.35</v>
      </c>
      <c r="E56" s="694" t="n">
        <f aca="false">SUM(B56:D56)</f>
        <v>1691.66</v>
      </c>
      <c r="F56" s="715" t="n">
        <v>11775.91</v>
      </c>
      <c r="G56" s="715" t="n">
        <v>3021.77</v>
      </c>
      <c r="H56" s="715" t="n">
        <v>3882.53</v>
      </c>
      <c r="I56" s="715" t="n">
        <v>18680.21</v>
      </c>
    </row>
    <row r="57" s="469" customFormat="true" ht="9.6" hidden="false" customHeight="true" outlineLevel="0" collapsed="false">
      <c r="A57" s="719" t="s">
        <v>490</v>
      </c>
      <c r="B57" s="708" t="n">
        <v>191.01</v>
      </c>
      <c r="C57" s="708" t="n">
        <v>364.82</v>
      </c>
      <c r="D57" s="708" t="n">
        <v>479.73</v>
      </c>
      <c r="E57" s="708" t="n">
        <f aca="false">SUM(B57:D57)</f>
        <v>1035.56</v>
      </c>
      <c r="F57" s="708" t="n">
        <v>11588.82</v>
      </c>
      <c r="G57" s="708" t="n">
        <v>2880.06</v>
      </c>
      <c r="H57" s="708" t="n">
        <v>3716.13</v>
      </c>
      <c r="I57" s="708" t="n">
        <f aca="false">SUM(F57:H57)</f>
        <v>18185.01</v>
      </c>
    </row>
    <row r="58" s="469" customFormat="true" ht="9.6" hidden="false" customHeight="true" outlineLevel="0" collapsed="false">
      <c r="A58" s="720" t="s">
        <v>491</v>
      </c>
      <c r="B58" s="715" t="n">
        <v>217.96</v>
      </c>
      <c r="C58" s="715" t="n">
        <v>306.52</v>
      </c>
      <c r="D58" s="715" t="n">
        <v>131.62</v>
      </c>
      <c r="E58" s="715" t="n">
        <f aca="false">SUM(B58:D58)</f>
        <v>656.1</v>
      </c>
      <c r="F58" s="715" t="n">
        <v>11775.91</v>
      </c>
      <c r="G58" s="715" t="n">
        <v>3021.77</v>
      </c>
      <c r="H58" s="715" t="n">
        <v>3882.53</v>
      </c>
      <c r="I58" s="715" t="n">
        <f aca="false">SUM(F58:H58)</f>
        <v>18680.21</v>
      </c>
    </row>
    <row r="59" s="469" customFormat="true" ht="7.5" hidden="false" customHeight="true" outlineLevel="0" collapsed="false">
      <c r="A59" s="721" t="s">
        <v>227</v>
      </c>
      <c r="B59" s="708"/>
      <c r="C59" s="708"/>
      <c r="D59" s="708"/>
      <c r="E59" s="708"/>
      <c r="F59" s="708"/>
      <c r="G59" s="708"/>
      <c r="H59" s="708"/>
      <c r="I59" s="708"/>
    </row>
    <row r="60" s="469" customFormat="true" ht="8.25" hidden="false" customHeight="true" outlineLevel="0" collapsed="false">
      <c r="A60" s="720" t="s">
        <v>559</v>
      </c>
      <c r="B60" s="709" t="n">
        <f aca="false">B61+B62</f>
        <v>394.73</v>
      </c>
      <c r="C60" s="709" t="n">
        <f aca="false">C61+C62</f>
        <v>796.01</v>
      </c>
      <c r="D60" s="709" t="n">
        <f aca="false">D61+D62</f>
        <v>-8.45</v>
      </c>
      <c r="E60" s="694" t="n">
        <f aca="false">SUM(B60:D60)</f>
        <v>1182.29</v>
      </c>
      <c r="F60" s="715" t="n">
        <v>12220.87</v>
      </c>
      <c r="G60" s="715" t="n">
        <v>3011.48</v>
      </c>
      <c r="H60" s="715" t="n">
        <v>2552.63</v>
      </c>
      <c r="I60" s="715" t="n">
        <v>17784.98</v>
      </c>
    </row>
    <row r="61" s="469" customFormat="true" ht="9" hidden="false" customHeight="true" outlineLevel="0" collapsed="false">
      <c r="A61" s="719" t="s">
        <v>484</v>
      </c>
      <c r="B61" s="708" t="n">
        <v>193.82</v>
      </c>
      <c r="C61" s="708" t="n">
        <v>328.44</v>
      </c>
      <c r="D61" s="708" t="n">
        <v>-60.06</v>
      </c>
      <c r="E61" s="708" t="n">
        <f aca="false">SUM(B61:D61)</f>
        <v>462.2</v>
      </c>
      <c r="F61" s="708" t="n">
        <v>11892.25</v>
      </c>
      <c r="G61" s="708" t="n">
        <v>2954.37</v>
      </c>
      <c r="H61" s="708" t="n">
        <v>2464.18</v>
      </c>
      <c r="I61" s="708" t="n">
        <f aca="false">SUM(F61:H61)</f>
        <v>17310.8</v>
      </c>
      <c r="K61" s="725"/>
    </row>
    <row r="62" s="469" customFormat="true" ht="9" hidden="false" customHeight="true" outlineLevel="0" collapsed="false">
      <c r="A62" s="720" t="s">
        <v>489</v>
      </c>
      <c r="B62" s="715" t="n">
        <v>200.91</v>
      </c>
      <c r="C62" s="715" t="n">
        <v>467.57</v>
      </c>
      <c r="D62" s="715" t="n">
        <v>51.61</v>
      </c>
      <c r="E62" s="715" t="n">
        <f aca="false">SUM(B62:D62)</f>
        <v>720.09</v>
      </c>
      <c r="F62" s="715" t="n">
        <v>12220.87</v>
      </c>
      <c r="G62" s="715" t="n">
        <v>3011.48</v>
      </c>
      <c r="H62" s="715" t="n">
        <v>2552.63</v>
      </c>
      <c r="I62" s="715" t="n">
        <f aca="false">SUM(F62:H62)</f>
        <v>17784.98</v>
      </c>
    </row>
    <row r="63" s="469" customFormat="true" ht="9" hidden="false" customHeight="true" outlineLevel="0" collapsed="false">
      <c r="A63" s="726" t="s">
        <v>490</v>
      </c>
      <c r="B63" s="727" t="n">
        <v>178.98</v>
      </c>
      <c r="C63" s="727" t="n">
        <v>410.93</v>
      </c>
      <c r="D63" s="727" t="n">
        <v>-7.74</v>
      </c>
      <c r="E63" s="727" t="n">
        <f aca="false">SUM(B63:D63)</f>
        <v>582.17</v>
      </c>
      <c r="F63" s="727" t="n">
        <v>12389.63</v>
      </c>
      <c r="G63" s="727" t="n">
        <v>3411.16</v>
      </c>
      <c r="H63" s="727" t="n">
        <v>3058.03</v>
      </c>
      <c r="I63" s="727" t="n">
        <f aca="false">SUM(F63:H63)</f>
        <v>18858.82</v>
      </c>
    </row>
    <row r="64" s="729" customFormat="true" ht="10.5" hidden="false" customHeight="true" outlineLevel="0" collapsed="false">
      <c r="A64" s="714" t="s">
        <v>561</v>
      </c>
      <c r="B64" s="728" t="s">
        <v>562</v>
      </c>
      <c r="C64" s="728"/>
      <c r="D64" s="728"/>
      <c r="E64" s="728"/>
      <c r="F64" s="728"/>
      <c r="G64" s="728"/>
      <c r="H64" s="728"/>
      <c r="I64" s="728"/>
    </row>
    <row r="65" s="731" customFormat="true" ht="11.25" hidden="false" customHeight="true" outlineLevel="0" collapsed="false">
      <c r="A65" s="730"/>
      <c r="B65" s="728" t="s">
        <v>563</v>
      </c>
      <c r="C65" s="728"/>
      <c r="D65" s="728"/>
      <c r="E65" s="728"/>
      <c r="F65" s="728"/>
      <c r="G65" s="728"/>
      <c r="H65" s="728"/>
      <c r="I65" s="728"/>
    </row>
    <row r="66" customFormat="false" ht="8.25" hidden="false" customHeight="true" outlineLevel="0" collapsed="false">
      <c r="A66" s="732"/>
      <c r="B66" s="733"/>
      <c r="C66" s="734"/>
      <c r="D66" s="735"/>
      <c r="E66" s="636"/>
      <c r="F66" s="734"/>
      <c r="G66" s="734"/>
      <c r="H66" s="734"/>
      <c r="I66" s="734"/>
    </row>
    <row r="67" customFormat="false" ht="8.25" hidden="false" customHeight="true" outlineLevel="0" collapsed="false">
      <c r="A67" s="714" t="s">
        <v>564</v>
      </c>
      <c r="B67" s="736" t="s">
        <v>398</v>
      </c>
      <c r="C67" s="736"/>
      <c r="D67" s="736"/>
      <c r="E67" s="736"/>
      <c r="F67" s="737"/>
      <c r="G67" s="737"/>
      <c r="H67" s="734"/>
      <c r="I67" s="734"/>
    </row>
    <row r="68" customFormat="false" ht="10.5" hidden="false" customHeight="true" outlineLevel="0" collapsed="false"/>
    <row r="69" customFormat="false" ht="11.25" hidden="false" customHeight="true" outlineLevel="0" collapsed="false">
      <c r="E69" s="738"/>
    </row>
    <row r="70" customFormat="false" ht="11.25" hidden="false" customHeight="true" outlineLevel="0" collapsed="false">
      <c r="E70" s="738"/>
    </row>
    <row r="71" customFormat="false" ht="12" hidden="false" customHeight="true" outlineLevel="0" collapsed="false"/>
    <row r="72" customFormat="false" ht="11.25" hidden="false" customHeight="true" outlineLevel="0" collapsed="false"/>
    <row r="73" customFormat="false" ht="9.75" hidden="false" customHeight="true" outlineLevel="0" collapsed="false"/>
    <row r="74" customFormat="false" ht="11.25" hidden="false" customHeight="true" outlineLevel="0" collapsed="false"/>
    <row r="75" customFormat="false" ht="10.5" hidden="false" customHeight="true" outlineLevel="0" collapsed="false"/>
  </sheetData>
  <mergeCells count="8">
    <mergeCell ref="A1:G2"/>
    <mergeCell ref="H3:I3"/>
    <mergeCell ref="A4:A5"/>
    <mergeCell ref="B4:E4"/>
    <mergeCell ref="F4:I4"/>
    <mergeCell ref="B64:I64"/>
    <mergeCell ref="B65:I65"/>
    <mergeCell ref="B67:E67"/>
  </mergeCells>
  <printOptions headings="false" gridLines="false" gridLinesSet="true" horizontalCentered="false" verticalCentered="false"/>
  <pageMargins left="0.590277777777778" right="0.511805555555555" top="0.39375" bottom="0.511805555555555" header="0.511805555555555" footer="0.39375"/>
  <pageSetup paperSize="1" scale="100" firstPageNumber="3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>&amp;C&amp;"Times New Roman,Regular"&amp;8&amp;P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U25" activePane="bottomRight" state="frozen"/>
      <selection pane="topLeft" activeCell="A1" activeCellId="0" sqref="A1"/>
      <selection pane="topRight" activeCell="U1" activeCellId="0" sqref="U1"/>
      <selection pane="bottomLeft" activeCell="A25" activeCellId="0" sqref="A25"/>
      <selection pane="bottomRight" activeCell="I28" activeCellId="0" sqref="I28"/>
    </sheetView>
  </sheetViews>
  <sheetFormatPr defaultColWidth="9.15625" defaultRowHeight="9" zeroHeight="false" outlineLevelRow="0" outlineLevelCol="0"/>
  <cols>
    <col collapsed="false" customWidth="true" hidden="false" outlineLevel="0" max="1" min="1" style="733" width="9.85"/>
    <col collapsed="false" customWidth="true" hidden="false" outlineLevel="0" max="2" min="2" style="737" width="5.28"/>
    <col collapsed="false" customWidth="true" hidden="false" outlineLevel="0" max="3" min="3" style="737" width="6.86"/>
    <col collapsed="false" customWidth="true" hidden="false" outlineLevel="0" max="4" min="4" style="737" width="4.86"/>
    <col collapsed="false" customWidth="true" hidden="false" outlineLevel="0" max="5" min="5" style="737" width="5.57"/>
    <col collapsed="false" customWidth="true" hidden="false" outlineLevel="0" max="6" min="6" style="737" width="5.43"/>
    <col collapsed="false" customWidth="true" hidden="false" outlineLevel="0" max="7" min="7" style="737" width="8.86"/>
    <col collapsed="false" customWidth="true" hidden="false" outlineLevel="0" max="8" min="8" style="737" width="6.86"/>
    <col collapsed="false" customWidth="true" hidden="false" outlineLevel="0" max="9" min="9" style="737" width="5.43"/>
    <col collapsed="false" customWidth="true" hidden="false" outlineLevel="0" max="10" min="10" style="737" width="5.57"/>
    <col collapsed="false" customWidth="true" hidden="false" outlineLevel="0" max="12" min="11" style="737" width="6.42"/>
    <col collapsed="false" customWidth="true" hidden="false" outlineLevel="0" max="13" min="13" style="737" width="8.29"/>
    <col collapsed="false" customWidth="true" hidden="false" outlineLevel="0" max="14" min="14" style="737" width="8.86"/>
    <col collapsed="false" customWidth="true" hidden="false" outlineLevel="0" max="15" min="15" style="737" width="8.57"/>
    <col collapsed="false" customWidth="true" hidden="false" outlineLevel="0" max="16" min="16" style="737" width="9"/>
    <col collapsed="false" customWidth="true" hidden="false" outlineLevel="0" max="17" min="17" style="737" width="8.14"/>
    <col collapsed="false" customWidth="true" hidden="false" outlineLevel="0" max="18" min="18" style="737" width="7.71"/>
    <col collapsed="false" customWidth="true" hidden="false" outlineLevel="0" max="19" min="19" style="737" width="7.42"/>
    <col collapsed="false" customWidth="true" hidden="false" outlineLevel="0" max="20" min="20" style="737" width="7.86"/>
    <col collapsed="false" customWidth="true" hidden="false" outlineLevel="0" max="21" min="21" style="733" width="9.58"/>
    <col collapsed="false" customWidth="true" hidden="false" outlineLevel="0" max="22" min="22" style="733" width="9.71"/>
    <col collapsed="false" customWidth="true" hidden="false" outlineLevel="0" max="24" min="23" style="737" width="6.01"/>
    <col collapsed="false" customWidth="true" hidden="false" outlineLevel="0" max="25" min="25" style="737" width="7.57"/>
    <col collapsed="false" customWidth="true" hidden="false" outlineLevel="0" max="26" min="26" style="737" width="6.86"/>
    <col collapsed="false" customWidth="true" hidden="false" outlineLevel="0" max="27" min="27" style="737" width="6.71"/>
    <col collapsed="false" customWidth="true" hidden="false" outlineLevel="0" max="28" min="28" style="737" width="6.86"/>
    <col collapsed="false" customWidth="true" hidden="false" outlineLevel="0" max="29" min="29" style="737" width="6.57"/>
    <col collapsed="false" customWidth="true" hidden="false" outlineLevel="0" max="30" min="30" style="737" width="7.29"/>
    <col collapsed="false" customWidth="true" hidden="false" outlineLevel="0" max="31" min="31" style="737" width="8.14"/>
    <col collapsed="false" customWidth="true" hidden="false" outlineLevel="0" max="32" min="32" style="737" width="6.86"/>
    <col collapsed="false" customWidth="true" hidden="false" outlineLevel="0" max="33" min="33" style="737" width="6.42"/>
    <col collapsed="false" customWidth="true" hidden="false" outlineLevel="0" max="34" min="34" style="737" width="7.71"/>
    <col collapsed="false" customWidth="true" hidden="false" outlineLevel="0" max="35" min="35" style="737" width="7"/>
    <col collapsed="false" customWidth="true" hidden="false" outlineLevel="0" max="36" min="36" style="737" width="7.15"/>
    <col collapsed="false" customWidth="true" hidden="false" outlineLevel="0" max="37" min="37" style="737" width="7.71"/>
    <col collapsed="false" customWidth="true" hidden="false" outlineLevel="0" max="38" min="38" style="737" width="7.86"/>
    <col collapsed="false" customWidth="true" hidden="false" outlineLevel="0" max="39" min="39" style="737" width="9.71"/>
    <col collapsed="false" customWidth="true" hidden="false" outlineLevel="0" max="40" min="40" style="737" width="7.71"/>
    <col collapsed="false" customWidth="true" hidden="false" outlineLevel="0" max="41" min="41" style="737" width="8.29"/>
    <col collapsed="false" customWidth="true" hidden="false" outlineLevel="0" max="42" min="42" style="733" width="9.71"/>
    <col collapsed="false" customWidth="false" hidden="false" outlineLevel="0" max="1024" min="43" style="737" width="9.14"/>
  </cols>
  <sheetData>
    <row r="1" s="741" customFormat="true" ht="15.75" hidden="false" customHeight="false" outlineLevel="0" collapsed="false">
      <c r="A1" s="739" t="s">
        <v>565</v>
      </c>
      <c r="B1" s="739"/>
      <c r="C1" s="739"/>
      <c r="D1" s="739"/>
      <c r="E1" s="740"/>
      <c r="F1" s="740"/>
      <c r="J1" s="742" t="s">
        <v>566</v>
      </c>
      <c r="K1" s="742"/>
      <c r="L1" s="742"/>
      <c r="M1" s="743" t="s">
        <v>567</v>
      </c>
      <c r="N1" s="743"/>
      <c r="S1" s="742" t="s">
        <v>568</v>
      </c>
      <c r="T1" s="742"/>
      <c r="U1" s="742"/>
      <c r="AE1" s="742" t="s">
        <v>566</v>
      </c>
      <c r="AF1" s="742"/>
      <c r="AG1" s="743" t="s">
        <v>567</v>
      </c>
      <c r="AH1" s="743"/>
      <c r="AI1" s="743"/>
      <c r="AN1" s="742" t="s">
        <v>569</v>
      </c>
      <c r="AO1" s="742"/>
      <c r="AP1" s="742"/>
    </row>
    <row r="2" s="747" customFormat="true" ht="11.25" hidden="false" customHeight="true" outlineLevel="0" collapsed="false">
      <c r="A2" s="744"/>
      <c r="B2" s="744"/>
      <c r="C2" s="744"/>
      <c r="D2" s="744"/>
      <c r="E2" s="745"/>
      <c r="F2" s="745"/>
      <c r="G2" s="746"/>
      <c r="H2" s="746"/>
      <c r="I2" s="746"/>
      <c r="M2" s="746"/>
      <c r="S2" s="744"/>
      <c r="T2" s="748" t="s">
        <v>110</v>
      </c>
      <c r="U2" s="748"/>
      <c r="AO2" s="748" t="s">
        <v>110</v>
      </c>
      <c r="AP2" s="748"/>
    </row>
    <row r="3" s="755" customFormat="true" ht="13.5" hidden="false" customHeight="true" outlineLevel="0" collapsed="false">
      <c r="A3" s="749" t="s">
        <v>570</v>
      </c>
      <c r="B3" s="750" t="s">
        <v>571</v>
      </c>
      <c r="C3" s="750"/>
      <c r="D3" s="750"/>
      <c r="E3" s="750"/>
      <c r="F3" s="750"/>
      <c r="G3" s="750"/>
      <c r="H3" s="750"/>
      <c r="I3" s="750"/>
      <c r="J3" s="750"/>
      <c r="K3" s="750"/>
      <c r="L3" s="750"/>
      <c r="M3" s="750" t="s">
        <v>572</v>
      </c>
      <c r="N3" s="750"/>
      <c r="O3" s="750"/>
      <c r="P3" s="750"/>
      <c r="Q3" s="750"/>
      <c r="R3" s="750"/>
      <c r="S3" s="750"/>
      <c r="T3" s="750"/>
      <c r="U3" s="749" t="s">
        <v>570</v>
      </c>
      <c r="V3" s="751" t="s">
        <v>570</v>
      </c>
      <c r="W3" s="752" t="s">
        <v>573</v>
      </c>
      <c r="X3" s="752"/>
      <c r="Y3" s="752"/>
      <c r="Z3" s="752"/>
      <c r="AA3" s="752"/>
      <c r="AB3" s="752"/>
      <c r="AC3" s="752"/>
      <c r="AD3" s="752"/>
      <c r="AE3" s="752"/>
      <c r="AF3" s="752"/>
      <c r="AG3" s="752"/>
      <c r="AH3" s="753" t="s">
        <v>574</v>
      </c>
      <c r="AI3" s="753"/>
      <c r="AJ3" s="753"/>
      <c r="AK3" s="753"/>
      <c r="AL3" s="753"/>
      <c r="AM3" s="753"/>
      <c r="AN3" s="753"/>
      <c r="AO3" s="754" t="s">
        <v>575</v>
      </c>
      <c r="AP3" s="749" t="s">
        <v>260</v>
      </c>
    </row>
    <row r="4" s="762" customFormat="true" ht="11.25" hidden="false" customHeight="true" outlineLevel="0" collapsed="false">
      <c r="A4" s="749"/>
      <c r="B4" s="756" t="s">
        <v>576</v>
      </c>
      <c r="C4" s="757" t="s">
        <v>577</v>
      </c>
      <c r="D4" s="758" t="s">
        <v>578</v>
      </c>
      <c r="E4" s="758" t="s">
        <v>579</v>
      </c>
      <c r="F4" s="758" t="s">
        <v>580</v>
      </c>
      <c r="G4" s="757" t="s">
        <v>581</v>
      </c>
      <c r="H4" s="757" t="s">
        <v>582</v>
      </c>
      <c r="I4" s="758" t="s">
        <v>583</v>
      </c>
      <c r="J4" s="758" t="s">
        <v>584</v>
      </c>
      <c r="K4" s="758" t="s">
        <v>585</v>
      </c>
      <c r="L4" s="759" t="s">
        <v>586</v>
      </c>
      <c r="M4" s="760" t="s">
        <v>587</v>
      </c>
      <c r="N4" s="760"/>
      <c r="O4" s="760"/>
      <c r="P4" s="760" t="s">
        <v>588</v>
      </c>
      <c r="Q4" s="760"/>
      <c r="R4" s="760"/>
      <c r="S4" s="760"/>
      <c r="T4" s="760"/>
      <c r="U4" s="749"/>
      <c r="V4" s="749"/>
      <c r="W4" s="761" t="s">
        <v>589</v>
      </c>
      <c r="X4" s="761"/>
      <c r="Y4" s="761"/>
      <c r="Z4" s="761"/>
      <c r="AA4" s="761"/>
      <c r="AB4" s="761"/>
      <c r="AC4" s="761"/>
      <c r="AD4" s="761"/>
      <c r="AE4" s="761"/>
      <c r="AF4" s="761"/>
      <c r="AG4" s="761"/>
      <c r="AH4" s="761"/>
      <c r="AI4" s="761"/>
      <c r="AJ4" s="761"/>
      <c r="AK4" s="761"/>
      <c r="AL4" s="761"/>
      <c r="AM4" s="761"/>
      <c r="AN4" s="761"/>
      <c r="AO4" s="754"/>
      <c r="AP4" s="749"/>
    </row>
    <row r="5" s="767" customFormat="true" ht="44.25" hidden="false" customHeight="true" outlineLevel="0" collapsed="false">
      <c r="A5" s="749"/>
      <c r="B5" s="756"/>
      <c r="C5" s="757"/>
      <c r="D5" s="758"/>
      <c r="E5" s="758"/>
      <c r="F5" s="758"/>
      <c r="G5" s="757"/>
      <c r="H5" s="757"/>
      <c r="I5" s="758"/>
      <c r="J5" s="758"/>
      <c r="K5" s="758"/>
      <c r="L5" s="759"/>
      <c r="M5" s="763" t="s">
        <v>590</v>
      </c>
      <c r="N5" s="758" t="s">
        <v>591</v>
      </c>
      <c r="O5" s="758" t="s">
        <v>592</v>
      </c>
      <c r="P5" s="758" t="s">
        <v>593</v>
      </c>
      <c r="Q5" s="758" t="s">
        <v>594</v>
      </c>
      <c r="R5" s="758" t="s">
        <v>595</v>
      </c>
      <c r="S5" s="758" t="s">
        <v>596</v>
      </c>
      <c r="T5" s="763" t="s">
        <v>597</v>
      </c>
      <c r="U5" s="749"/>
      <c r="V5" s="749"/>
      <c r="W5" s="764" t="s">
        <v>598</v>
      </c>
      <c r="X5" s="765" t="s">
        <v>599</v>
      </c>
      <c r="Y5" s="765" t="s">
        <v>600</v>
      </c>
      <c r="Z5" s="765" t="s">
        <v>601</v>
      </c>
      <c r="AA5" s="765" t="s">
        <v>602</v>
      </c>
      <c r="AB5" s="765" t="s">
        <v>603</v>
      </c>
      <c r="AC5" s="765" t="s">
        <v>584</v>
      </c>
      <c r="AD5" s="765" t="s">
        <v>604</v>
      </c>
      <c r="AE5" s="766" t="s">
        <v>605</v>
      </c>
      <c r="AF5" s="765" t="s">
        <v>606</v>
      </c>
      <c r="AG5" s="765" t="s">
        <v>607</v>
      </c>
      <c r="AH5" s="757" t="s">
        <v>608</v>
      </c>
      <c r="AI5" s="758" t="s">
        <v>609</v>
      </c>
      <c r="AJ5" s="758" t="s">
        <v>610</v>
      </c>
      <c r="AK5" s="758" t="s">
        <v>611</v>
      </c>
      <c r="AL5" s="758" t="s">
        <v>612</v>
      </c>
      <c r="AM5" s="758" t="s">
        <v>613</v>
      </c>
      <c r="AN5" s="763" t="s">
        <v>614</v>
      </c>
      <c r="AO5" s="754"/>
      <c r="AP5" s="749"/>
    </row>
    <row r="6" s="772" customFormat="true" ht="12" hidden="false" customHeight="true" outlineLevel="0" collapsed="false">
      <c r="A6" s="749"/>
      <c r="B6" s="768" t="n">
        <v>1</v>
      </c>
      <c r="C6" s="769" t="n">
        <v>2</v>
      </c>
      <c r="D6" s="769" t="n">
        <v>3</v>
      </c>
      <c r="E6" s="769" t="n">
        <v>4</v>
      </c>
      <c r="F6" s="769" t="n">
        <v>5</v>
      </c>
      <c r="G6" s="769" t="n">
        <v>6</v>
      </c>
      <c r="H6" s="769" t="n">
        <v>7</v>
      </c>
      <c r="I6" s="769" t="n">
        <v>8</v>
      </c>
      <c r="J6" s="769" t="n">
        <v>9</v>
      </c>
      <c r="K6" s="769" t="n">
        <v>10</v>
      </c>
      <c r="L6" s="769" t="n">
        <v>11</v>
      </c>
      <c r="M6" s="770" t="n">
        <v>12</v>
      </c>
      <c r="N6" s="769" t="n">
        <v>13</v>
      </c>
      <c r="O6" s="769" t="s">
        <v>615</v>
      </c>
      <c r="P6" s="769" t="n">
        <v>15</v>
      </c>
      <c r="Q6" s="769" t="n">
        <v>16</v>
      </c>
      <c r="R6" s="769" t="n">
        <v>17</v>
      </c>
      <c r="S6" s="769" t="n">
        <v>18</v>
      </c>
      <c r="T6" s="770" t="n">
        <v>19</v>
      </c>
      <c r="U6" s="749"/>
      <c r="V6" s="749"/>
      <c r="W6" s="768" t="n">
        <v>20</v>
      </c>
      <c r="X6" s="769" t="n">
        <v>21</v>
      </c>
      <c r="Y6" s="769" t="n">
        <v>22</v>
      </c>
      <c r="Z6" s="769" t="n">
        <v>23</v>
      </c>
      <c r="AA6" s="769" t="n">
        <v>24</v>
      </c>
      <c r="AB6" s="769" t="n">
        <v>25</v>
      </c>
      <c r="AC6" s="769" t="n">
        <v>26</v>
      </c>
      <c r="AD6" s="769" t="n">
        <v>27</v>
      </c>
      <c r="AE6" s="769" t="n">
        <v>28</v>
      </c>
      <c r="AF6" s="769" t="n">
        <v>29</v>
      </c>
      <c r="AG6" s="769" t="n">
        <v>30</v>
      </c>
      <c r="AH6" s="769" t="n">
        <v>31</v>
      </c>
      <c r="AI6" s="769" t="n">
        <v>32</v>
      </c>
      <c r="AJ6" s="769" t="n">
        <v>33</v>
      </c>
      <c r="AK6" s="769" t="n">
        <v>34</v>
      </c>
      <c r="AL6" s="769" t="n">
        <v>35</v>
      </c>
      <c r="AM6" s="769" t="n">
        <v>36</v>
      </c>
      <c r="AN6" s="769" t="s">
        <v>616</v>
      </c>
      <c r="AO6" s="771" t="s">
        <v>617</v>
      </c>
      <c r="AP6" s="749"/>
    </row>
    <row r="7" s="778" customFormat="true" ht="10.7" hidden="false" customHeight="true" outlineLevel="0" collapsed="false">
      <c r="A7" s="773" t="s">
        <v>203</v>
      </c>
      <c r="B7" s="774" t="n">
        <v>1328</v>
      </c>
      <c r="C7" s="162" t="n">
        <v>3656</v>
      </c>
      <c r="D7" s="162" t="n">
        <v>37</v>
      </c>
      <c r="E7" s="162" t="n">
        <v>2431</v>
      </c>
      <c r="F7" s="162" t="n">
        <v>3208</v>
      </c>
      <c r="G7" s="162" t="n">
        <v>67248</v>
      </c>
      <c r="H7" s="774" t="n">
        <v>993</v>
      </c>
      <c r="I7" s="774" t="n">
        <v>0</v>
      </c>
      <c r="J7" s="774" t="n">
        <v>236</v>
      </c>
      <c r="K7" s="774" t="n">
        <v>23011</v>
      </c>
      <c r="L7" s="774" t="n">
        <v>102148</v>
      </c>
      <c r="M7" s="774" t="n">
        <v>522</v>
      </c>
      <c r="N7" s="774" t="n">
        <v>5267</v>
      </c>
      <c r="O7" s="774" t="n">
        <v>5789</v>
      </c>
      <c r="P7" s="774" t="n">
        <v>736</v>
      </c>
      <c r="Q7" s="774" t="n">
        <v>755</v>
      </c>
      <c r="R7" s="774" t="n">
        <v>900</v>
      </c>
      <c r="S7" s="774" t="n">
        <v>7260</v>
      </c>
      <c r="T7" s="774" t="n">
        <v>2422</v>
      </c>
      <c r="U7" s="775" t="s">
        <v>203</v>
      </c>
      <c r="V7" s="773" t="s">
        <v>203</v>
      </c>
      <c r="W7" s="155" t="n">
        <v>4497</v>
      </c>
      <c r="X7" s="155" t="n">
        <v>2305</v>
      </c>
      <c r="Y7" s="155" t="n">
        <v>3700</v>
      </c>
      <c r="Z7" s="155" t="n">
        <v>13984</v>
      </c>
      <c r="AA7" s="155" t="n">
        <v>6722</v>
      </c>
      <c r="AB7" s="155" t="n">
        <v>713</v>
      </c>
      <c r="AC7" s="155" t="n">
        <v>4960</v>
      </c>
      <c r="AD7" s="155" t="n">
        <v>1899</v>
      </c>
      <c r="AE7" s="155" t="n">
        <v>6683</v>
      </c>
      <c r="AF7" s="155" t="n">
        <v>9959</v>
      </c>
      <c r="AG7" s="155" t="n">
        <v>4971</v>
      </c>
      <c r="AH7" s="155" t="n">
        <v>13742</v>
      </c>
      <c r="AI7" s="776" t="n">
        <v>814</v>
      </c>
      <c r="AJ7" s="776" t="n">
        <v>10052</v>
      </c>
      <c r="AK7" s="776" t="n">
        <v>11032</v>
      </c>
      <c r="AL7" s="776" t="n">
        <v>50346</v>
      </c>
      <c r="AM7" s="776" t="n">
        <v>158452</v>
      </c>
      <c r="AN7" s="774" t="n">
        <v>164241</v>
      </c>
      <c r="AO7" s="774" t="n">
        <v>-62093</v>
      </c>
      <c r="AP7" s="777" t="s">
        <v>203</v>
      </c>
    </row>
    <row r="8" s="778" customFormat="true" ht="10.7" hidden="false" customHeight="true" outlineLevel="0" collapsed="false">
      <c r="A8" s="779" t="s">
        <v>205</v>
      </c>
      <c r="B8" s="780" t="n">
        <v>1888</v>
      </c>
      <c r="C8" s="173" t="n">
        <v>4750</v>
      </c>
      <c r="D8" s="173" t="n">
        <v>19</v>
      </c>
      <c r="E8" s="173" t="n">
        <v>3365</v>
      </c>
      <c r="F8" s="173" t="n">
        <v>4149</v>
      </c>
      <c r="G8" s="173" t="n">
        <v>96711</v>
      </c>
      <c r="H8" s="780" t="n">
        <v>851</v>
      </c>
      <c r="I8" s="780" t="n">
        <v>0</v>
      </c>
      <c r="J8" s="780" t="n">
        <v>182</v>
      </c>
      <c r="K8" s="780" t="n">
        <v>32516.062909</v>
      </c>
      <c r="L8" s="780" t="n">
        <v>144431.062909</v>
      </c>
      <c r="M8" s="780" t="n">
        <v>5943</v>
      </c>
      <c r="N8" s="780" t="n">
        <v>7721</v>
      </c>
      <c r="O8" s="780" t="n">
        <v>13664</v>
      </c>
      <c r="P8" s="780" t="n">
        <v>1153</v>
      </c>
      <c r="Q8" s="780" t="n">
        <v>898</v>
      </c>
      <c r="R8" s="780" t="n">
        <v>736</v>
      </c>
      <c r="S8" s="780" t="n">
        <v>7600</v>
      </c>
      <c r="T8" s="780" t="n">
        <v>2073</v>
      </c>
      <c r="U8" s="781" t="s">
        <v>205</v>
      </c>
      <c r="V8" s="779" t="s">
        <v>205</v>
      </c>
      <c r="W8" s="170" t="n">
        <v>4667</v>
      </c>
      <c r="X8" s="170" t="n">
        <v>3182</v>
      </c>
      <c r="Y8" s="170" t="n">
        <v>6350</v>
      </c>
      <c r="Z8" s="170" t="n">
        <v>23060</v>
      </c>
      <c r="AA8" s="170" t="n">
        <v>8938</v>
      </c>
      <c r="AB8" s="170" t="n">
        <v>824</v>
      </c>
      <c r="AC8" s="170" t="n">
        <v>8817</v>
      </c>
      <c r="AD8" s="170" t="n">
        <v>2371</v>
      </c>
      <c r="AE8" s="170" t="n">
        <v>9278</v>
      </c>
      <c r="AF8" s="170" t="n">
        <v>19115</v>
      </c>
      <c r="AG8" s="170" t="n">
        <v>9927</v>
      </c>
      <c r="AH8" s="170" t="n">
        <v>19102</v>
      </c>
      <c r="AI8" s="782" t="n">
        <v>1283</v>
      </c>
      <c r="AJ8" s="782" t="n">
        <v>14290</v>
      </c>
      <c r="AK8" s="782" t="n">
        <v>16589</v>
      </c>
      <c r="AL8" s="782" t="n">
        <v>66111</v>
      </c>
      <c r="AM8" s="782" t="n">
        <v>226364</v>
      </c>
      <c r="AN8" s="780" t="n">
        <v>240028</v>
      </c>
      <c r="AO8" s="780" t="n">
        <v>-95596.937091</v>
      </c>
      <c r="AP8" s="466" t="s">
        <v>205</v>
      </c>
    </row>
    <row r="9" s="772" customFormat="true" ht="10.7" hidden="false" customHeight="true" outlineLevel="0" collapsed="false">
      <c r="A9" s="783" t="s">
        <v>282</v>
      </c>
      <c r="B9" s="784" t="n">
        <v>1866</v>
      </c>
      <c r="C9" s="784" t="n">
        <v>5200</v>
      </c>
      <c r="D9" s="784" t="n">
        <v>28</v>
      </c>
      <c r="E9" s="784" t="n">
        <v>4115</v>
      </c>
      <c r="F9" s="784" t="n">
        <v>4758</v>
      </c>
      <c r="G9" s="784" t="n">
        <v>122701</v>
      </c>
      <c r="H9" s="784" t="n">
        <v>975</v>
      </c>
      <c r="I9" s="784" t="n">
        <v>0</v>
      </c>
      <c r="J9" s="784" t="n">
        <v>130</v>
      </c>
      <c r="K9" s="785" t="n">
        <v>40540.26403</v>
      </c>
      <c r="L9" s="785" t="n">
        <v>180313.26403</v>
      </c>
      <c r="M9" s="784" t="n">
        <v>2188</v>
      </c>
      <c r="N9" s="784" t="n">
        <v>4763</v>
      </c>
      <c r="O9" s="784" t="n">
        <v>6951</v>
      </c>
      <c r="P9" s="784" t="n">
        <v>1750</v>
      </c>
      <c r="Q9" s="784" t="n">
        <v>1080</v>
      </c>
      <c r="R9" s="784" t="n">
        <v>1420</v>
      </c>
      <c r="S9" s="784" t="n">
        <v>13051</v>
      </c>
      <c r="T9" s="784" t="n">
        <v>1911</v>
      </c>
      <c r="U9" s="786" t="s">
        <v>282</v>
      </c>
      <c r="V9" s="783" t="s">
        <v>282</v>
      </c>
      <c r="W9" s="784" t="n">
        <v>9390</v>
      </c>
      <c r="X9" s="784" t="n">
        <v>3994</v>
      </c>
      <c r="Y9" s="784" t="n">
        <v>8387</v>
      </c>
      <c r="Z9" s="784" t="n">
        <v>30484</v>
      </c>
      <c r="AA9" s="784" t="n">
        <v>9575</v>
      </c>
      <c r="AB9" s="784" t="n">
        <v>934</v>
      </c>
      <c r="AC9" s="784" t="n">
        <v>10907</v>
      </c>
      <c r="AD9" s="784" t="n">
        <v>2977</v>
      </c>
      <c r="AE9" s="784" t="n">
        <v>10835</v>
      </c>
      <c r="AF9" s="784" t="n">
        <v>16601</v>
      </c>
      <c r="AG9" s="784" t="n">
        <v>10833</v>
      </c>
      <c r="AH9" s="784" t="n">
        <v>24168</v>
      </c>
      <c r="AI9" s="784" t="n">
        <v>3250</v>
      </c>
      <c r="AJ9" s="784" t="n">
        <v>17637</v>
      </c>
      <c r="AK9" s="784" t="n">
        <v>15765</v>
      </c>
      <c r="AL9" s="784" t="n">
        <v>79063</v>
      </c>
      <c r="AM9" s="784" t="n">
        <v>274012</v>
      </c>
      <c r="AN9" s="784" t="n">
        <v>280963</v>
      </c>
      <c r="AO9" s="785" t="n">
        <v>-100649.73597</v>
      </c>
      <c r="AP9" s="786" t="s">
        <v>282</v>
      </c>
    </row>
    <row r="10" s="787" customFormat="true" ht="10.7" hidden="false" customHeight="true" outlineLevel="0" collapsed="false">
      <c r="A10" s="779" t="s">
        <v>207</v>
      </c>
      <c r="B10" s="780" t="n">
        <v>1699</v>
      </c>
      <c r="C10" s="173" t="n">
        <v>5989</v>
      </c>
      <c r="D10" s="173" t="n">
        <v>17</v>
      </c>
      <c r="E10" s="173" t="n">
        <v>4778</v>
      </c>
      <c r="F10" s="173" t="n">
        <v>3399</v>
      </c>
      <c r="G10" s="173" t="n">
        <v>128285</v>
      </c>
      <c r="H10" s="780" t="n">
        <v>431</v>
      </c>
      <c r="I10" s="780" t="n">
        <v>0</v>
      </c>
      <c r="J10" s="780" t="n">
        <v>0</v>
      </c>
      <c r="K10" s="780" t="n">
        <v>44838.84264</v>
      </c>
      <c r="L10" s="780" t="n">
        <v>189436.84264</v>
      </c>
      <c r="M10" s="780" t="n">
        <v>239</v>
      </c>
      <c r="N10" s="780" t="n">
        <v>5575</v>
      </c>
      <c r="O10" s="780" t="n">
        <v>5814</v>
      </c>
      <c r="P10" s="780" t="n">
        <v>1708</v>
      </c>
      <c r="Q10" s="780" t="n">
        <v>947</v>
      </c>
      <c r="R10" s="780" t="n">
        <v>1932</v>
      </c>
      <c r="S10" s="780" t="n">
        <v>11185</v>
      </c>
      <c r="T10" s="780" t="n">
        <v>3373</v>
      </c>
      <c r="U10" s="781" t="s">
        <v>207</v>
      </c>
      <c r="V10" s="779" t="s">
        <v>207</v>
      </c>
      <c r="W10" s="170" t="n">
        <v>5853</v>
      </c>
      <c r="X10" s="170" t="n">
        <v>3888</v>
      </c>
      <c r="Y10" s="170" t="n">
        <v>8801</v>
      </c>
      <c r="Z10" s="170" t="n">
        <v>29122</v>
      </c>
      <c r="AA10" s="170" t="n">
        <v>10405</v>
      </c>
      <c r="AB10" s="170" t="n">
        <v>952</v>
      </c>
      <c r="AC10" s="170" t="n">
        <v>9563</v>
      </c>
      <c r="AD10" s="170" t="n">
        <v>3190</v>
      </c>
      <c r="AE10" s="170" t="n">
        <v>10905</v>
      </c>
      <c r="AF10" s="170" t="n">
        <v>16004</v>
      </c>
      <c r="AG10" s="170" t="n">
        <v>10849</v>
      </c>
      <c r="AH10" s="170" t="n">
        <v>26133</v>
      </c>
      <c r="AI10" s="782" t="n">
        <v>3627</v>
      </c>
      <c r="AJ10" s="782" t="n">
        <v>18642</v>
      </c>
      <c r="AK10" s="782" t="n">
        <v>14672</v>
      </c>
      <c r="AL10" s="782" t="n">
        <v>74763</v>
      </c>
      <c r="AM10" s="782" t="n">
        <v>266514</v>
      </c>
      <c r="AN10" s="780" t="n">
        <v>272328</v>
      </c>
      <c r="AO10" s="780" t="n">
        <v>-82891.15736</v>
      </c>
      <c r="AP10" s="466" t="s">
        <v>207</v>
      </c>
    </row>
    <row r="11" s="291" customFormat="true" ht="10.7" hidden="false" customHeight="true" outlineLevel="0" collapsed="false">
      <c r="A11" s="788" t="s">
        <v>208</v>
      </c>
      <c r="B11" s="161" t="n">
        <v>948</v>
      </c>
      <c r="C11" s="161" t="n">
        <v>5315</v>
      </c>
      <c r="D11" s="161" t="n">
        <v>17</v>
      </c>
      <c r="E11" s="161" t="n">
        <v>3759</v>
      </c>
      <c r="F11" s="161" t="n">
        <v>4098</v>
      </c>
      <c r="G11" s="161" t="n">
        <v>146626</v>
      </c>
      <c r="H11" s="161" t="n">
        <v>134</v>
      </c>
      <c r="I11" s="161" t="n">
        <v>0</v>
      </c>
      <c r="J11" s="161" t="n">
        <v>0</v>
      </c>
      <c r="K11" s="181" t="n">
        <v>52476.54489</v>
      </c>
      <c r="L11" s="181" t="n">
        <v>213373.54489</v>
      </c>
      <c r="M11" s="161" t="n">
        <v>2701</v>
      </c>
      <c r="N11" s="161" t="n">
        <v>8685</v>
      </c>
      <c r="O11" s="161" t="n">
        <v>11386</v>
      </c>
      <c r="P11" s="161" t="n">
        <v>2249</v>
      </c>
      <c r="Q11" s="161" t="n">
        <v>1423</v>
      </c>
      <c r="R11" s="161" t="n">
        <v>3952</v>
      </c>
      <c r="S11" s="161" t="n">
        <v>13686</v>
      </c>
      <c r="T11" s="161" t="n">
        <v>3536</v>
      </c>
      <c r="U11" s="789" t="s">
        <v>208</v>
      </c>
      <c r="V11" s="788" t="s">
        <v>208</v>
      </c>
      <c r="W11" s="161" t="n">
        <v>7014</v>
      </c>
      <c r="X11" s="161" t="n">
        <v>4812</v>
      </c>
      <c r="Y11" s="161" t="n">
        <v>7218</v>
      </c>
      <c r="Z11" s="161" t="n">
        <v>31628</v>
      </c>
      <c r="AA11" s="161" t="n">
        <v>11644</v>
      </c>
      <c r="AB11" s="161" t="n">
        <v>931</v>
      </c>
      <c r="AC11" s="161" t="n">
        <v>7977</v>
      </c>
      <c r="AD11" s="161" t="n">
        <v>4185</v>
      </c>
      <c r="AE11" s="161" t="n">
        <v>13937</v>
      </c>
      <c r="AF11" s="161" t="n">
        <v>18850</v>
      </c>
      <c r="AG11" s="161" t="n">
        <v>11705</v>
      </c>
      <c r="AH11" s="161" t="n">
        <v>27853</v>
      </c>
      <c r="AI11" s="161" t="n">
        <v>3833</v>
      </c>
      <c r="AJ11" s="161" t="n">
        <v>20654</v>
      </c>
      <c r="AK11" s="161" t="n">
        <v>18122</v>
      </c>
      <c r="AL11" s="161" t="n">
        <v>89977</v>
      </c>
      <c r="AM11" s="161" t="n">
        <v>305186</v>
      </c>
      <c r="AN11" s="161" t="n">
        <v>316572</v>
      </c>
      <c r="AO11" s="181" t="n">
        <v>-103198.45511</v>
      </c>
      <c r="AP11" s="789" t="s">
        <v>208</v>
      </c>
    </row>
    <row r="12" s="429" customFormat="true" ht="10.7" hidden="false" customHeight="true" outlineLevel="0" collapsed="false">
      <c r="A12" s="779" t="s">
        <v>209</v>
      </c>
      <c r="B12" s="780" t="n">
        <v>856</v>
      </c>
      <c r="C12" s="780" t="n">
        <v>5351</v>
      </c>
      <c r="D12" s="780" t="n">
        <v>33</v>
      </c>
      <c r="E12" s="780" t="n">
        <v>3081</v>
      </c>
      <c r="F12" s="780" t="n">
        <v>3988</v>
      </c>
      <c r="G12" s="780" t="n">
        <v>156045</v>
      </c>
      <c r="H12" s="780" t="n">
        <v>291</v>
      </c>
      <c r="I12" s="780" t="n">
        <v>0</v>
      </c>
      <c r="J12" s="780" t="n">
        <v>0</v>
      </c>
      <c r="K12" s="780" t="n">
        <v>56840.8695568</v>
      </c>
      <c r="L12" s="780" t="n">
        <v>226485.8695568</v>
      </c>
      <c r="M12" s="780" t="n">
        <v>4309.6</v>
      </c>
      <c r="N12" s="780" t="n">
        <v>7914.6</v>
      </c>
      <c r="O12" s="780" t="n">
        <v>12224.2</v>
      </c>
      <c r="P12" s="780" t="n">
        <v>2409</v>
      </c>
      <c r="Q12" s="780" t="n">
        <v>1668</v>
      </c>
      <c r="R12" s="780" t="n">
        <v>2745</v>
      </c>
      <c r="S12" s="780" t="n">
        <v>12223</v>
      </c>
      <c r="T12" s="780" t="n">
        <v>3057</v>
      </c>
      <c r="U12" s="781" t="s">
        <v>209</v>
      </c>
      <c r="V12" s="779" t="s">
        <v>209</v>
      </c>
      <c r="W12" s="790" t="n">
        <v>5770</v>
      </c>
      <c r="X12" s="790" t="n">
        <v>4632</v>
      </c>
      <c r="Y12" s="790" t="n">
        <v>6629</v>
      </c>
      <c r="Z12" s="790" t="n">
        <v>26175</v>
      </c>
      <c r="AA12" s="790" t="n">
        <v>12192</v>
      </c>
      <c r="AB12" s="790" t="n">
        <v>875</v>
      </c>
      <c r="AC12" s="790" t="n">
        <v>9647</v>
      </c>
      <c r="AD12" s="790" t="n">
        <v>4312</v>
      </c>
      <c r="AE12" s="790" t="n">
        <v>14333</v>
      </c>
      <c r="AF12" s="790" t="n">
        <v>17672</v>
      </c>
      <c r="AG12" s="790" t="n">
        <v>12377</v>
      </c>
      <c r="AH12" s="790" t="n">
        <v>28569</v>
      </c>
      <c r="AI12" s="790" t="n">
        <v>4078</v>
      </c>
      <c r="AJ12" s="790" t="n">
        <v>22909</v>
      </c>
      <c r="AK12" s="790" t="n">
        <v>20294</v>
      </c>
      <c r="AL12" s="790" t="n">
        <v>90395</v>
      </c>
      <c r="AM12" s="790" t="n">
        <v>302961</v>
      </c>
      <c r="AN12" s="791" t="n">
        <v>315185.2</v>
      </c>
      <c r="AO12" s="791" t="n">
        <v>-88699.3304432</v>
      </c>
      <c r="AP12" s="781" t="s">
        <v>209</v>
      </c>
    </row>
    <row r="13" s="291" customFormat="true" ht="10.7" hidden="false" customHeight="true" outlineLevel="0" collapsed="false">
      <c r="A13" s="792" t="s">
        <v>211</v>
      </c>
      <c r="B13" s="793" t="n">
        <v>1257</v>
      </c>
      <c r="C13" s="793" t="n">
        <v>5700</v>
      </c>
      <c r="D13" s="793" t="n">
        <v>15</v>
      </c>
      <c r="E13" s="793" t="n">
        <v>2133</v>
      </c>
      <c r="F13" s="793" t="n">
        <v>3003</v>
      </c>
      <c r="G13" s="793" t="n">
        <v>163120</v>
      </c>
      <c r="H13" s="793" t="n">
        <v>101</v>
      </c>
      <c r="I13" s="793" t="n">
        <v>0</v>
      </c>
      <c r="J13" s="793" t="n">
        <v>0</v>
      </c>
      <c r="K13" s="793" t="n">
        <v>61472.8955453</v>
      </c>
      <c r="L13" s="793" t="n">
        <v>236801.8955453</v>
      </c>
      <c r="M13" s="793" t="n">
        <v>931.4</v>
      </c>
      <c r="N13" s="793" t="n">
        <v>7159.1</v>
      </c>
      <c r="O13" s="793" t="n">
        <v>8090.5</v>
      </c>
      <c r="P13" s="793" t="n">
        <v>1766.2</v>
      </c>
      <c r="Q13" s="793" t="n">
        <v>1597.8</v>
      </c>
      <c r="R13" s="793" t="n">
        <v>4083.2</v>
      </c>
      <c r="S13" s="793" t="n">
        <v>10409.3</v>
      </c>
      <c r="T13" s="793" t="n">
        <v>3625.2</v>
      </c>
      <c r="U13" s="794" t="s">
        <v>211</v>
      </c>
      <c r="V13" s="792" t="s">
        <v>211</v>
      </c>
      <c r="W13" s="793" t="n">
        <v>5171.4</v>
      </c>
      <c r="X13" s="793" t="n">
        <v>3467.4</v>
      </c>
      <c r="Y13" s="793" t="n">
        <v>2985.2</v>
      </c>
      <c r="Z13" s="793" t="n">
        <v>17826.6</v>
      </c>
      <c r="AA13" s="793" t="n">
        <v>13214.5</v>
      </c>
      <c r="AB13" s="793" t="n">
        <v>937.5</v>
      </c>
      <c r="AC13" s="793" t="n">
        <v>8170.1</v>
      </c>
      <c r="AD13" s="793" t="n">
        <v>4271.7</v>
      </c>
      <c r="AE13" s="793" t="n">
        <v>14233.1</v>
      </c>
      <c r="AF13" s="793" t="n">
        <v>16844</v>
      </c>
      <c r="AG13" s="793" t="n">
        <v>12884.7</v>
      </c>
      <c r="AH13" s="793" t="n">
        <v>32259.1</v>
      </c>
      <c r="AI13" s="793" t="n">
        <v>4713.1</v>
      </c>
      <c r="AJ13" s="793" t="n">
        <v>21924.9</v>
      </c>
      <c r="AK13" s="793" t="n">
        <v>23920.3</v>
      </c>
      <c r="AL13" s="793" t="n">
        <v>101483</v>
      </c>
      <c r="AM13" s="793" t="n">
        <v>305788.3</v>
      </c>
      <c r="AN13" s="793" t="n">
        <v>313878.8</v>
      </c>
      <c r="AO13" s="793" t="n">
        <v>-77076.9044547</v>
      </c>
      <c r="AP13" s="794" t="s">
        <v>211</v>
      </c>
    </row>
    <row r="14" s="291" customFormat="true" ht="10.7" hidden="false" customHeight="true" outlineLevel="0" collapsed="false">
      <c r="A14" s="795" t="s">
        <v>212</v>
      </c>
      <c r="B14" s="796" t="n">
        <v>1381</v>
      </c>
      <c r="C14" s="796" t="n">
        <v>6117</v>
      </c>
      <c r="D14" s="796" t="n">
        <v>30</v>
      </c>
      <c r="E14" s="796" t="n">
        <v>1463</v>
      </c>
      <c r="F14" s="796" t="n">
        <v>3681</v>
      </c>
      <c r="G14" s="796" t="n">
        <v>166762</v>
      </c>
      <c r="H14" s="796" t="n">
        <v>130</v>
      </c>
      <c r="I14" s="796" t="n">
        <v>0</v>
      </c>
      <c r="J14" s="796" t="n">
        <v>44</v>
      </c>
      <c r="K14" s="796" t="n">
        <v>60048.485022405</v>
      </c>
      <c r="L14" s="796" t="n">
        <v>239656.485022405</v>
      </c>
      <c r="M14" s="796" t="n">
        <v>604.1</v>
      </c>
      <c r="N14" s="796" t="n">
        <v>8157.1</v>
      </c>
      <c r="O14" s="796" t="n">
        <v>8761.2</v>
      </c>
      <c r="P14" s="796" t="n">
        <v>1998.9</v>
      </c>
      <c r="Q14" s="796" t="n">
        <v>2051.1</v>
      </c>
      <c r="R14" s="796" t="n">
        <v>3273.5</v>
      </c>
      <c r="S14" s="796" t="n">
        <v>11837.8</v>
      </c>
      <c r="T14" s="796" t="n">
        <v>4669.4</v>
      </c>
      <c r="U14" s="797" t="s">
        <v>212</v>
      </c>
      <c r="V14" s="795" t="s">
        <v>212</v>
      </c>
      <c r="W14" s="796" t="n">
        <v>6648</v>
      </c>
      <c r="X14" s="796" t="n">
        <v>3764.2</v>
      </c>
      <c r="Y14" s="796" t="n">
        <v>4222.1</v>
      </c>
      <c r="Z14" s="796" t="n">
        <v>21980.2</v>
      </c>
      <c r="AA14" s="796" t="n">
        <v>14792.9</v>
      </c>
      <c r="AB14" s="796" t="n">
        <v>1159.9</v>
      </c>
      <c r="AC14" s="796" t="n">
        <v>5742.4</v>
      </c>
      <c r="AD14" s="796" t="n">
        <v>4436.5</v>
      </c>
      <c r="AE14" s="796" t="n">
        <v>15330.1</v>
      </c>
      <c r="AF14" s="796" t="n">
        <v>20702.7</v>
      </c>
      <c r="AG14" s="796" t="n">
        <v>13181.2</v>
      </c>
      <c r="AH14" s="796" t="n">
        <v>32746.7</v>
      </c>
      <c r="AI14" s="796" t="n">
        <v>4836.8</v>
      </c>
      <c r="AJ14" s="796" t="n">
        <v>25854.7</v>
      </c>
      <c r="AK14" s="796" t="n">
        <v>28625.8</v>
      </c>
      <c r="AL14" s="796" t="n">
        <v>107961</v>
      </c>
      <c r="AM14" s="796" t="n">
        <v>335815.9</v>
      </c>
      <c r="AN14" s="796" t="n">
        <v>344577.1</v>
      </c>
      <c r="AO14" s="796" t="n">
        <v>-104920.614977595</v>
      </c>
      <c r="AP14" s="797" t="s">
        <v>212</v>
      </c>
    </row>
    <row r="15" s="291" customFormat="true" ht="10.7" hidden="false" customHeight="true" outlineLevel="0" collapsed="false">
      <c r="A15" s="798" t="s">
        <v>213</v>
      </c>
      <c r="B15" s="799" t="n">
        <f aca="false">SUM(B16:B27)</f>
        <v>1161</v>
      </c>
      <c r="C15" s="799" t="n">
        <f aca="false">SUM(C16:C27)</f>
        <v>6275</v>
      </c>
      <c r="D15" s="799" t="n">
        <f aca="false">SUM(D16:D27)</f>
        <v>21</v>
      </c>
      <c r="E15" s="799" t="n">
        <f aca="false">SUM(E16:E27)</f>
        <v>1282</v>
      </c>
      <c r="F15" s="799" t="n">
        <f aca="false">SUM(F16:F27)</f>
        <v>4089</v>
      </c>
      <c r="G15" s="799" t="n">
        <f aca="false">SUM(G16:G27)</f>
        <v>185413</v>
      </c>
      <c r="H15" s="799" t="n">
        <f aca="false">SUM(H16:H27)</f>
        <v>72</v>
      </c>
      <c r="I15" s="799" t="n">
        <f aca="false">SUM(I16:I27)</f>
        <v>13</v>
      </c>
      <c r="J15" s="799" t="n">
        <f aca="false">SUM(J16:J27)</f>
        <v>0</v>
      </c>
      <c r="K15" s="799" t="n">
        <f aca="false">SUM(K16:K27)</f>
        <v>68852.3124889778</v>
      </c>
      <c r="L15" s="799" t="n">
        <f aca="false">SUM(L16:L27)</f>
        <v>267178.312488978</v>
      </c>
      <c r="M15" s="799" t="n">
        <f aca="false">SUM(M16:M27)</f>
        <v>14319</v>
      </c>
      <c r="N15" s="799" t="n">
        <f aca="false">SUM(N16:N27)</f>
        <v>10064.5</v>
      </c>
      <c r="O15" s="799" t="n">
        <f aca="false">SUM(O16:O27)</f>
        <v>24383.5</v>
      </c>
      <c r="P15" s="799" t="n">
        <f aca="false">SUM(P16:P27)</f>
        <v>2371.4</v>
      </c>
      <c r="Q15" s="799" t="n">
        <f aca="false">SUM(Q16:Q27)</f>
        <v>2362.4</v>
      </c>
      <c r="R15" s="799" t="n">
        <f aca="false">SUM(R16:R27)</f>
        <v>4176.3</v>
      </c>
      <c r="S15" s="799" t="n">
        <f aca="false">SUM(S16:S27)</f>
        <v>14447.8</v>
      </c>
      <c r="T15" s="799" t="n">
        <f aca="false">SUM(T16:T27)</f>
        <v>3349</v>
      </c>
      <c r="U15" s="800" t="s">
        <v>213</v>
      </c>
      <c r="V15" s="798" t="s">
        <v>213</v>
      </c>
      <c r="W15" s="799" t="n">
        <f aca="false">SUM(W16:W27)</f>
        <v>7766.4</v>
      </c>
      <c r="X15" s="799" t="n">
        <f aca="false">SUM(X16:X27)</f>
        <v>4264</v>
      </c>
      <c r="Y15" s="799" t="n">
        <f aca="false">SUM(Y16:Y27)</f>
        <v>4577.5</v>
      </c>
      <c r="Z15" s="799" t="n">
        <f aca="false">SUM(Z16:Z27)</f>
        <v>34122.8</v>
      </c>
      <c r="AA15" s="799" t="n">
        <f aca="false">SUM(AA16:AA27)</f>
        <v>17548</v>
      </c>
      <c r="AB15" s="799" t="n">
        <f aca="false">SUM(AB16:AB27)</f>
        <v>1251.8</v>
      </c>
      <c r="AC15" s="799" t="n">
        <f aca="false">SUM(AC16:AC27)</f>
        <v>7141.9</v>
      </c>
      <c r="AD15" s="799" t="n">
        <f aca="false">SUM(AD16:AD27)</f>
        <v>5078.1</v>
      </c>
      <c r="AE15" s="799" t="n">
        <f aca="false">SUM(AE16:AE27)</f>
        <v>17772.7</v>
      </c>
      <c r="AF15" s="799" t="n">
        <f aca="false">SUM(AF16:AF27)</f>
        <v>24249.8</v>
      </c>
      <c r="AG15" s="799" t="n">
        <f aca="false">SUM(AG16:AG27)</f>
        <v>15664.1</v>
      </c>
      <c r="AH15" s="799" t="n">
        <f aca="false">SUM(AH16:AH27)</f>
        <v>37509.1</v>
      </c>
      <c r="AI15" s="799" t="n">
        <f aca="false">SUM(AI16:AI27)</f>
        <v>5682</v>
      </c>
      <c r="AJ15" s="799" t="n">
        <f aca="false">SUM(AJ16:AJ27)</f>
        <v>31459</v>
      </c>
      <c r="AK15" s="799" t="n">
        <f aca="false">SUM(AK16:AK27)</f>
        <v>37712.4</v>
      </c>
      <c r="AL15" s="799" t="n">
        <f aca="false">SUM(AL16:AL27)</f>
        <v>132150.9</v>
      </c>
      <c r="AM15" s="799" t="n">
        <f aca="false">SUM(AM16:AM27)</f>
        <v>410657.4</v>
      </c>
      <c r="AN15" s="799" t="n">
        <f aca="false">SUM(AN16:AN27)</f>
        <v>435040.9</v>
      </c>
      <c r="AO15" s="799" t="n">
        <f aca="false">SUM(AO16:AO27)</f>
        <v>-167862.587511022</v>
      </c>
      <c r="AP15" s="800" t="s">
        <v>213</v>
      </c>
    </row>
    <row r="16" s="291" customFormat="true" ht="10.7" hidden="false" customHeight="true" outlineLevel="0" collapsed="false">
      <c r="A16" s="779" t="s">
        <v>214</v>
      </c>
      <c r="B16" s="801" t="n">
        <v>64</v>
      </c>
      <c r="C16" s="801" t="n">
        <v>469</v>
      </c>
      <c r="D16" s="801" t="n">
        <v>1</v>
      </c>
      <c r="E16" s="801" t="n">
        <v>120</v>
      </c>
      <c r="F16" s="801" t="n">
        <f aca="false">36+349</f>
        <v>385</v>
      </c>
      <c r="G16" s="801" t="n">
        <v>15963</v>
      </c>
      <c r="H16" s="801" t="n">
        <v>0</v>
      </c>
      <c r="I16" s="801" t="n">
        <v>0</v>
      </c>
      <c r="J16" s="801" t="n">
        <v>0</v>
      </c>
      <c r="K16" s="801" t="n">
        <f aca="false">L16-SUM(B16:J16)</f>
        <v>6178.6473564</v>
      </c>
      <c r="L16" s="801" t="n">
        <f aca="false">19075+80.6262*50.922</f>
        <v>23180.6473564</v>
      </c>
      <c r="M16" s="801" t="n">
        <v>586.3</v>
      </c>
      <c r="N16" s="801" t="n">
        <v>539</v>
      </c>
      <c r="O16" s="801" t="n">
        <f aca="false">M16+N16</f>
        <v>1125.3</v>
      </c>
      <c r="P16" s="802" t="n">
        <v>99.8</v>
      </c>
      <c r="Q16" s="802" t="n">
        <v>212.1</v>
      </c>
      <c r="R16" s="802" t="n">
        <v>243.8</v>
      </c>
      <c r="S16" s="802" t="n">
        <v>1153.5</v>
      </c>
      <c r="T16" s="802" t="n">
        <v>208.1</v>
      </c>
      <c r="U16" s="781" t="s">
        <v>214</v>
      </c>
      <c r="V16" s="779" t="s">
        <v>214</v>
      </c>
      <c r="W16" s="802" t="n">
        <v>909.4</v>
      </c>
      <c r="X16" s="802" t="n">
        <v>321</v>
      </c>
      <c r="Y16" s="802" t="n">
        <v>276.8</v>
      </c>
      <c r="Z16" s="802" t="n">
        <v>1697.9</v>
      </c>
      <c r="AA16" s="802" t="n">
        <v>1420</v>
      </c>
      <c r="AB16" s="802" t="n">
        <v>128.8</v>
      </c>
      <c r="AC16" s="802" t="n">
        <v>262.6</v>
      </c>
      <c r="AD16" s="802" t="n">
        <v>454</v>
      </c>
      <c r="AE16" s="802" t="n">
        <v>1420.4</v>
      </c>
      <c r="AF16" s="802" t="n">
        <v>2011.7</v>
      </c>
      <c r="AG16" s="802" t="n">
        <v>1371.7</v>
      </c>
      <c r="AH16" s="802" t="n">
        <v>3537.6</v>
      </c>
      <c r="AI16" s="802" t="n">
        <v>420.5</v>
      </c>
      <c r="AJ16" s="802" t="n">
        <v>2422.8</v>
      </c>
      <c r="AK16" s="802" t="n">
        <v>2766.2</v>
      </c>
      <c r="AL16" s="802" t="n">
        <f aca="false">4341.3+3253.8+2168.8</f>
        <v>9763.9</v>
      </c>
      <c r="AM16" s="802" t="n">
        <f aca="false">SUM(P16:T16)+SUM(W16:AL16)</f>
        <v>31102.6</v>
      </c>
      <c r="AN16" s="802" t="n">
        <f aca="false">O16+AM16</f>
        <v>32227.9</v>
      </c>
      <c r="AO16" s="802" t="n">
        <f aca="false">L16-AN16</f>
        <v>-9047.2526436</v>
      </c>
      <c r="AP16" s="781" t="s">
        <v>214</v>
      </c>
    </row>
    <row r="17" s="291" customFormat="true" ht="10.7" hidden="false" customHeight="true" outlineLevel="0" collapsed="false">
      <c r="A17" s="788" t="s">
        <v>618</v>
      </c>
      <c r="B17" s="199" t="n">
        <v>63</v>
      </c>
      <c r="C17" s="199" t="n">
        <v>499</v>
      </c>
      <c r="D17" s="199" t="n">
        <v>2</v>
      </c>
      <c r="E17" s="199" t="n">
        <v>179</v>
      </c>
      <c r="F17" s="199" t="n">
        <f aca="false">31+478</f>
        <v>509</v>
      </c>
      <c r="G17" s="199" t="n">
        <v>16317</v>
      </c>
      <c r="H17" s="199" t="n">
        <v>0</v>
      </c>
      <c r="I17" s="199" t="n">
        <v>0</v>
      </c>
      <c r="J17" s="199" t="n">
        <v>0</v>
      </c>
      <c r="K17" s="199" t="n">
        <f aca="false">L17-SUM(B17:J17)</f>
        <v>6453.06012392</v>
      </c>
      <c r="L17" s="199" t="n">
        <f aca="false">19525+80.693704*55.73</f>
        <v>24022.06012392</v>
      </c>
      <c r="M17" s="199" t="n">
        <v>1051.2</v>
      </c>
      <c r="N17" s="199" t="n">
        <v>574.9</v>
      </c>
      <c r="O17" s="199" t="n">
        <f aca="false">M17+N17</f>
        <v>1626.1</v>
      </c>
      <c r="P17" s="803" t="n">
        <v>110.4</v>
      </c>
      <c r="Q17" s="803" t="n">
        <v>242.6</v>
      </c>
      <c r="R17" s="803" t="n">
        <v>510.4</v>
      </c>
      <c r="S17" s="803" t="n">
        <v>1063.6</v>
      </c>
      <c r="T17" s="803" t="n">
        <v>200.8</v>
      </c>
      <c r="U17" s="789" t="s">
        <v>618</v>
      </c>
      <c r="V17" s="788" t="s">
        <v>215</v>
      </c>
      <c r="W17" s="803" t="n">
        <v>775.8</v>
      </c>
      <c r="X17" s="803" t="n">
        <v>310.4</v>
      </c>
      <c r="Y17" s="803" t="n">
        <v>278.4</v>
      </c>
      <c r="Z17" s="803" t="n">
        <v>2405.6</v>
      </c>
      <c r="AA17" s="803" t="n">
        <v>1486.8</v>
      </c>
      <c r="AB17" s="803" t="n">
        <v>110.7</v>
      </c>
      <c r="AC17" s="803" t="n">
        <v>356.6</v>
      </c>
      <c r="AD17" s="803" t="n">
        <v>402.6</v>
      </c>
      <c r="AE17" s="803" t="n">
        <v>1395.5</v>
      </c>
      <c r="AF17" s="803" t="n">
        <v>1820.5</v>
      </c>
      <c r="AG17" s="803" t="n">
        <v>1336.3</v>
      </c>
      <c r="AH17" s="803" t="n">
        <v>3130.5</v>
      </c>
      <c r="AI17" s="803" t="n">
        <v>406.2</v>
      </c>
      <c r="AJ17" s="803" t="n">
        <v>2528.2</v>
      </c>
      <c r="AK17" s="803" t="n">
        <v>2691.9</v>
      </c>
      <c r="AL17" s="803" t="n">
        <f aca="false">4081.9+3213.1+2160.2</f>
        <v>9455.2</v>
      </c>
      <c r="AM17" s="803" t="n">
        <f aca="false">SUM(P17:T17)+SUM(W17:AL17)</f>
        <v>31019</v>
      </c>
      <c r="AN17" s="803" t="n">
        <f aca="false">O17+AM17</f>
        <v>32645.1</v>
      </c>
      <c r="AO17" s="803" t="n">
        <f aca="false">L17-AN17</f>
        <v>-8623.03987608</v>
      </c>
      <c r="AP17" s="789" t="s">
        <v>215</v>
      </c>
    </row>
    <row r="18" s="291" customFormat="true" ht="10.7" hidden="false" customHeight="true" outlineLevel="0" collapsed="false">
      <c r="A18" s="779" t="s">
        <v>216</v>
      </c>
      <c r="B18" s="801" t="n">
        <v>71</v>
      </c>
      <c r="C18" s="801" t="n">
        <v>473</v>
      </c>
      <c r="D18" s="801" t="n">
        <v>1</v>
      </c>
      <c r="E18" s="801" t="n">
        <v>86</v>
      </c>
      <c r="F18" s="801" t="n">
        <f aca="false">36+359</f>
        <v>395</v>
      </c>
      <c r="G18" s="801" t="n">
        <v>13869</v>
      </c>
      <c r="H18" s="801" t="n">
        <v>0</v>
      </c>
      <c r="I18" s="801" t="n">
        <v>0</v>
      </c>
      <c r="J18" s="801" t="n">
        <v>0</v>
      </c>
      <c r="K18" s="801" t="n">
        <f aca="false">L18-SUM(B18:J18)</f>
        <v>4068.595958</v>
      </c>
      <c r="L18" s="801" t="n">
        <f aca="false">16439+80.7354*31.27</f>
        <v>18963.595958</v>
      </c>
      <c r="M18" s="801" t="n">
        <v>1272</v>
      </c>
      <c r="N18" s="801" t="n">
        <v>1074.7</v>
      </c>
      <c r="O18" s="801" t="n">
        <f aca="false">M18+N18</f>
        <v>2346.7</v>
      </c>
      <c r="P18" s="802" t="n">
        <v>123.6</v>
      </c>
      <c r="Q18" s="802" t="n">
        <v>126.2</v>
      </c>
      <c r="R18" s="802" t="n">
        <v>223.5</v>
      </c>
      <c r="S18" s="802" t="n">
        <v>1123.1</v>
      </c>
      <c r="T18" s="802" t="n">
        <v>145.2</v>
      </c>
      <c r="U18" s="781" t="s">
        <v>216</v>
      </c>
      <c r="V18" s="779" t="s">
        <v>216</v>
      </c>
      <c r="W18" s="802" t="n">
        <v>843</v>
      </c>
      <c r="X18" s="802" t="n">
        <v>199.4</v>
      </c>
      <c r="Y18" s="802" t="n">
        <v>302.8</v>
      </c>
      <c r="Z18" s="802" t="n">
        <v>1954.5</v>
      </c>
      <c r="AA18" s="802" t="n">
        <v>1173.8</v>
      </c>
      <c r="AB18" s="802" t="n">
        <v>72.9</v>
      </c>
      <c r="AC18" s="802" t="n">
        <v>421.3</v>
      </c>
      <c r="AD18" s="802" t="n">
        <v>342.4</v>
      </c>
      <c r="AE18" s="802" t="n">
        <v>1252.5</v>
      </c>
      <c r="AF18" s="802" t="n">
        <v>1659.4</v>
      </c>
      <c r="AG18" s="802" t="n">
        <v>1176.2</v>
      </c>
      <c r="AH18" s="802" t="n">
        <v>2621.4</v>
      </c>
      <c r="AI18" s="802" t="n">
        <v>351.4</v>
      </c>
      <c r="AJ18" s="802" t="n">
        <v>2294.8</v>
      </c>
      <c r="AK18" s="802" t="n">
        <v>2152.4</v>
      </c>
      <c r="AL18" s="802" t="n">
        <f aca="false">4794.2+3367.2+2002.2</f>
        <v>10163.6</v>
      </c>
      <c r="AM18" s="802" t="n">
        <f aca="false">SUM(P18:T18)+SUM(W18:AL18)</f>
        <v>28723.4</v>
      </c>
      <c r="AN18" s="802" t="n">
        <f aca="false">O18+AM18</f>
        <v>31070.1</v>
      </c>
      <c r="AO18" s="802" t="n">
        <f aca="false">L18-AN18</f>
        <v>-12106.504042</v>
      </c>
      <c r="AP18" s="781" t="s">
        <v>216</v>
      </c>
    </row>
    <row r="19" s="291" customFormat="true" ht="10.7" hidden="false" customHeight="true" outlineLevel="0" collapsed="false">
      <c r="A19" s="788" t="s">
        <v>217</v>
      </c>
      <c r="B19" s="199" t="n">
        <v>89</v>
      </c>
      <c r="C19" s="199" t="n">
        <v>587</v>
      </c>
      <c r="D19" s="199" t="n">
        <v>1</v>
      </c>
      <c r="E19" s="199" t="n">
        <v>106</v>
      </c>
      <c r="F19" s="199" t="n">
        <f aca="false">45+426</f>
        <v>471</v>
      </c>
      <c r="G19" s="199" t="n">
        <v>15365</v>
      </c>
      <c r="H19" s="199" t="n">
        <v>72</v>
      </c>
      <c r="I19" s="199" t="n">
        <v>0</v>
      </c>
      <c r="J19" s="199" t="n">
        <v>0</v>
      </c>
      <c r="K19" s="199" t="n">
        <f aca="false">L19-SUM(B19:J19)</f>
        <v>5536.336658765</v>
      </c>
      <c r="L19" s="199" t="n">
        <f aca="false">18698+80.820185*43.669</f>
        <v>22227.336658765</v>
      </c>
      <c r="M19" s="199" t="n">
        <v>1484.4</v>
      </c>
      <c r="N19" s="199" t="n">
        <v>1089.2</v>
      </c>
      <c r="O19" s="199" t="n">
        <f aca="false">M19+N19</f>
        <v>2573.6</v>
      </c>
      <c r="P19" s="803" t="n">
        <v>219.9</v>
      </c>
      <c r="Q19" s="803" t="n">
        <v>141.8</v>
      </c>
      <c r="R19" s="803" t="n">
        <v>403.6</v>
      </c>
      <c r="S19" s="803" t="n">
        <v>1553.9</v>
      </c>
      <c r="T19" s="803" t="n">
        <v>218.5</v>
      </c>
      <c r="U19" s="789" t="s">
        <v>217</v>
      </c>
      <c r="V19" s="788" t="s">
        <v>217</v>
      </c>
      <c r="W19" s="803" t="n">
        <v>959.1</v>
      </c>
      <c r="X19" s="803" t="n">
        <v>314</v>
      </c>
      <c r="Y19" s="803" t="n">
        <v>0</v>
      </c>
      <c r="Z19" s="803" t="n">
        <v>2857.7</v>
      </c>
      <c r="AA19" s="803" t="n">
        <v>1371.9</v>
      </c>
      <c r="AB19" s="803" t="n">
        <v>85.8</v>
      </c>
      <c r="AC19" s="803" t="n">
        <v>977.6</v>
      </c>
      <c r="AD19" s="803" t="n">
        <v>458.9</v>
      </c>
      <c r="AE19" s="803" t="n">
        <v>1449.9</v>
      </c>
      <c r="AF19" s="803" t="n">
        <v>1674.3</v>
      </c>
      <c r="AG19" s="803" t="n">
        <v>1288.2</v>
      </c>
      <c r="AH19" s="803" t="n">
        <v>2750.3</v>
      </c>
      <c r="AI19" s="803" t="n">
        <v>369</v>
      </c>
      <c r="AJ19" s="803" t="n">
        <v>2298.9</v>
      </c>
      <c r="AK19" s="803" t="n">
        <v>2908.5</v>
      </c>
      <c r="AL19" s="803" t="n">
        <f aca="false">4745.2+3623.6+2318.7</f>
        <v>10687.5</v>
      </c>
      <c r="AM19" s="803" t="n">
        <f aca="false">SUM(P19:T19)+SUM(W19:AL19)</f>
        <v>32989.3</v>
      </c>
      <c r="AN19" s="803" t="n">
        <f aca="false">O19+AM19</f>
        <v>35562.9</v>
      </c>
      <c r="AO19" s="803" t="n">
        <f aca="false">L19-AN19</f>
        <v>-13335.563341235</v>
      </c>
      <c r="AP19" s="789" t="s">
        <v>217</v>
      </c>
    </row>
    <row r="20" s="291" customFormat="true" ht="10.7" hidden="false" customHeight="true" outlineLevel="0" collapsed="false">
      <c r="A20" s="779" t="s">
        <v>218</v>
      </c>
      <c r="B20" s="801" t="n">
        <v>139</v>
      </c>
      <c r="C20" s="801" t="n">
        <v>615</v>
      </c>
      <c r="D20" s="801" t="n">
        <v>3</v>
      </c>
      <c r="E20" s="801" t="n">
        <v>102</v>
      </c>
      <c r="F20" s="801" t="n">
        <f aca="false">39+300</f>
        <v>339</v>
      </c>
      <c r="G20" s="801" t="n">
        <v>14715</v>
      </c>
      <c r="H20" s="801" t="n">
        <v>0</v>
      </c>
      <c r="I20" s="801" t="n">
        <v>0</v>
      </c>
      <c r="J20" s="801" t="n">
        <v>0</v>
      </c>
      <c r="K20" s="801" t="n">
        <f aca="false">L20-SUM(B20:J20)</f>
        <v>5867.860195</v>
      </c>
      <c r="L20" s="801" t="n">
        <f aca="false">17654+81.255*50.789</f>
        <v>21780.860195</v>
      </c>
      <c r="M20" s="801" t="n">
        <v>1765.9</v>
      </c>
      <c r="N20" s="801" t="n">
        <v>1238.8</v>
      </c>
      <c r="O20" s="801" t="n">
        <f aca="false">M20+N20</f>
        <v>3004.7</v>
      </c>
      <c r="P20" s="802" t="n">
        <v>267.1</v>
      </c>
      <c r="Q20" s="802" t="n">
        <v>176.7</v>
      </c>
      <c r="R20" s="802" t="n">
        <v>409.8</v>
      </c>
      <c r="S20" s="802" t="n">
        <v>1634.2</v>
      </c>
      <c r="T20" s="802" t="n">
        <v>121.8</v>
      </c>
      <c r="U20" s="781" t="s">
        <v>218</v>
      </c>
      <c r="V20" s="779" t="s">
        <v>218</v>
      </c>
      <c r="W20" s="802" t="n">
        <v>1182.4</v>
      </c>
      <c r="X20" s="802" t="n">
        <v>258.8</v>
      </c>
      <c r="Y20" s="802" t="n">
        <v>0</v>
      </c>
      <c r="Z20" s="802" t="n">
        <v>2707.9</v>
      </c>
      <c r="AA20" s="802" t="n">
        <v>1488.5</v>
      </c>
      <c r="AB20" s="802" t="n">
        <v>109.4</v>
      </c>
      <c r="AC20" s="802" t="n">
        <v>842.7</v>
      </c>
      <c r="AD20" s="802" t="n">
        <v>406.8</v>
      </c>
      <c r="AE20" s="802" t="n">
        <v>1500.4</v>
      </c>
      <c r="AF20" s="802" t="n">
        <v>1471.2</v>
      </c>
      <c r="AG20" s="802" t="n">
        <v>1259.6</v>
      </c>
      <c r="AH20" s="802" t="n">
        <v>2933.4</v>
      </c>
      <c r="AI20" s="802" t="n">
        <v>406.2</v>
      </c>
      <c r="AJ20" s="802" t="n">
        <v>2562.6</v>
      </c>
      <c r="AK20" s="802" t="n">
        <v>2811.2</v>
      </c>
      <c r="AL20" s="802" t="n">
        <f aca="false">4500.2+3572.7+2517.3</f>
        <v>10590.2</v>
      </c>
      <c r="AM20" s="802" t="n">
        <f aca="false">SUM(P20:T20)+SUM(W20:AL20)</f>
        <v>33140.9</v>
      </c>
      <c r="AN20" s="802" t="n">
        <f aca="false">O20+AM20</f>
        <v>36145.6</v>
      </c>
      <c r="AO20" s="802" t="n">
        <f aca="false">L20-AN20</f>
        <v>-14364.739805</v>
      </c>
      <c r="AP20" s="781" t="s">
        <v>218</v>
      </c>
    </row>
    <row r="21" s="291" customFormat="true" ht="10.7" hidden="false" customHeight="true" outlineLevel="0" collapsed="false">
      <c r="A21" s="788" t="s">
        <v>219</v>
      </c>
      <c r="B21" s="199" t="n">
        <v>93</v>
      </c>
      <c r="C21" s="199" t="n">
        <v>529</v>
      </c>
      <c r="D21" s="199" t="n">
        <v>2</v>
      </c>
      <c r="E21" s="199" t="n">
        <v>101</v>
      </c>
      <c r="F21" s="199" t="n">
        <f aca="false">56+299</f>
        <v>355</v>
      </c>
      <c r="G21" s="199" t="n">
        <v>13336</v>
      </c>
      <c r="H21" s="199" t="n">
        <v>0</v>
      </c>
      <c r="I21" s="199" t="n">
        <v>0</v>
      </c>
      <c r="J21" s="199" t="n">
        <v>0</v>
      </c>
      <c r="K21" s="199" t="n">
        <f aca="false">L21-SUM(B21:J21)</f>
        <v>5746.11568</v>
      </c>
      <c r="L21" s="199" t="n">
        <f aca="false">16089+82.552*49.34</f>
        <v>20162.11568</v>
      </c>
      <c r="M21" s="199" t="n">
        <v>1468.3</v>
      </c>
      <c r="N21" s="199" t="n">
        <v>1209</v>
      </c>
      <c r="O21" s="199" t="n">
        <f aca="false">M21+N21</f>
        <v>2677.3</v>
      </c>
      <c r="P21" s="803" t="n">
        <v>211.9</v>
      </c>
      <c r="Q21" s="803" t="n">
        <v>129.6</v>
      </c>
      <c r="R21" s="803" t="n">
        <v>66.5</v>
      </c>
      <c r="S21" s="803" t="n">
        <v>987.2</v>
      </c>
      <c r="T21" s="803" t="n">
        <v>187</v>
      </c>
      <c r="U21" s="789" t="s">
        <v>219</v>
      </c>
      <c r="V21" s="788" t="s">
        <v>219</v>
      </c>
      <c r="W21" s="803" t="n">
        <v>288.4</v>
      </c>
      <c r="X21" s="803" t="n">
        <v>301.7</v>
      </c>
      <c r="Y21" s="803" t="n">
        <v>370.1</v>
      </c>
      <c r="Z21" s="803" t="n">
        <v>2585.9</v>
      </c>
      <c r="AA21" s="803" t="n">
        <v>1325.1</v>
      </c>
      <c r="AB21" s="803" t="n">
        <v>126.3</v>
      </c>
      <c r="AC21" s="803" t="n">
        <v>658.3</v>
      </c>
      <c r="AD21" s="803" t="n">
        <v>412.8</v>
      </c>
      <c r="AE21" s="803" t="n">
        <v>1374</v>
      </c>
      <c r="AF21" s="803" t="n">
        <v>1660.6</v>
      </c>
      <c r="AG21" s="803" t="n">
        <v>1090.6</v>
      </c>
      <c r="AH21" s="803" t="n">
        <v>2775.7</v>
      </c>
      <c r="AI21" s="803" t="n">
        <v>473.9</v>
      </c>
      <c r="AJ21" s="803" t="n">
        <v>2690.6</v>
      </c>
      <c r="AK21" s="803" t="n">
        <v>3049.6</v>
      </c>
      <c r="AL21" s="803" t="n">
        <f aca="false">5159.1+3386+2451</f>
        <v>10996.1</v>
      </c>
      <c r="AM21" s="803" t="n">
        <f aca="false">SUM(P21:T21)+SUM(W21:AL21)</f>
        <v>31761.9</v>
      </c>
      <c r="AN21" s="803" t="n">
        <f aca="false">O21+AM21</f>
        <v>34439.2</v>
      </c>
      <c r="AO21" s="803" t="n">
        <f aca="false">L21-AN21</f>
        <v>-14277.08432</v>
      </c>
      <c r="AP21" s="789" t="s">
        <v>219</v>
      </c>
    </row>
    <row r="22" s="291" customFormat="true" ht="10.7" hidden="false" customHeight="true" outlineLevel="0" collapsed="false">
      <c r="A22" s="779" t="s">
        <v>220</v>
      </c>
      <c r="B22" s="801" t="n">
        <v>119</v>
      </c>
      <c r="C22" s="801" t="n">
        <v>581</v>
      </c>
      <c r="D22" s="801" t="n">
        <v>3</v>
      </c>
      <c r="E22" s="801" t="n">
        <v>100</v>
      </c>
      <c r="F22" s="801" t="n">
        <f aca="false">49+356</f>
        <v>405</v>
      </c>
      <c r="G22" s="801" t="n">
        <v>16323</v>
      </c>
      <c r="H22" s="801" t="n">
        <v>0</v>
      </c>
      <c r="I22" s="801" t="n">
        <v>0</v>
      </c>
      <c r="J22" s="801" t="n">
        <v>0</v>
      </c>
      <c r="K22" s="801" t="n">
        <f aca="false">L22-SUM(B22:J22)</f>
        <v>6354.15377</v>
      </c>
      <c r="L22" s="801" t="n">
        <f aca="false">19516+82.815*52.758</f>
        <v>23885.15377</v>
      </c>
      <c r="M22" s="801" t="n">
        <v>1998.3</v>
      </c>
      <c r="N22" s="801" t="n">
        <v>1078.1</v>
      </c>
      <c r="O22" s="801" t="n">
        <f aca="false">M22+N22</f>
        <v>3076.4</v>
      </c>
      <c r="P22" s="802" t="n">
        <v>163</v>
      </c>
      <c r="Q22" s="802" t="n">
        <v>344.3</v>
      </c>
      <c r="R22" s="802" t="n">
        <v>313.5</v>
      </c>
      <c r="S22" s="802" t="n">
        <v>912.5</v>
      </c>
      <c r="T22" s="802" t="n">
        <v>337.6</v>
      </c>
      <c r="U22" s="781" t="s">
        <v>220</v>
      </c>
      <c r="V22" s="779" t="s">
        <v>220</v>
      </c>
      <c r="W22" s="802" t="n">
        <v>600.7</v>
      </c>
      <c r="X22" s="802" t="n">
        <v>404.9</v>
      </c>
      <c r="Y22" s="802" t="n">
        <v>785.8</v>
      </c>
      <c r="Z22" s="802" t="n">
        <v>2588.7</v>
      </c>
      <c r="AA22" s="802" t="n">
        <v>1625.9</v>
      </c>
      <c r="AB22" s="802" t="n">
        <v>92.9</v>
      </c>
      <c r="AC22" s="802" t="n">
        <v>534.6</v>
      </c>
      <c r="AD22" s="802" t="n">
        <v>471.1</v>
      </c>
      <c r="AE22" s="802" t="n">
        <v>1588.6</v>
      </c>
      <c r="AF22" s="802" t="n">
        <v>2250.5</v>
      </c>
      <c r="AG22" s="802" t="n">
        <v>1317</v>
      </c>
      <c r="AH22" s="802" t="n">
        <v>3900.8</v>
      </c>
      <c r="AI22" s="802" t="n">
        <v>554.7</v>
      </c>
      <c r="AJ22" s="802" t="n">
        <v>2785.1</v>
      </c>
      <c r="AK22" s="802" t="n">
        <v>3783.6</v>
      </c>
      <c r="AL22" s="802" t="n">
        <f aca="false">6290+4322.2+2814.1</f>
        <v>13426.3</v>
      </c>
      <c r="AM22" s="802" t="n">
        <f aca="false">SUM(P22:T22)+SUM(W22:AL22)</f>
        <v>38782.1</v>
      </c>
      <c r="AN22" s="802" t="n">
        <f aca="false">O22+AM22</f>
        <v>41858.5</v>
      </c>
      <c r="AO22" s="802" t="n">
        <f aca="false">L22-AN22</f>
        <v>-17973.34623</v>
      </c>
      <c r="AP22" s="781" t="s">
        <v>220</v>
      </c>
    </row>
    <row r="23" s="291" customFormat="true" ht="10.7" hidden="false" customHeight="true" outlineLevel="0" collapsed="false">
      <c r="A23" s="788" t="s">
        <v>221</v>
      </c>
      <c r="B23" s="199" t="n">
        <v>92</v>
      </c>
      <c r="C23" s="199" t="n">
        <v>471</v>
      </c>
      <c r="D23" s="199" t="n">
        <v>2</v>
      </c>
      <c r="E23" s="199" t="n">
        <v>63</v>
      </c>
      <c r="F23" s="199" t="n">
        <f aca="false">60+195</f>
        <v>255</v>
      </c>
      <c r="G23" s="199" t="n">
        <v>14991</v>
      </c>
      <c r="H23" s="199" t="n">
        <v>0</v>
      </c>
      <c r="I23" s="199" t="n">
        <v>0</v>
      </c>
      <c r="J23" s="199" t="n">
        <v>0</v>
      </c>
      <c r="K23" s="199" t="n">
        <f aca="false">L23-SUM(B23:J23)</f>
        <v>5327.0531378968</v>
      </c>
      <c r="L23" s="199" t="n">
        <f aca="false">17444+82.919583*45.3096</f>
        <v>21201.0531378968</v>
      </c>
      <c r="M23" s="199" t="n">
        <v>1431.7</v>
      </c>
      <c r="N23" s="199" t="n">
        <v>683.7</v>
      </c>
      <c r="O23" s="199" t="n">
        <f aca="false">M23+N23</f>
        <v>2115.4</v>
      </c>
      <c r="P23" s="803" t="n">
        <v>215.6</v>
      </c>
      <c r="Q23" s="803" t="n">
        <v>148.8</v>
      </c>
      <c r="R23" s="803" t="n">
        <v>231.6</v>
      </c>
      <c r="S23" s="803" t="n">
        <v>1229.9</v>
      </c>
      <c r="T23" s="803" t="n">
        <v>199.3</v>
      </c>
      <c r="U23" s="789" t="s">
        <v>221</v>
      </c>
      <c r="V23" s="788" t="s">
        <v>221</v>
      </c>
      <c r="W23" s="803" t="n">
        <v>334.1</v>
      </c>
      <c r="X23" s="803" t="n">
        <v>368.1</v>
      </c>
      <c r="Y23" s="803" t="n">
        <v>412.9</v>
      </c>
      <c r="Z23" s="803" t="n">
        <v>2973.1</v>
      </c>
      <c r="AA23" s="803" t="n">
        <v>1526.9</v>
      </c>
      <c r="AB23" s="803" t="n">
        <v>104.8</v>
      </c>
      <c r="AC23" s="803" t="n">
        <v>664.5</v>
      </c>
      <c r="AD23" s="803" t="n">
        <v>404.3</v>
      </c>
      <c r="AE23" s="803" t="n">
        <v>1291.1</v>
      </c>
      <c r="AF23" s="803" t="n">
        <v>2224</v>
      </c>
      <c r="AG23" s="803" t="n">
        <v>1306.4</v>
      </c>
      <c r="AH23" s="803" t="n">
        <v>3122</v>
      </c>
      <c r="AI23" s="803" t="n">
        <v>532.6</v>
      </c>
      <c r="AJ23" s="803" t="n">
        <v>2255.1</v>
      </c>
      <c r="AK23" s="803" t="n">
        <v>3099.6</v>
      </c>
      <c r="AL23" s="803" t="n">
        <f aca="false">5564.4+3189.8+2717.3</f>
        <v>11471.5</v>
      </c>
      <c r="AM23" s="803" t="n">
        <f aca="false">SUM(P23:T23)+SUM(W23:AL23)</f>
        <v>34116.2</v>
      </c>
      <c r="AN23" s="803" t="n">
        <f aca="false">O23+AM23</f>
        <v>36231.6</v>
      </c>
      <c r="AO23" s="803" t="n">
        <f aca="false">L23-AN23</f>
        <v>-15030.5468621032</v>
      </c>
      <c r="AP23" s="789" t="s">
        <v>221</v>
      </c>
    </row>
    <row r="24" s="291" customFormat="true" ht="10.7" hidden="false" customHeight="true" outlineLevel="0" collapsed="false">
      <c r="A24" s="779" t="s">
        <v>619</v>
      </c>
      <c r="B24" s="801" t="n">
        <v>103</v>
      </c>
      <c r="C24" s="801" t="n">
        <v>480</v>
      </c>
      <c r="D24" s="801" t="n">
        <v>1</v>
      </c>
      <c r="E24" s="801" t="n">
        <v>104</v>
      </c>
      <c r="F24" s="801" t="n">
        <f aca="false">57+170</f>
        <v>227</v>
      </c>
      <c r="G24" s="801" t="n">
        <v>16505</v>
      </c>
      <c r="H24" s="801" t="n">
        <v>0</v>
      </c>
      <c r="I24" s="801" t="n">
        <v>2</v>
      </c>
      <c r="J24" s="801" t="n">
        <v>0</v>
      </c>
      <c r="K24" s="801" t="n">
        <f aca="false">L24-SUM(B24:J24)</f>
        <v>5736.34496</v>
      </c>
      <c r="L24" s="801" t="n">
        <f aca="false">19087+82.96*49.076</f>
        <v>23158.34496</v>
      </c>
      <c r="M24" s="801" t="n">
        <v>1147.9</v>
      </c>
      <c r="N24" s="801" t="n">
        <v>626.9</v>
      </c>
      <c r="O24" s="801" t="n">
        <f aca="false">M24+N24</f>
        <v>1774.8</v>
      </c>
      <c r="P24" s="802" t="n">
        <v>291.1</v>
      </c>
      <c r="Q24" s="802" t="n">
        <v>185.9</v>
      </c>
      <c r="R24" s="802" t="n">
        <v>261.3</v>
      </c>
      <c r="S24" s="802" t="n">
        <v>1116.4</v>
      </c>
      <c r="T24" s="802" t="n">
        <v>473</v>
      </c>
      <c r="U24" s="781" t="s">
        <v>619</v>
      </c>
      <c r="V24" s="779" t="s">
        <v>222</v>
      </c>
      <c r="W24" s="802" t="n">
        <v>477.1</v>
      </c>
      <c r="X24" s="802" t="n">
        <v>366</v>
      </c>
      <c r="Y24" s="802" t="n">
        <v>392.6</v>
      </c>
      <c r="Z24" s="802" t="n">
        <v>3089.3</v>
      </c>
      <c r="AA24" s="802" t="n">
        <v>1478.7</v>
      </c>
      <c r="AB24" s="802" t="n">
        <v>118.1</v>
      </c>
      <c r="AC24" s="802" t="n">
        <v>853.8</v>
      </c>
      <c r="AD24" s="802" t="n">
        <v>407.9</v>
      </c>
      <c r="AE24" s="802" t="n">
        <v>1560.2</v>
      </c>
      <c r="AF24" s="802" t="n">
        <v>2597.2</v>
      </c>
      <c r="AG24" s="802" t="n">
        <v>1203.4</v>
      </c>
      <c r="AH24" s="802" t="n">
        <v>3059.7</v>
      </c>
      <c r="AI24" s="802" t="n">
        <v>560.1</v>
      </c>
      <c r="AJ24" s="802" t="n">
        <v>2427.1</v>
      </c>
      <c r="AK24" s="802" t="n">
        <v>3053.2</v>
      </c>
      <c r="AL24" s="802" t="n">
        <f aca="false">5536.9+3470+2242.4</f>
        <v>11249.3</v>
      </c>
      <c r="AM24" s="802" t="n">
        <f aca="false">SUM(P24:T24)+SUM(W24:AL24)</f>
        <v>35221.4</v>
      </c>
      <c r="AN24" s="802" t="n">
        <f aca="false">O24+AM24</f>
        <v>36996.2</v>
      </c>
      <c r="AO24" s="802" t="n">
        <f aca="false">L24-AN24</f>
        <v>-13837.85504</v>
      </c>
      <c r="AP24" s="781" t="s">
        <v>222</v>
      </c>
    </row>
    <row r="25" s="291" customFormat="true" ht="10.7" hidden="false" customHeight="true" outlineLevel="0" collapsed="false">
      <c r="A25" s="788" t="s">
        <v>223</v>
      </c>
      <c r="B25" s="199" t="n">
        <v>147</v>
      </c>
      <c r="C25" s="199" t="n">
        <v>650</v>
      </c>
      <c r="D25" s="199" t="n">
        <v>3</v>
      </c>
      <c r="E25" s="199" t="n">
        <v>121</v>
      </c>
      <c r="F25" s="199" t="n">
        <f aca="false">48+190</f>
        <v>238</v>
      </c>
      <c r="G25" s="199" t="n">
        <v>16143</v>
      </c>
      <c r="H25" s="199" t="n">
        <v>0</v>
      </c>
      <c r="I25" s="199" t="n">
        <v>1</v>
      </c>
      <c r="J25" s="199" t="n">
        <v>0</v>
      </c>
      <c r="K25" s="199" t="n">
        <f aca="false">L25-SUM(B25:J25)</f>
        <v>5768.240324715</v>
      </c>
      <c r="L25" s="199" t="n">
        <f aca="false">18944+82.974615*49.741</f>
        <v>23071.240324715</v>
      </c>
      <c r="M25" s="199" t="n">
        <v>985.6</v>
      </c>
      <c r="N25" s="199" t="n">
        <v>696.9</v>
      </c>
      <c r="O25" s="199" t="n">
        <f aca="false">M25+N25</f>
        <v>1682.5</v>
      </c>
      <c r="P25" s="803" t="n">
        <v>212</v>
      </c>
      <c r="Q25" s="803" t="n">
        <v>230.5</v>
      </c>
      <c r="R25" s="803" t="n">
        <v>783.7</v>
      </c>
      <c r="S25" s="803" t="n">
        <v>1388.7</v>
      </c>
      <c r="T25" s="803" t="n">
        <v>483.7</v>
      </c>
      <c r="U25" s="789" t="s">
        <v>223</v>
      </c>
      <c r="V25" s="788" t="s">
        <v>223</v>
      </c>
      <c r="W25" s="803" t="n">
        <v>728.4</v>
      </c>
      <c r="X25" s="803" t="n">
        <v>490.9</v>
      </c>
      <c r="Y25" s="803" t="n">
        <v>419.5</v>
      </c>
      <c r="Z25" s="803" t="n">
        <v>2840.3</v>
      </c>
      <c r="AA25" s="803" t="n">
        <v>1849.7</v>
      </c>
      <c r="AB25" s="803" t="n">
        <v>95.1</v>
      </c>
      <c r="AC25" s="803" t="n">
        <v>826.5</v>
      </c>
      <c r="AD25" s="803" t="n">
        <v>444.3</v>
      </c>
      <c r="AE25" s="803" t="n">
        <v>1671.3</v>
      </c>
      <c r="AF25" s="803" t="n">
        <v>2238.3</v>
      </c>
      <c r="AG25" s="803" t="n">
        <v>1432.7</v>
      </c>
      <c r="AH25" s="803" t="n">
        <v>3139.7</v>
      </c>
      <c r="AI25" s="803" t="n">
        <v>526.6</v>
      </c>
      <c r="AJ25" s="803" t="n">
        <v>3039.1</v>
      </c>
      <c r="AK25" s="803" t="n">
        <v>4146.1</v>
      </c>
      <c r="AL25" s="803" t="n">
        <f aca="false">5209.4+3704.7+2827.8</f>
        <v>11741.9</v>
      </c>
      <c r="AM25" s="803" t="n">
        <f aca="false">SUM(P25:T25)+SUM(W25:AL25)</f>
        <v>38729</v>
      </c>
      <c r="AN25" s="803" t="n">
        <f aca="false">O25+AM25</f>
        <v>40411.5</v>
      </c>
      <c r="AO25" s="803" t="n">
        <f aca="false">L25-AN25</f>
        <v>-17340.259675285</v>
      </c>
      <c r="AP25" s="789" t="s">
        <v>223</v>
      </c>
    </row>
    <row r="26" s="291" customFormat="true" ht="10.7" hidden="false" customHeight="true" outlineLevel="0" collapsed="false">
      <c r="A26" s="779" t="s">
        <v>224</v>
      </c>
      <c r="B26" s="801" t="n">
        <v>97</v>
      </c>
      <c r="C26" s="801" t="n">
        <v>531</v>
      </c>
      <c r="D26" s="801" t="n">
        <v>2</v>
      </c>
      <c r="E26" s="801" t="n">
        <v>108</v>
      </c>
      <c r="F26" s="801" t="n">
        <f aca="false">55+203</f>
        <v>258</v>
      </c>
      <c r="G26" s="801" t="n">
        <v>16893</v>
      </c>
      <c r="H26" s="801" t="n">
        <v>0</v>
      </c>
      <c r="I26" s="801" t="n">
        <v>7</v>
      </c>
      <c r="J26" s="801" t="n">
        <v>0</v>
      </c>
      <c r="K26" s="801" t="n">
        <f aca="false">L26-SUM(B26:J26)</f>
        <v>6442.586747955</v>
      </c>
      <c r="L26" s="801" t="n">
        <f aca="false">19726+83.384615*55.317</f>
        <v>24338.586747955</v>
      </c>
      <c r="M26" s="801" t="n">
        <v>731</v>
      </c>
      <c r="N26" s="801" t="n">
        <v>899.6</v>
      </c>
      <c r="O26" s="801" t="n">
        <f aca="false">M26+N26</f>
        <v>1630.6</v>
      </c>
      <c r="P26" s="802" t="n">
        <v>260.8</v>
      </c>
      <c r="Q26" s="802" t="n">
        <v>241.1</v>
      </c>
      <c r="R26" s="802" t="n">
        <v>382.6</v>
      </c>
      <c r="S26" s="802" t="n">
        <v>1596.7</v>
      </c>
      <c r="T26" s="802" t="n">
        <v>605.5</v>
      </c>
      <c r="U26" s="781" t="s">
        <v>224</v>
      </c>
      <c r="V26" s="779" t="s">
        <v>224</v>
      </c>
      <c r="W26" s="802" t="n">
        <v>428.4</v>
      </c>
      <c r="X26" s="802" t="n">
        <v>502.8</v>
      </c>
      <c r="Y26" s="802" t="n">
        <v>861.1</v>
      </c>
      <c r="Z26" s="802" t="n">
        <v>4271.2</v>
      </c>
      <c r="AA26" s="802" t="n">
        <v>1528.2</v>
      </c>
      <c r="AB26" s="802" t="n">
        <v>118.3</v>
      </c>
      <c r="AC26" s="802" t="n">
        <v>615.3</v>
      </c>
      <c r="AD26" s="802" t="n">
        <v>479.2</v>
      </c>
      <c r="AE26" s="802" t="n">
        <v>1877.3</v>
      </c>
      <c r="AF26" s="802" t="n">
        <v>2644.9</v>
      </c>
      <c r="AG26" s="802" t="n">
        <v>1606.4</v>
      </c>
      <c r="AH26" s="802" t="n">
        <v>3742.1</v>
      </c>
      <c r="AI26" s="802" t="n">
        <v>613.6</v>
      </c>
      <c r="AJ26" s="802" t="n">
        <v>3265.4</v>
      </c>
      <c r="AK26" s="802" t="n">
        <v>4653.3</v>
      </c>
      <c r="AL26" s="802" t="n">
        <f aca="false">6605.9+3882.4+2907.6</f>
        <v>13395.9</v>
      </c>
      <c r="AM26" s="802" t="n">
        <f aca="false">SUM(P26:T26)+SUM(W26:AL26)</f>
        <v>43690.1</v>
      </c>
      <c r="AN26" s="802" t="n">
        <f aca="false">O26+AM26</f>
        <v>45320.7</v>
      </c>
      <c r="AO26" s="802" t="n">
        <f aca="false">L26-AN26</f>
        <v>-20982.113252045</v>
      </c>
      <c r="AP26" s="781" t="s">
        <v>224</v>
      </c>
    </row>
    <row r="27" s="291" customFormat="true" ht="10.7" hidden="false" customHeight="true" outlineLevel="0" collapsed="false">
      <c r="A27" s="788" t="s">
        <v>225</v>
      </c>
      <c r="B27" s="199" t="n">
        <v>84</v>
      </c>
      <c r="C27" s="199" t="n">
        <v>390</v>
      </c>
      <c r="D27" s="199" t="n">
        <v>0</v>
      </c>
      <c r="E27" s="199" t="n">
        <v>92</v>
      </c>
      <c r="F27" s="199" t="n">
        <f aca="false">49+203</f>
        <v>252</v>
      </c>
      <c r="G27" s="199" t="n">
        <v>14993</v>
      </c>
      <c r="H27" s="199" t="n">
        <v>0</v>
      </c>
      <c r="I27" s="199" t="n">
        <v>3</v>
      </c>
      <c r="J27" s="199" t="n">
        <v>0</v>
      </c>
      <c r="K27" s="199" t="n">
        <f aca="false">L27-SUM(B27:J27)</f>
        <v>5373.317576326</v>
      </c>
      <c r="L27" s="199" t="n">
        <f aca="false">17454+83.701042*44.603</f>
        <v>21187.317576326</v>
      </c>
      <c r="M27" s="199" t="n">
        <v>396.4</v>
      </c>
      <c r="N27" s="199" t="n">
        <v>353.7</v>
      </c>
      <c r="O27" s="199" t="n">
        <f aca="false">M27+N27</f>
        <v>750.1</v>
      </c>
      <c r="P27" s="803" t="n">
        <v>196.2</v>
      </c>
      <c r="Q27" s="803" t="n">
        <v>182.8</v>
      </c>
      <c r="R27" s="803" t="n">
        <v>346</v>
      </c>
      <c r="S27" s="803" t="n">
        <v>688.1</v>
      </c>
      <c r="T27" s="803" t="n">
        <v>168.5</v>
      </c>
      <c r="U27" s="789" t="s">
        <v>225</v>
      </c>
      <c r="V27" s="788" t="s">
        <v>225</v>
      </c>
      <c r="W27" s="803" t="n">
        <v>239.6</v>
      </c>
      <c r="X27" s="803" t="n">
        <v>426</v>
      </c>
      <c r="Y27" s="803" t="n">
        <v>477.5</v>
      </c>
      <c r="Z27" s="803" t="n">
        <v>4150.7</v>
      </c>
      <c r="AA27" s="803" t="n">
        <v>1272.5</v>
      </c>
      <c r="AB27" s="803" t="n">
        <v>88.7</v>
      </c>
      <c r="AC27" s="803" t="n">
        <v>128.1</v>
      </c>
      <c r="AD27" s="803" t="n">
        <v>393.8</v>
      </c>
      <c r="AE27" s="803" t="n">
        <v>1391.5</v>
      </c>
      <c r="AF27" s="803" t="n">
        <v>1997.2</v>
      </c>
      <c r="AG27" s="803" t="n">
        <v>1275.6</v>
      </c>
      <c r="AH27" s="803" t="n">
        <v>2795.9</v>
      </c>
      <c r="AI27" s="803" t="n">
        <v>467.2</v>
      </c>
      <c r="AJ27" s="803" t="n">
        <v>2889.3</v>
      </c>
      <c r="AK27" s="803" t="n">
        <v>2596.8</v>
      </c>
      <c r="AL27" s="803" t="n">
        <f aca="false">4220.7+2893.8+2095</f>
        <v>9209.5</v>
      </c>
      <c r="AM27" s="803" t="n">
        <f aca="false">SUM(P27:T27)+SUM(W27:AL27)</f>
        <v>31381.5</v>
      </c>
      <c r="AN27" s="803" t="n">
        <f aca="false">O27+AM27</f>
        <v>32131.6</v>
      </c>
      <c r="AO27" s="803" t="n">
        <f aca="false">L27-AN27</f>
        <v>-10944.282423674</v>
      </c>
      <c r="AP27" s="789" t="s">
        <v>225</v>
      </c>
    </row>
    <row r="28" s="291" customFormat="true" ht="10.7" hidden="false" customHeight="true" outlineLevel="0" collapsed="false">
      <c r="A28" s="804" t="s">
        <v>226</v>
      </c>
      <c r="B28" s="796" t="n">
        <f aca="false">SUM(B29:B40)</f>
        <v>964</v>
      </c>
      <c r="C28" s="796" t="n">
        <f aca="false">SUM(C29:C40)</f>
        <v>5468</v>
      </c>
      <c r="D28" s="796" t="n">
        <f aca="false">SUM(D29:D40)</f>
        <v>21</v>
      </c>
      <c r="E28" s="805" t="n">
        <f aca="false">SUM(E29:E40)</f>
        <v>1193</v>
      </c>
      <c r="F28" s="796" t="n">
        <f aca="false">SUM(F29:F40)</f>
        <v>3556</v>
      </c>
      <c r="G28" s="796" t="n">
        <f aca="false">SUM(G29:G40)</f>
        <v>212357</v>
      </c>
      <c r="H28" s="796" t="n">
        <f aca="false">SUM(H29:H40)</f>
        <v>181</v>
      </c>
      <c r="I28" s="796" t="n">
        <f aca="false">SUM(I29:I40)</f>
        <v>23</v>
      </c>
      <c r="J28" s="796" t="n">
        <f aca="false">SUM(J29:J40)</f>
        <v>0</v>
      </c>
      <c r="K28" s="796" t="n">
        <f aca="false">SUM(K29:K40)</f>
        <v>73222.626869678</v>
      </c>
      <c r="L28" s="796" t="n">
        <f aca="false">SUM(L29:L40)</f>
        <v>296985.626869678</v>
      </c>
      <c r="M28" s="796" t="n">
        <f aca="false">SUM(M29:M40)</f>
        <v>1043.9</v>
      </c>
      <c r="N28" s="796" t="n">
        <f aca="false">SUM(N29:N40)</f>
        <v>9641.6</v>
      </c>
      <c r="O28" s="796" t="n">
        <f aca="false">SUM(O29:O40)</f>
        <v>10685.5</v>
      </c>
      <c r="P28" s="796" t="n">
        <f aca="false">SUM(P29:P40)</f>
        <v>2820.7</v>
      </c>
      <c r="Q28" s="796" t="n">
        <f aca="false">SUM(Q29:Q40)</f>
        <v>2645.2</v>
      </c>
      <c r="R28" s="796" t="n">
        <f aca="false">SUM(R29:R40)</f>
        <v>5491.6</v>
      </c>
      <c r="S28" s="796" t="n">
        <f aca="false">SUM(S29:S40)</f>
        <v>14431.5</v>
      </c>
      <c r="T28" s="796" t="n">
        <f aca="false">SUM(T29:T40)</f>
        <v>3456.9</v>
      </c>
      <c r="U28" s="806" t="s">
        <v>226</v>
      </c>
      <c r="V28" s="804" t="s">
        <v>226</v>
      </c>
      <c r="W28" s="796" t="n">
        <f aca="false">SUM(W29:W40)</f>
        <v>5431.6</v>
      </c>
      <c r="X28" s="796" t="n">
        <f aca="false">SUM(X29:X40)</f>
        <v>6020.7</v>
      </c>
      <c r="Y28" s="796" t="n">
        <f aca="false">SUM(Y29:Y40)</f>
        <v>7816.6</v>
      </c>
      <c r="Z28" s="796" t="n">
        <f aca="false">SUM(Z29:Z40)</f>
        <v>48167.3</v>
      </c>
      <c r="AA28" s="796" t="n">
        <f aca="false">SUM(AA29:AA40)</f>
        <v>18668.2</v>
      </c>
      <c r="AB28" s="796" t="n">
        <f aca="false">SUM(AB29:AB40)</f>
        <v>1231.2</v>
      </c>
      <c r="AC28" s="796" t="n">
        <f aca="false">SUM(AC29:AC40)</f>
        <v>9402.2</v>
      </c>
      <c r="AD28" s="796" t="n">
        <f aca="false">SUM(AD29:AD40)</f>
        <v>5824.5</v>
      </c>
      <c r="AE28" s="796" t="n">
        <f aca="false">SUM(AE29:AE40)</f>
        <v>20030.6944</v>
      </c>
      <c r="AF28" s="796" t="n">
        <f aca="false">SUM(AF29:AF40)</f>
        <v>24638.3</v>
      </c>
      <c r="AG28" s="796" t="n">
        <f aca="false">SUM(AG29:AG40)</f>
        <v>17750.5</v>
      </c>
      <c r="AH28" s="796" t="n">
        <f aca="false">SUM(AH29:AH40)</f>
        <v>41881.9</v>
      </c>
      <c r="AI28" s="796" t="n">
        <f aca="false">SUM(AI29:AI40)</f>
        <v>6817.7</v>
      </c>
      <c r="AJ28" s="796" t="n">
        <f aca="false">SUM(AJ29:AJ40)</f>
        <v>36363.2</v>
      </c>
      <c r="AK28" s="796" t="n">
        <f aca="false">SUM(AK29:AK40)</f>
        <v>43242.48</v>
      </c>
      <c r="AL28" s="796" t="n">
        <f aca="false">SUM(AL29:AL40)</f>
        <v>138259.1056</v>
      </c>
      <c r="AM28" s="796" t="n">
        <f aca="false">SUM(AM29:AM40)</f>
        <v>460392.08</v>
      </c>
      <c r="AN28" s="796" t="n">
        <f aca="false">SUM(AN29:AN40)</f>
        <v>471077.58</v>
      </c>
      <c r="AO28" s="796" t="n">
        <f aca="false">SUM(AO29:AO40)</f>
        <v>-174091.953130322</v>
      </c>
      <c r="AP28" s="806" t="s">
        <v>226</v>
      </c>
    </row>
    <row r="29" s="291" customFormat="true" ht="10.7" hidden="false" customHeight="true" outlineLevel="0" collapsed="false">
      <c r="A29" s="788" t="s">
        <v>214</v>
      </c>
      <c r="B29" s="199" t="n">
        <v>111</v>
      </c>
      <c r="C29" s="199" t="n">
        <v>439</v>
      </c>
      <c r="D29" s="199" t="n">
        <v>0</v>
      </c>
      <c r="E29" s="803" t="n">
        <v>89</v>
      </c>
      <c r="F29" s="199" t="n">
        <f aca="false">49+222</f>
        <v>271</v>
      </c>
      <c r="G29" s="199" t="n">
        <v>18426</v>
      </c>
      <c r="H29" s="199" t="n">
        <v>99</v>
      </c>
      <c r="I29" s="199" t="n">
        <v>4</v>
      </c>
      <c r="J29" s="199" t="n">
        <v>0</v>
      </c>
      <c r="K29" s="199" t="n">
        <f aca="false">L29-SUM(B29:J29)</f>
        <v>7058.016564704</v>
      </c>
      <c r="L29" s="199" t="n">
        <f aca="false">21570+83.747222*58.832</f>
        <v>26497.016564704</v>
      </c>
      <c r="M29" s="199" t="n">
        <v>284.8</v>
      </c>
      <c r="N29" s="199" t="n">
        <v>974.8</v>
      </c>
      <c r="O29" s="199" t="n">
        <f aca="false">M29+N29</f>
        <v>1259.6</v>
      </c>
      <c r="P29" s="803" t="n">
        <v>287</v>
      </c>
      <c r="Q29" s="803" t="n">
        <v>249.8</v>
      </c>
      <c r="R29" s="803" t="n">
        <v>187.9</v>
      </c>
      <c r="S29" s="803" t="n">
        <v>1080.4</v>
      </c>
      <c r="T29" s="803" t="n">
        <v>107.7</v>
      </c>
      <c r="U29" s="789" t="s">
        <v>214</v>
      </c>
      <c r="V29" s="788" t="s">
        <v>214</v>
      </c>
      <c r="W29" s="803" t="n">
        <v>276.9</v>
      </c>
      <c r="X29" s="803" t="n">
        <v>359.1</v>
      </c>
      <c r="Y29" s="803" t="n">
        <v>458.7</v>
      </c>
      <c r="Z29" s="803" t="n">
        <v>3266.2</v>
      </c>
      <c r="AA29" s="803" t="n">
        <v>1671.1</v>
      </c>
      <c r="AB29" s="803" t="n">
        <v>114.9</v>
      </c>
      <c r="AC29" s="803" t="n">
        <v>346.1</v>
      </c>
      <c r="AD29" s="803" t="n">
        <v>513.7</v>
      </c>
      <c r="AE29" s="803" t="n">
        <v>1773.1</v>
      </c>
      <c r="AF29" s="803" t="n">
        <v>2524.8</v>
      </c>
      <c r="AG29" s="803" t="n">
        <v>1678.7</v>
      </c>
      <c r="AH29" s="803" t="n">
        <v>3610.7</v>
      </c>
      <c r="AI29" s="803" t="n">
        <v>597.4</v>
      </c>
      <c r="AJ29" s="803" t="n">
        <v>3394.7</v>
      </c>
      <c r="AK29" s="803" t="n">
        <v>3424.7</v>
      </c>
      <c r="AL29" s="803" t="n">
        <v>11080.8</v>
      </c>
      <c r="AM29" s="803" t="n">
        <f aca="false">SUM(P29:T29)+SUM(W29:AL29)</f>
        <v>37004.4</v>
      </c>
      <c r="AN29" s="803" t="n">
        <f aca="false">O29+AM29</f>
        <v>38264</v>
      </c>
      <c r="AO29" s="803" t="n">
        <f aca="false">L29-AN29</f>
        <v>-11766.983435296</v>
      </c>
      <c r="AP29" s="789" t="s">
        <v>214</v>
      </c>
    </row>
    <row r="30" s="319" customFormat="true" ht="10.7" hidden="false" customHeight="true" outlineLevel="0" collapsed="false">
      <c r="A30" s="779" t="s">
        <v>618</v>
      </c>
      <c r="B30" s="801" t="n">
        <v>85</v>
      </c>
      <c r="C30" s="801" t="n">
        <v>405</v>
      </c>
      <c r="D30" s="801" t="n">
        <v>0</v>
      </c>
      <c r="E30" s="802" t="n">
        <v>109</v>
      </c>
      <c r="F30" s="801" t="n">
        <f aca="false">32+278</f>
        <v>310</v>
      </c>
      <c r="G30" s="801" t="n">
        <v>15451</v>
      </c>
      <c r="H30" s="801" t="n">
        <v>0</v>
      </c>
      <c r="I30" s="801" t="n">
        <v>0</v>
      </c>
      <c r="J30" s="801" t="n">
        <v>0</v>
      </c>
      <c r="K30" s="801" t="n">
        <f aca="false">L30-SUM(B30:J30)</f>
        <v>5171.7325</v>
      </c>
      <c r="L30" s="801" t="n">
        <f aca="false">18001+83.75*42.158</f>
        <v>21531.7325</v>
      </c>
      <c r="M30" s="801" t="n">
        <v>113.9</v>
      </c>
      <c r="N30" s="801" t="n">
        <v>327.1</v>
      </c>
      <c r="O30" s="801" t="n">
        <f aca="false">M30+N30</f>
        <v>441</v>
      </c>
      <c r="P30" s="802" t="n">
        <v>133.4</v>
      </c>
      <c r="Q30" s="802" t="n">
        <v>296.1</v>
      </c>
      <c r="R30" s="802" t="n">
        <v>591.8</v>
      </c>
      <c r="S30" s="802" t="n">
        <v>1035.8</v>
      </c>
      <c r="T30" s="802" t="n">
        <v>180.8</v>
      </c>
      <c r="U30" s="781" t="s">
        <v>618</v>
      </c>
      <c r="V30" s="779" t="s">
        <v>215</v>
      </c>
      <c r="W30" s="802" t="n">
        <v>396.5</v>
      </c>
      <c r="X30" s="802" t="n">
        <v>290.6</v>
      </c>
      <c r="Y30" s="802" t="n">
        <v>958</v>
      </c>
      <c r="Z30" s="802" t="n">
        <v>3349.5</v>
      </c>
      <c r="AA30" s="802" t="n">
        <v>1345.9</v>
      </c>
      <c r="AB30" s="802" t="n">
        <v>74.9</v>
      </c>
      <c r="AC30" s="802" t="n">
        <v>164.1</v>
      </c>
      <c r="AD30" s="802" t="n">
        <v>405.8</v>
      </c>
      <c r="AE30" s="802" t="n">
        <v>1454.1</v>
      </c>
      <c r="AF30" s="802" t="n">
        <v>1824.3</v>
      </c>
      <c r="AG30" s="802" t="n">
        <v>1420.9</v>
      </c>
      <c r="AH30" s="802" t="n">
        <v>3079.5</v>
      </c>
      <c r="AI30" s="802" t="n">
        <v>502</v>
      </c>
      <c r="AJ30" s="802" t="n">
        <v>2268.3</v>
      </c>
      <c r="AK30" s="802" t="n">
        <v>3239.8</v>
      </c>
      <c r="AL30" s="802" t="n">
        <v>9750.4</v>
      </c>
      <c r="AM30" s="802" t="n">
        <f aca="false">SUM(P30:T30)+SUM(W30:AL30)</f>
        <v>32762.5</v>
      </c>
      <c r="AN30" s="802" t="n">
        <f aca="false">O30+AM30</f>
        <v>33203.5</v>
      </c>
      <c r="AO30" s="802" t="n">
        <f aca="false">L30-AN30</f>
        <v>-11671.7675</v>
      </c>
      <c r="AP30" s="781" t="s">
        <v>215</v>
      </c>
    </row>
    <row r="31" s="319" customFormat="true" ht="10.7" hidden="false" customHeight="true" outlineLevel="0" collapsed="false">
      <c r="A31" s="788" t="s">
        <v>216</v>
      </c>
      <c r="B31" s="199" t="n">
        <v>91</v>
      </c>
      <c r="C31" s="199" t="n">
        <v>471</v>
      </c>
      <c r="D31" s="199" t="n">
        <v>1</v>
      </c>
      <c r="E31" s="803" t="n">
        <v>135</v>
      </c>
      <c r="F31" s="199" t="n">
        <v>351</v>
      </c>
      <c r="G31" s="199" t="n">
        <v>18373</v>
      </c>
      <c r="H31" s="199" t="n">
        <v>0</v>
      </c>
      <c r="I31" s="199" t="n">
        <v>6</v>
      </c>
      <c r="J31" s="199" t="n">
        <v>0</v>
      </c>
      <c r="K31" s="199" t="n">
        <f aca="false">L31-SUM(B31:J31)</f>
        <v>5727.06625</v>
      </c>
      <c r="L31" s="199" t="n">
        <f aca="false">21507+83.75*43.559</f>
        <v>25155.06625</v>
      </c>
      <c r="M31" s="199" t="n">
        <v>102.4</v>
      </c>
      <c r="N31" s="199" t="n">
        <v>865.7</v>
      </c>
      <c r="O31" s="199" t="n">
        <f aca="false">M31+N31</f>
        <v>968.1</v>
      </c>
      <c r="P31" s="803" t="n">
        <v>172.4</v>
      </c>
      <c r="Q31" s="803" t="n">
        <v>197.4</v>
      </c>
      <c r="R31" s="803" t="n">
        <v>308.7</v>
      </c>
      <c r="S31" s="803" t="n">
        <v>1153.9</v>
      </c>
      <c r="T31" s="803" t="n">
        <v>215.5</v>
      </c>
      <c r="U31" s="789" t="s">
        <v>216</v>
      </c>
      <c r="V31" s="788" t="s">
        <v>216</v>
      </c>
      <c r="W31" s="803" t="n">
        <v>212.8</v>
      </c>
      <c r="X31" s="803" t="n">
        <v>457.7</v>
      </c>
      <c r="Y31" s="803" t="n">
        <v>453.4</v>
      </c>
      <c r="Z31" s="803" t="n">
        <v>3569.2</v>
      </c>
      <c r="AA31" s="803" t="n">
        <v>1670.2</v>
      </c>
      <c r="AB31" s="803" t="n">
        <v>140.1</v>
      </c>
      <c r="AC31" s="803" t="n">
        <v>630.4</v>
      </c>
      <c r="AD31" s="803" t="n">
        <v>519.5</v>
      </c>
      <c r="AE31" s="803" t="n">
        <v>1710.7</v>
      </c>
      <c r="AF31" s="803" t="n">
        <v>2048.7</v>
      </c>
      <c r="AG31" s="803" t="n">
        <v>1711.2</v>
      </c>
      <c r="AH31" s="803" t="n">
        <v>3787.9</v>
      </c>
      <c r="AI31" s="803" t="n">
        <v>598.1</v>
      </c>
      <c r="AJ31" s="803" t="n">
        <v>2592.2</v>
      </c>
      <c r="AK31" s="803" t="n">
        <v>3858.98</v>
      </c>
      <c r="AL31" s="803" t="n">
        <v>12817.1</v>
      </c>
      <c r="AM31" s="803" t="n">
        <f aca="false">SUM(P31:T31)+SUM(W31:AL31)</f>
        <v>38826.08</v>
      </c>
      <c r="AN31" s="803" t="n">
        <f aca="false">O31+AM31</f>
        <v>39794.18</v>
      </c>
      <c r="AO31" s="803" t="n">
        <f aca="false">L31-AN31</f>
        <v>-14639.11375</v>
      </c>
      <c r="AP31" s="789" t="s">
        <v>216</v>
      </c>
    </row>
    <row r="32" s="319" customFormat="true" ht="10.7" hidden="false" customHeight="true" outlineLevel="0" collapsed="false">
      <c r="A32" s="779" t="s">
        <v>217</v>
      </c>
      <c r="B32" s="801" t="n">
        <v>71</v>
      </c>
      <c r="C32" s="801" t="n">
        <v>503</v>
      </c>
      <c r="D32" s="801" t="n">
        <v>2</v>
      </c>
      <c r="E32" s="802" t="n">
        <v>117</v>
      </c>
      <c r="F32" s="801" t="n">
        <v>359</v>
      </c>
      <c r="G32" s="801" t="n">
        <v>18056</v>
      </c>
      <c r="H32" s="801" t="n">
        <v>0</v>
      </c>
      <c r="I32" s="801" t="n">
        <v>4</v>
      </c>
      <c r="J32" s="801" t="n">
        <v>0</v>
      </c>
      <c r="K32" s="801" t="n">
        <f aca="false">L32-SUM(B32:J32)</f>
        <v>6202.827299</v>
      </c>
      <c r="L32" s="801" t="n">
        <f aca="false">21229+83.817*48.747</f>
        <v>25314.827299</v>
      </c>
      <c r="M32" s="801" t="n">
        <v>82.5</v>
      </c>
      <c r="N32" s="801" t="n">
        <v>914.5</v>
      </c>
      <c r="O32" s="801" t="n">
        <f aca="false">M32+N32</f>
        <v>997</v>
      </c>
      <c r="P32" s="802" t="n">
        <v>228.1</v>
      </c>
      <c r="Q32" s="802" t="n">
        <v>187.2</v>
      </c>
      <c r="R32" s="802" t="n">
        <v>288</v>
      </c>
      <c r="S32" s="802" t="n">
        <v>1474.7</v>
      </c>
      <c r="T32" s="802" t="n">
        <v>283.3</v>
      </c>
      <c r="U32" s="781" t="s">
        <v>217</v>
      </c>
      <c r="V32" s="779" t="s">
        <v>217</v>
      </c>
      <c r="W32" s="802" t="n">
        <v>592.1</v>
      </c>
      <c r="X32" s="802" t="n">
        <v>556.2</v>
      </c>
      <c r="Y32" s="802" t="n">
        <v>969.3</v>
      </c>
      <c r="Z32" s="802" t="n">
        <v>4377.6</v>
      </c>
      <c r="AA32" s="802" t="n">
        <v>1673.2</v>
      </c>
      <c r="AB32" s="802" t="n">
        <v>115.5</v>
      </c>
      <c r="AC32" s="802" t="n">
        <v>700.1</v>
      </c>
      <c r="AD32" s="802" t="n">
        <v>514.8</v>
      </c>
      <c r="AE32" s="802" t="n">
        <v>1719.1</v>
      </c>
      <c r="AF32" s="802" t="n">
        <v>2125.3</v>
      </c>
      <c r="AG32" s="802" t="n">
        <v>1536.2</v>
      </c>
      <c r="AH32" s="802" t="n">
        <v>3599.6</v>
      </c>
      <c r="AI32" s="802" t="n">
        <v>567.9</v>
      </c>
      <c r="AJ32" s="802" t="n">
        <v>3156</v>
      </c>
      <c r="AK32" s="802" t="n">
        <v>3503.1</v>
      </c>
      <c r="AL32" s="802" t="n">
        <v>13468.4</v>
      </c>
      <c r="AM32" s="802" t="n">
        <f aca="false">SUM(P32:T32)+SUM(W32:AL32)</f>
        <v>41635.7</v>
      </c>
      <c r="AN32" s="802" t="n">
        <f aca="false">O32+AM32</f>
        <v>42632.7</v>
      </c>
      <c r="AO32" s="802" t="n">
        <f aca="false">L32-AN32</f>
        <v>-17317.872701</v>
      </c>
      <c r="AP32" s="781" t="s">
        <v>217</v>
      </c>
    </row>
    <row r="33" s="319" customFormat="true" ht="10.7" hidden="false" customHeight="true" outlineLevel="0" collapsed="false">
      <c r="A33" s="788" t="s">
        <v>218</v>
      </c>
      <c r="B33" s="199" t="n">
        <v>79</v>
      </c>
      <c r="C33" s="803" t="n">
        <v>384</v>
      </c>
      <c r="D33" s="199" t="n">
        <v>3</v>
      </c>
      <c r="E33" s="803" t="n">
        <v>102</v>
      </c>
      <c r="F33" s="199" t="n">
        <f aca="false">41+291</f>
        <v>332</v>
      </c>
      <c r="G33" s="199" t="n">
        <v>15887</v>
      </c>
      <c r="H33" s="199" t="n">
        <v>0</v>
      </c>
      <c r="I33" s="199" t="n">
        <v>5</v>
      </c>
      <c r="J33" s="199" t="n">
        <v>0</v>
      </c>
      <c r="K33" s="199" t="n">
        <f aca="false">L33-SUM(B33:J33)</f>
        <v>5775.198400848</v>
      </c>
      <c r="L33" s="199" t="n">
        <f aca="false">18499+83.873462*48.504</f>
        <v>22567.198400848</v>
      </c>
      <c r="M33" s="199" t="n">
        <v>54.3</v>
      </c>
      <c r="N33" s="199" t="n">
        <v>835.5</v>
      </c>
      <c r="O33" s="199" t="n">
        <f aca="false">M33+N33</f>
        <v>889.8</v>
      </c>
      <c r="P33" s="803" t="n">
        <v>232.6</v>
      </c>
      <c r="Q33" s="803" t="n">
        <v>169.4</v>
      </c>
      <c r="R33" s="803" t="n">
        <v>667.6</v>
      </c>
      <c r="S33" s="803" t="n">
        <v>1532.2</v>
      </c>
      <c r="T33" s="803" t="n">
        <v>200.5</v>
      </c>
      <c r="U33" s="789" t="s">
        <v>218</v>
      </c>
      <c r="V33" s="788" t="s">
        <v>218</v>
      </c>
      <c r="W33" s="803" t="n">
        <v>204.2</v>
      </c>
      <c r="X33" s="803" t="n">
        <v>527.1</v>
      </c>
      <c r="Y33" s="803" t="n">
        <v>497.8</v>
      </c>
      <c r="Z33" s="803" t="n">
        <v>5221.1</v>
      </c>
      <c r="AA33" s="803" t="n">
        <v>1415.6</v>
      </c>
      <c r="AB33" s="803" t="n">
        <v>90.3</v>
      </c>
      <c r="AC33" s="803" t="n">
        <v>1251.9</v>
      </c>
      <c r="AD33" s="803" t="n">
        <v>443.9</v>
      </c>
      <c r="AE33" s="803" t="n">
        <v>1563.6</v>
      </c>
      <c r="AF33" s="803" t="n">
        <v>1739</v>
      </c>
      <c r="AG33" s="803" t="n">
        <v>1332.4</v>
      </c>
      <c r="AH33" s="803" t="n">
        <v>3238.5</v>
      </c>
      <c r="AI33" s="803" t="n">
        <v>551.7</v>
      </c>
      <c r="AJ33" s="803" t="n">
        <v>2580</v>
      </c>
      <c r="AK33" s="803" t="n">
        <v>2994</v>
      </c>
      <c r="AL33" s="803" t="n">
        <v>10070.8</v>
      </c>
      <c r="AM33" s="803" t="n">
        <f aca="false">SUM(P33:T33)+SUM(W33:AL33)</f>
        <v>36524.2</v>
      </c>
      <c r="AN33" s="803" t="n">
        <f aca="false">O33+AM33</f>
        <v>37414</v>
      </c>
      <c r="AO33" s="803" t="n">
        <f aca="false">L33-AN33</f>
        <v>-14846.801599152</v>
      </c>
      <c r="AP33" s="789" t="s">
        <v>218</v>
      </c>
    </row>
    <row r="34" s="319" customFormat="true" ht="10.7" hidden="false" customHeight="true" outlineLevel="0" collapsed="false">
      <c r="A34" s="779" t="s">
        <v>219</v>
      </c>
      <c r="B34" s="801" t="n">
        <v>78</v>
      </c>
      <c r="C34" s="801" t="n">
        <v>405</v>
      </c>
      <c r="D34" s="801" t="n">
        <v>3</v>
      </c>
      <c r="E34" s="802" t="n">
        <v>86</v>
      </c>
      <c r="F34" s="801" t="n">
        <v>283</v>
      </c>
      <c r="G34" s="801" t="n">
        <v>15793</v>
      </c>
      <c r="H34" s="801" t="n">
        <v>0</v>
      </c>
      <c r="I34" s="801" t="n">
        <v>1</v>
      </c>
      <c r="J34" s="801" t="n">
        <v>0</v>
      </c>
      <c r="K34" s="801" t="n">
        <f aca="false">L34-SUM(B34:J34)</f>
        <v>6183.7632</v>
      </c>
      <c r="L34" s="801" t="n">
        <f aca="false">18278+54.288*83.9</f>
        <v>22832.7632</v>
      </c>
      <c r="M34" s="801" t="n">
        <v>39</v>
      </c>
      <c r="N34" s="801" t="n">
        <v>621.8</v>
      </c>
      <c r="O34" s="801" t="n">
        <f aca="false">M34+N34</f>
        <v>660.8</v>
      </c>
      <c r="P34" s="802" t="n">
        <v>240.7</v>
      </c>
      <c r="Q34" s="802" t="n">
        <v>173.1</v>
      </c>
      <c r="R34" s="802" t="n">
        <v>141.3</v>
      </c>
      <c r="S34" s="802" t="n">
        <v>903.7</v>
      </c>
      <c r="T34" s="802" t="n">
        <v>155</v>
      </c>
      <c r="U34" s="781" t="s">
        <v>219</v>
      </c>
      <c r="V34" s="779" t="s">
        <v>219</v>
      </c>
      <c r="W34" s="802" t="n">
        <v>836.9</v>
      </c>
      <c r="X34" s="802" t="n">
        <v>444.2</v>
      </c>
      <c r="Y34" s="802" t="n">
        <v>0</v>
      </c>
      <c r="Z34" s="802" t="n">
        <v>3171.4</v>
      </c>
      <c r="AA34" s="802" t="n">
        <v>1476.2</v>
      </c>
      <c r="AB34" s="802" t="n">
        <v>85.6</v>
      </c>
      <c r="AC34" s="802" t="n">
        <v>1104</v>
      </c>
      <c r="AD34" s="802" t="n">
        <v>518.7</v>
      </c>
      <c r="AE34" s="802" t="n">
        <v>1601</v>
      </c>
      <c r="AF34" s="802" t="n">
        <v>1806</v>
      </c>
      <c r="AG34" s="802" t="n">
        <v>1547.1</v>
      </c>
      <c r="AH34" s="802" t="n">
        <v>3413.4</v>
      </c>
      <c r="AI34" s="802" t="n">
        <v>594.5</v>
      </c>
      <c r="AJ34" s="802" t="n">
        <v>2971.1</v>
      </c>
      <c r="AK34" s="802" t="n">
        <v>4317.6</v>
      </c>
      <c r="AL34" s="802" t="n">
        <v>11661</v>
      </c>
      <c r="AM34" s="802" t="n">
        <f aca="false">SUM(P34:T34)+SUM(W34:AL34)</f>
        <v>37162.5</v>
      </c>
      <c r="AN34" s="802" t="n">
        <f aca="false">O34+AM34</f>
        <v>37823.3</v>
      </c>
      <c r="AO34" s="802" t="n">
        <f aca="false">L34-AN34</f>
        <v>-14990.5368</v>
      </c>
      <c r="AP34" s="781" t="s">
        <v>219</v>
      </c>
    </row>
    <row r="35" s="367" customFormat="true" ht="10.7" hidden="false" customHeight="true" outlineLevel="0" collapsed="false">
      <c r="A35" s="788" t="s">
        <v>220</v>
      </c>
      <c r="B35" s="199" t="n">
        <v>90</v>
      </c>
      <c r="C35" s="199" t="n">
        <v>508</v>
      </c>
      <c r="D35" s="199" t="n">
        <v>3</v>
      </c>
      <c r="E35" s="803" t="n">
        <v>93</v>
      </c>
      <c r="F35" s="199" t="n">
        <f aca="false">74+322</f>
        <v>396</v>
      </c>
      <c r="G35" s="199" t="n">
        <v>19483</v>
      </c>
      <c r="H35" s="199" t="n">
        <v>0</v>
      </c>
      <c r="I35" s="199" t="n">
        <v>0</v>
      </c>
      <c r="J35" s="199" t="n">
        <v>0</v>
      </c>
      <c r="K35" s="199" t="n">
        <f aca="false">L35-SUM(B35:J35)</f>
        <v>6620.25151822</v>
      </c>
      <c r="L35" s="199" t="n">
        <f aca="false">22605+54.66*83.941667</f>
        <v>27193.25151822</v>
      </c>
      <c r="M35" s="199" t="n">
        <v>75.4</v>
      </c>
      <c r="N35" s="199" t="n">
        <v>1044.6</v>
      </c>
      <c r="O35" s="199" t="n">
        <f aca="false">M35+N35</f>
        <v>1120</v>
      </c>
      <c r="P35" s="803" t="n">
        <v>286.2</v>
      </c>
      <c r="Q35" s="803" t="n">
        <v>200.8</v>
      </c>
      <c r="R35" s="803" t="n">
        <v>459.3</v>
      </c>
      <c r="S35" s="803" t="n">
        <v>1245.2</v>
      </c>
      <c r="T35" s="803" t="n">
        <v>311.9</v>
      </c>
      <c r="U35" s="789" t="s">
        <v>220</v>
      </c>
      <c r="V35" s="788" t="s">
        <v>220</v>
      </c>
      <c r="W35" s="803" t="n">
        <v>643.4</v>
      </c>
      <c r="X35" s="803" t="n">
        <v>531.9</v>
      </c>
      <c r="Y35" s="803" t="n">
        <v>416.3</v>
      </c>
      <c r="Z35" s="803" t="n">
        <v>4239.4</v>
      </c>
      <c r="AA35" s="803" t="n">
        <v>1825.2</v>
      </c>
      <c r="AB35" s="803" t="n">
        <v>115.5</v>
      </c>
      <c r="AC35" s="803" t="n">
        <v>1809.1</v>
      </c>
      <c r="AD35" s="803" t="n">
        <v>530.3</v>
      </c>
      <c r="AE35" s="803" t="n">
        <v>1690.4</v>
      </c>
      <c r="AF35" s="803" t="n">
        <v>2347.7</v>
      </c>
      <c r="AG35" s="803" t="n">
        <v>1651.3</v>
      </c>
      <c r="AH35" s="803" t="n">
        <v>4370.9</v>
      </c>
      <c r="AI35" s="803" t="n">
        <v>614.9</v>
      </c>
      <c r="AJ35" s="803" t="n">
        <v>3141.3</v>
      </c>
      <c r="AK35" s="803" t="n">
        <v>5289.8</v>
      </c>
      <c r="AL35" s="803" t="n">
        <v>13689.6</v>
      </c>
      <c r="AM35" s="803" t="n">
        <f aca="false">SUM(P35:T35)+SUM(W35:AL35)</f>
        <v>45410.4</v>
      </c>
      <c r="AN35" s="803" t="n">
        <f aca="false">O35+AM35</f>
        <v>46530.4</v>
      </c>
      <c r="AO35" s="803" t="n">
        <f aca="false">L35-AN35</f>
        <v>-19337.14848178</v>
      </c>
      <c r="AP35" s="789" t="s">
        <v>220</v>
      </c>
    </row>
    <row r="36" s="367" customFormat="true" ht="10.7" hidden="false" customHeight="true" outlineLevel="0" collapsed="false">
      <c r="A36" s="779" t="s">
        <v>221</v>
      </c>
      <c r="B36" s="801" t="n">
        <v>76</v>
      </c>
      <c r="C36" s="801" t="n">
        <v>402</v>
      </c>
      <c r="D36" s="801" t="n">
        <v>1</v>
      </c>
      <c r="E36" s="802" t="n">
        <v>66</v>
      </c>
      <c r="F36" s="801" t="n">
        <f aca="false">70+213</f>
        <v>283</v>
      </c>
      <c r="G36" s="801" t="n">
        <v>16942</v>
      </c>
      <c r="H36" s="801" t="n">
        <v>0</v>
      </c>
      <c r="I36" s="801" t="n">
        <v>0</v>
      </c>
      <c r="J36" s="801" t="n">
        <v>0</v>
      </c>
      <c r="K36" s="801" t="n">
        <f aca="false">L36-SUM(B36:J36)</f>
        <v>5470.65126513</v>
      </c>
      <c r="L36" s="801" t="n">
        <f aca="false">19426+45.39*84.041667</f>
        <v>23240.65126513</v>
      </c>
      <c r="M36" s="801" t="n">
        <v>74.1</v>
      </c>
      <c r="N36" s="801" t="n">
        <v>800.5</v>
      </c>
      <c r="O36" s="801" t="n">
        <f aca="false">M36+N36</f>
        <v>874.6</v>
      </c>
      <c r="P36" s="802" t="n">
        <v>246.2</v>
      </c>
      <c r="Q36" s="802" t="n">
        <v>185.3</v>
      </c>
      <c r="R36" s="802" t="n">
        <v>368.2</v>
      </c>
      <c r="S36" s="802" t="n">
        <v>1006.5</v>
      </c>
      <c r="T36" s="802" t="n">
        <v>242.8</v>
      </c>
      <c r="U36" s="781" t="s">
        <v>221</v>
      </c>
      <c r="V36" s="779" t="s">
        <v>221</v>
      </c>
      <c r="W36" s="802" t="n">
        <v>414.9</v>
      </c>
      <c r="X36" s="802" t="n">
        <v>426.7</v>
      </c>
      <c r="Y36" s="802" t="n">
        <v>1094</v>
      </c>
      <c r="Z36" s="802" t="n">
        <v>2614.3</v>
      </c>
      <c r="AA36" s="802" t="n">
        <v>1303.6</v>
      </c>
      <c r="AB36" s="802" t="n">
        <v>67.1</v>
      </c>
      <c r="AC36" s="802" t="n">
        <v>1277.3</v>
      </c>
      <c r="AD36" s="802" t="n">
        <v>389.8</v>
      </c>
      <c r="AE36" s="802" t="n">
        <v>1323.6</v>
      </c>
      <c r="AF36" s="802" t="n">
        <v>1727.3</v>
      </c>
      <c r="AG36" s="802" t="n">
        <v>1287.9</v>
      </c>
      <c r="AH36" s="802" t="n">
        <v>3352.4</v>
      </c>
      <c r="AI36" s="802" t="n">
        <v>441.7</v>
      </c>
      <c r="AJ36" s="802" t="n">
        <v>2267.5</v>
      </c>
      <c r="AK36" s="802" t="n">
        <v>3615.5</v>
      </c>
      <c r="AL36" s="802" t="n">
        <v>10113.5</v>
      </c>
      <c r="AM36" s="802" t="n">
        <f aca="false">SUM(P36:T36)+SUM(W36:AL36)</f>
        <v>33766.1</v>
      </c>
      <c r="AN36" s="802" t="n">
        <f aca="false">O36+AM36</f>
        <v>34640.7</v>
      </c>
      <c r="AO36" s="802" t="n">
        <f aca="false">L36-AN36</f>
        <v>-11400.04873487</v>
      </c>
      <c r="AP36" s="781" t="s">
        <v>221</v>
      </c>
    </row>
    <row r="37" s="367" customFormat="true" ht="10.7" hidden="false" customHeight="true" outlineLevel="0" collapsed="false">
      <c r="A37" s="788" t="s">
        <v>619</v>
      </c>
      <c r="B37" s="199" t="n">
        <v>106</v>
      </c>
      <c r="C37" s="199" t="n">
        <v>460</v>
      </c>
      <c r="D37" s="199" t="n">
        <v>1</v>
      </c>
      <c r="E37" s="803" t="n">
        <v>115</v>
      </c>
      <c r="F37" s="199" t="n">
        <f aca="false">223+65</f>
        <v>288</v>
      </c>
      <c r="G37" s="199" t="n">
        <v>19970</v>
      </c>
      <c r="H37" s="199" t="n">
        <v>0</v>
      </c>
      <c r="I37" s="199" t="n">
        <v>0</v>
      </c>
      <c r="J37" s="199" t="n">
        <v>0</v>
      </c>
      <c r="K37" s="199" t="n">
        <f aca="false">L37-SUM(B37:J37)</f>
        <v>6223.745594792</v>
      </c>
      <c r="L37" s="199" t="n">
        <f aca="false">22760+52.296*84.208077</f>
        <v>27163.745594792</v>
      </c>
      <c r="M37" s="199" t="n">
        <v>74.1</v>
      </c>
      <c r="N37" s="199" t="n">
        <v>942.5</v>
      </c>
      <c r="O37" s="199" t="n">
        <f aca="false">M37+N37</f>
        <v>1016.6</v>
      </c>
      <c r="P37" s="803" t="n">
        <v>249.7</v>
      </c>
      <c r="Q37" s="803" t="n">
        <v>208</v>
      </c>
      <c r="R37" s="803" t="n">
        <v>708.3</v>
      </c>
      <c r="S37" s="803" t="n">
        <v>1056</v>
      </c>
      <c r="T37" s="803" t="n">
        <v>685.6</v>
      </c>
      <c r="U37" s="789" t="s">
        <v>619</v>
      </c>
      <c r="V37" s="788" t="s">
        <v>222</v>
      </c>
      <c r="W37" s="803" t="n">
        <v>722.2</v>
      </c>
      <c r="X37" s="803" t="n">
        <v>711.1</v>
      </c>
      <c r="Y37" s="803" t="n">
        <v>815.8</v>
      </c>
      <c r="Z37" s="803" t="n">
        <v>4032</v>
      </c>
      <c r="AA37" s="803" t="n">
        <v>1500.8</v>
      </c>
      <c r="AB37" s="803" t="n">
        <v>120.3</v>
      </c>
      <c r="AC37" s="803" t="n">
        <v>1336.8</v>
      </c>
      <c r="AD37" s="803" t="n">
        <v>465.4</v>
      </c>
      <c r="AE37" s="803" t="n">
        <v>1760</v>
      </c>
      <c r="AF37" s="803" t="n">
        <v>2523.6</v>
      </c>
      <c r="AG37" s="803" t="n">
        <v>1469</v>
      </c>
      <c r="AH37" s="803" t="n">
        <v>3400.8</v>
      </c>
      <c r="AI37" s="803" t="n">
        <v>554.5</v>
      </c>
      <c r="AJ37" s="803" t="n">
        <v>3335.3</v>
      </c>
      <c r="AK37" s="803" t="n">
        <v>3521.4</v>
      </c>
      <c r="AL37" s="803" t="n">
        <v>11533</v>
      </c>
      <c r="AM37" s="803" t="n">
        <f aca="false">SUM(P37:T37)+SUM(W37:AL37)</f>
        <v>40709.6</v>
      </c>
      <c r="AN37" s="803" t="n">
        <f aca="false">O37+AM37</f>
        <v>41726.2</v>
      </c>
      <c r="AO37" s="803" t="n">
        <f aca="false">L37-AN37</f>
        <v>-14562.454405208</v>
      </c>
      <c r="AP37" s="789" t="s">
        <v>222</v>
      </c>
    </row>
    <row r="38" s="367" customFormat="true" ht="10.7" hidden="false" customHeight="true" outlineLevel="0" collapsed="false">
      <c r="A38" s="779" t="s">
        <v>223</v>
      </c>
      <c r="B38" s="801" t="n">
        <v>83</v>
      </c>
      <c r="C38" s="801" t="n">
        <v>508</v>
      </c>
      <c r="D38" s="801" t="n">
        <v>3</v>
      </c>
      <c r="E38" s="802" t="n">
        <v>111</v>
      </c>
      <c r="F38" s="801" t="n">
        <f aca="false">58+184</f>
        <v>242</v>
      </c>
      <c r="G38" s="801" t="n">
        <v>18452</v>
      </c>
      <c r="H38" s="801" t="n">
        <v>0</v>
      </c>
      <c r="I38" s="801" t="n">
        <v>0</v>
      </c>
      <c r="J38" s="801" t="n">
        <v>0</v>
      </c>
      <c r="K38" s="801" t="n">
        <f aca="false">L38-SUM(B38:J38)</f>
        <v>5800.903449084</v>
      </c>
      <c r="L38" s="801" t="n">
        <f aca="false">21221+47.182*84.330962</f>
        <v>25199.903449084</v>
      </c>
      <c r="M38" s="801" t="n">
        <v>61.4</v>
      </c>
      <c r="N38" s="801" t="n">
        <v>988.1</v>
      </c>
      <c r="O38" s="801" t="n">
        <f aca="false">M38+N38</f>
        <v>1049.5</v>
      </c>
      <c r="P38" s="802" t="n">
        <v>182</v>
      </c>
      <c r="Q38" s="802" t="n">
        <v>286.9</v>
      </c>
      <c r="R38" s="802" t="n">
        <v>454.7</v>
      </c>
      <c r="S38" s="802" t="n">
        <v>2219.3</v>
      </c>
      <c r="T38" s="802" t="n">
        <v>507.7</v>
      </c>
      <c r="U38" s="781" t="s">
        <v>223</v>
      </c>
      <c r="V38" s="779" t="s">
        <v>223</v>
      </c>
      <c r="W38" s="802" t="n">
        <v>549.8</v>
      </c>
      <c r="X38" s="802" t="n">
        <v>668.7</v>
      </c>
      <c r="Y38" s="802" t="n">
        <v>845.8</v>
      </c>
      <c r="Z38" s="802" t="n">
        <v>4824.7</v>
      </c>
      <c r="AA38" s="802" t="n">
        <v>1725.5</v>
      </c>
      <c r="AB38" s="802" t="n">
        <v>88</v>
      </c>
      <c r="AC38" s="802" t="n">
        <v>325.9</v>
      </c>
      <c r="AD38" s="802" t="n">
        <v>492.9</v>
      </c>
      <c r="AE38" s="802" t="n">
        <v>1817.6</v>
      </c>
      <c r="AF38" s="802" t="n">
        <v>2260.8</v>
      </c>
      <c r="AG38" s="802" t="n">
        <v>1464.6</v>
      </c>
      <c r="AH38" s="802" t="n">
        <v>3764.6</v>
      </c>
      <c r="AI38" s="802" t="n">
        <v>646.4</v>
      </c>
      <c r="AJ38" s="802" t="n">
        <v>3279.9</v>
      </c>
      <c r="AK38" s="802" t="n">
        <v>3043.7</v>
      </c>
      <c r="AL38" s="802" t="n">
        <v>12373</v>
      </c>
      <c r="AM38" s="802" t="n">
        <f aca="false">SUM(P38:T38)+SUM(W38:AL38)</f>
        <v>41822.5</v>
      </c>
      <c r="AN38" s="802" t="n">
        <f aca="false">O38+AM38</f>
        <v>42872</v>
      </c>
      <c r="AO38" s="802" t="n">
        <f aca="false">L38-AN38</f>
        <v>-17672.096550916</v>
      </c>
      <c r="AP38" s="781" t="s">
        <v>223</v>
      </c>
    </row>
    <row r="39" s="367" customFormat="true" ht="10.7" hidden="false" customHeight="true" outlineLevel="0" collapsed="false">
      <c r="A39" s="792" t="s">
        <v>224</v>
      </c>
      <c r="B39" s="199" t="n">
        <v>54</v>
      </c>
      <c r="C39" s="199" t="n">
        <v>544</v>
      </c>
      <c r="D39" s="199" t="n">
        <v>2</v>
      </c>
      <c r="E39" s="803" t="n">
        <v>87</v>
      </c>
      <c r="F39" s="199" t="n">
        <f aca="false">57+176</f>
        <v>233</v>
      </c>
      <c r="G39" s="199" t="n">
        <v>18393</v>
      </c>
      <c r="H39" s="199" t="n">
        <v>0</v>
      </c>
      <c r="I39" s="199" t="n">
        <v>3</v>
      </c>
      <c r="J39" s="199" t="n">
        <v>0</v>
      </c>
      <c r="K39" s="199" t="n">
        <f aca="false">L39-SUM(B39:J39)</f>
        <v>7572.0323279</v>
      </c>
      <c r="L39" s="199" t="n">
        <f aca="false">21339+65.675*84.492308</f>
        <v>26888.0323279</v>
      </c>
      <c r="M39" s="199" t="n">
        <v>54.8</v>
      </c>
      <c r="N39" s="199" t="n">
        <v>715.6</v>
      </c>
      <c r="O39" s="199" t="n">
        <f aca="false">M39+N39</f>
        <v>770.4</v>
      </c>
      <c r="P39" s="803" t="n">
        <v>323.2</v>
      </c>
      <c r="Q39" s="803" t="n">
        <v>279</v>
      </c>
      <c r="R39" s="803" t="n">
        <v>820.1</v>
      </c>
      <c r="S39" s="803" t="n">
        <v>1204.9</v>
      </c>
      <c r="T39" s="803" t="n">
        <v>343.8</v>
      </c>
      <c r="U39" s="789" t="s">
        <v>224</v>
      </c>
      <c r="V39" s="788" t="s">
        <v>224</v>
      </c>
      <c r="W39" s="803" t="n">
        <v>220.2</v>
      </c>
      <c r="X39" s="803" t="n">
        <v>574.2</v>
      </c>
      <c r="Y39" s="803" t="n">
        <v>0</v>
      </c>
      <c r="Z39" s="803" t="n">
        <v>5097.9</v>
      </c>
      <c r="AA39" s="803" t="n">
        <v>1719</v>
      </c>
      <c r="AB39" s="803" t="n">
        <v>108.2</v>
      </c>
      <c r="AC39" s="803" t="n">
        <v>253.6</v>
      </c>
      <c r="AD39" s="803" t="n">
        <v>580.5</v>
      </c>
      <c r="AE39" s="803" t="n">
        <v>1967.4</v>
      </c>
      <c r="AF39" s="803" t="n">
        <v>1770.2</v>
      </c>
      <c r="AG39" s="803" t="n">
        <v>1458.9</v>
      </c>
      <c r="AH39" s="803" t="n">
        <v>3577.7</v>
      </c>
      <c r="AI39" s="803" t="n">
        <v>655.7</v>
      </c>
      <c r="AJ39" s="803" t="n">
        <v>4290.1</v>
      </c>
      <c r="AK39" s="803" t="n">
        <v>3570.1</v>
      </c>
      <c r="AL39" s="803" t="n">
        <v>12507.2</v>
      </c>
      <c r="AM39" s="803" t="n">
        <f aca="false">SUM(P39:T39)+SUM(W39:AL39)</f>
        <v>41321.9</v>
      </c>
      <c r="AN39" s="803" t="n">
        <f aca="false">O39+AM39</f>
        <v>42092.3</v>
      </c>
      <c r="AO39" s="803" t="n">
        <f aca="false">L39-AN39</f>
        <v>-15204.2676721</v>
      </c>
      <c r="AP39" s="789" t="s">
        <v>224</v>
      </c>
    </row>
    <row r="40" s="367" customFormat="true" ht="9" hidden="false" customHeight="true" outlineLevel="0" collapsed="false">
      <c r="A40" s="807" t="s">
        <v>225</v>
      </c>
      <c r="B40" s="801" t="n">
        <v>40</v>
      </c>
      <c r="C40" s="801" t="n">
        <v>439</v>
      </c>
      <c r="D40" s="801" t="n">
        <v>2</v>
      </c>
      <c r="E40" s="802" t="n">
        <v>83</v>
      </c>
      <c r="F40" s="801" t="n">
        <f aca="false">45+163</f>
        <v>208</v>
      </c>
      <c r="G40" s="801" t="n">
        <v>17131</v>
      </c>
      <c r="H40" s="801" t="n">
        <v>82</v>
      </c>
      <c r="I40" s="801" t="n">
        <v>0</v>
      </c>
      <c r="J40" s="801" t="n">
        <v>0</v>
      </c>
      <c r="K40" s="801" t="n">
        <f aca="false">L40-SUM(B40:J40)</f>
        <v>5416.4385</v>
      </c>
      <c r="L40" s="801" t="n">
        <f aca="false">19875+41.733*84.5</f>
        <v>23401.4385</v>
      </c>
      <c r="M40" s="801" t="n">
        <v>27.2</v>
      </c>
      <c r="N40" s="801" t="n">
        <v>610.9</v>
      </c>
      <c r="O40" s="801" t="n">
        <f aca="false">M40+N40</f>
        <v>638.1</v>
      </c>
      <c r="P40" s="802" t="n">
        <v>239.2</v>
      </c>
      <c r="Q40" s="802" t="n">
        <v>212.2</v>
      </c>
      <c r="R40" s="802" t="n">
        <v>495.7</v>
      </c>
      <c r="S40" s="802" t="n">
        <v>518.9</v>
      </c>
      <c r="T40" s="802" t="n">
        <v>222.3</v>
      </c>
      <c r="U40" s="781" t="s">
        <v>225</v>
      </c>
      <c r="V40" s="779" t="s">
        <v>225</v>
      </c>
      <c r="W40" s="802" t="n">
        <v>361.7</v>
      </c>
      <c r="X40" s="802" t="n">
        <v>473.2</v>
      </c>
      <c r="Y40" s="802" t="n">
        <v>1307.5</v>
      </c>
      <c r="Z40" s="802" t="n">
        <v>4404</v>
      </c>
      <c r="AA40" s="802" t="n">
        <v>1341.9</v>
      </c>
      <c r="AB40" s="802" t="n">
        <v>110.8</v>
      </c>
      <c r="AC40" s="802" t="n">
        <v>202.9</v>
      </c>
      <c r="AD40" s="802" t="n">
        <v>449.2</v>
      </c>
      <c r="AE40" s="802" t="n">
        <v>1650.0944</v>
      </c>
      <c r="AF40" s="802" t="n">
        <v>1940.6</v>
      </c>
      <c r="AG40" s="802" t="n">
        <v>1192.3</v>
      </c>
      <c r="AH40" s="802" t="n">
        <v>2685.9</v>
      </c>
      <c r="AI40" s="802" t="n">
        <v>492.9</v>
      </c>
      <c r="AJ40" s="802" t="n">
        <v>3086.8</v>
      </c>
      <c r="AK40" s="802" t="n">
        <v>2863.8</v>
      </c>
      <c r="AL40" s="802" t="n">
        <v>9194.3056</v>
      </c>
      <c r="AM40" s="802" t="n">
        <f aca="false">SUM(P40:T40)+SUM(W40:AL40)</f>
        <v>33446.2</v>
      </c>
      <c r="AN40" s="802" t="n">
        <f aca="false">O40+AM40</f>
        <v>34084.3</v>
      </c>
      <c r="AO40" s="802" t="n">
        <f aca="false">L40-AN40</f>
        <v>-10682.8615</v>
      </c>
      <c r="AP40" s="781" t="s">
        <v>225</v>
      </c>
    </row>
    <row r="41" s="367" customFormat="true" ht="10.7" hidden="false" customHeight="true" outlineLevel="0" collapsed="false">
      <c r="A41" s="223" t="s">
        <v>283</v>
      </c>
      <c r="B41" s="799" t="n">
        <f aca="false">SUM(B42:B53)</f>
        <v>1041</v>
      </c>
      <c r="C41" s="799" t="n">
        <f aca="false">SUM(C42:C53)</f>
        <v>6148</v>
      </c>
      <c r="D41" s="799" t="n">
        <f aca="false">SUM(D42:D53)</f>
        <v>21</v>
      </c>
      <c r="E41" s="799" t="n">
        <f aca="false">SUM(E42:E53)</f>
        <v>751</v>
      </c>
      <c r="F41" s="799" t="n">
        <f aca="false">SUM(F42:F53)</f>
        <v>3445</v>
      </c>
      <c r="G41" s="799" t="n">
        <f aca="false">SUM(G42:G53)</f>
        <v>190740</v>
      </c>
      <c r="H41" s="799" t="n">
        <f aca="false">SUM(H42:H53)</f>
        <v>0</v>
      </c>
      <c r="I41" s="799" t="n">
        <f aca="false">SUM(I42:I53)</f>
        <v>0</v>
      </c>
      <c r="J41" s="799" t="n">
        <f aca="false">SUM(J42:J53)</f>
        <v>0</v>
      </c>
      <c r="K41" s="799" t="n">
        <f aca="false">SUM(K42:K53)</f>
        <v>63161.98678768</v>
      </c>
      <c r="L41" s="799" t="n">
        <f aca="false">SUM(L42:L53)</f>
        <v>265307.98678768</v>
      </c>
      <c r="M41" s="799" t="n">
        <f aca="false">SUM(M42:M53)</f>
        <v>128.4539</v>
      </c>
      <c r="N41" s="799" t="n">
        <f aca="false">SUM(N42:N53)</f>
        <v>12627.9982</v>
      </c>
      <c r="O41" s="799" t="n">
        <f aca="false">SUM(O42:O53)</f>
        <v>12756.4521</v>
      </c>
      <c r="P41" s="799" t="n">
        <f aca="false">SUM(P42:P53)</f>
        <v>2932.868</v>
      </c>
      <c r="Q41" s="799" t="n">
        <f aca="false">SUM(Q42:Q53)</f>
        <v>2773.0824</v>
      </c>
      <c r="R41" s="799" t="n">
        <f aca="false">SUM(R42:R53)</f>
        <v>8208.4981</v>
      </c>
      <c r="S41" s="799" t="n">
        <f aca="false">SUM(S42:S53)</f>
        <v>12284.1781</v>
      </c>
      <c r="T41" s="799" t="n">
        <f aca="false">SUM(T42:T53)</f>
        <v>4998.1289</v>
      </c>
      <c r="U41" s="366" t="s">
        <v>283</v>
      </c>
      <c r="V41" s="223" t="s">
        <v>283</v>
      </c>
      <c r="W41" s="799" t="n">
        <f aca="false">SUM(W42:W53)</f>
        <v>5341.1968</v>
      </c>
      <c r="X41" s="799" t="n">
        <f aca="false">SUM(X42:X53)</f>
        <v>5596.1562</v>
      </c>
      <c r="Y41" s="799" t="n">
        <f aca="false">SUM(Y42:Y53)</f>
        <v>2292</v>
      </c>
      <c r="Z41" s="799" t="n">
        <f aca="false">SUM(Z42:Z53)</f>
        <v>42438.8092</v>
      </c>
      <c r="AA41" s="799" t="n">
        <f aca="false">SUM(AA42:AA53)</f>
        <v>18733.4734</v>
      </c>
      <c r="AB41" s="799" t="n">
        <f aca="false">SUM(AB42:AB53)</f>
        <v>1271.8957</v>
      </c>
      <c r="AC41" s="799" t="n">
        <f aca="false">SUM(AC42:AC53)</f>
        <v>8080.4802</v>
      </c>
      <c r="AD41" s="799" t="n">
        <f aca="false">SUM(AD42:AD53)</f>
        <v>5218.061</v>
      </c>
      <c r="AE41" s="799" t="n">
        <f aca="false">SUM(AE42:AE53)</f>
        <v>19705.7605</v>
      </c>
      <c r="AF41" s="799" t="n">
        <f aca="false">SUM(AF42:AF53)</f>
        <v>22376.1663</v>
      </c>
      <c r="AG41" s="799" t="n">
        <f aca="false">SUM(AG42:AG53)</f>
        <v>14202.8307</v>
      </c>
      <c r="AH41" s="799" t="n">
        <f aca="false">SUM(AH42:AH53)</f>
        <v>36070.0149</v>
      </c>
      <c r="AI41" s="799" t="n">
        <f aca="false">SUM(AI42:AI53)</f>
        <v>6120.8277</v>
      </c>
      <c r="AJ41" s="799" t="n">
        <f aca="false">SUM(AJ42:AJ53)</f>
        <v>34009.7637</v>
      </c>
      <c r="AK41" s="799" t="n">
        <f aca="false">SUM(AK42:AK53)</f>
        <v>31545.6805</v>
      </c>
      <c r="AL41" s="799" t="n">
        <f aca="false">SUM(AL42:AL53)</f>
        <v>114358.9509</v>
      </c>
      <c r="AM41" s="799" t="n">
        <f aca="false">SUM(AM42:AM53)</f>
        <v>398558.8232</v>
      </c>
      <c r="AN41" s="799" t="n">
        <f aca="false">SUM(AN42:AN53)</f>
        <v>411315.2753</v>
      </c>
      <c r="AO41" s="799" t="n">
        <f aca="false">SUM(AO42:AO53)</f>
        <v>-146007.28851232</v>
      </c>
      <c r="AP41" s="366" t="s">
        <v>283</v>
      </c>
    </row>
    <row r="42" s="367" customFormat="true" ht="10.7" hidden="false" customHeight="true" outlineLevel="0" collapsed="false">
      <c r="A42" s="808" t="s">
        <v>214</v>
      </c>
      <c r="B42" s="801" t="n">
        <v>49</v>
      </c>
      <c r="C42" s="801" t="n">
        <v>455</v>
      </c>
      <c r="D42" s="801" t="n">
        <v>0</v>
      </c>
      <c r="E42" s="801" t="n">
        <v>73</v>
      </c>
      <c r="F42" s="801" t="n">
        <f aca="false">54+196</f>
        <v>250</v>
      </c>
      <c r="G42" s="801" t="n">
        <v>19862</v>
      </c>
      <c r="H42" s="801" t="n">
        <v>0</v>
      </c>
      <c r="I42" s="801" t="n">
        <v>0</v>
      </c>
      <c r="J42" s="801" t="n">
        <v>0</v>
      </c>
      <c r="K42" s="801" t="n">
        <f aca="false">L42-SUM(B42:J42)</f>
        <v>7293.2426631</v>
      </c>
      <c r="L42" s="801" t="n">
        <f aca="false">22881+60.37*84.49963</f>
        <v>27982.2426631</v>
      </c>
      <c r="M42" s="801" t="n">
        <v>22.5</v>
      </c>
      <c r="N42" s="801" t="n">
        <v>789.7</v>
      </c>
      <c r="O42" s="801" t="n">
        <f aca="false">M42+N42</f>
        <v>812.2</v>
      </c>
      <c r="P42" s="802" t="n">
        <v>196.3</v>
      </c>
      <c r="Q42" s="802" t="n">
        <v>309.5</v>
      </c>
      <c r="R42" s="802" t="n">
        <v>451.3</v>
      </c>
      <c r="S42" s="802" t="n">
        <v>622.9</v>
      </c>
      <c r="T42" s="802" t="n">
        <v>534.7</v>
      </c>
      <c r="U42" s="365" t="s">
        <v>214</v>
      </c>
      <c r="V42" s="215" t="s">
        <v>214</v>
      </c>
      <c r="W42" s="802" t="n">
        <v>382</v>
      </c>
      <c r="X42" s="802" t="n">
        <v>534</v>
      </c>
      <c r="Y42" s="802" t="n">
        <v>0</v>
      </c>
      <c r="Z42" s="802" t="n">
        <v>4149</v>
      </c>
      <c r="AA42" s="802" t="n">
        <v>1840</v>
      </c>
      <c r="AB42" s="802" t="n">
        <v>115.3</v>
      </c>
      <c r="AC42" s="802" t="n">
        <v>261.8</v>
      </c>
      <c r="AD42" s="802" t="n">
        <v>518.9</v>
      </c>
      <c r="AE42" s="802" t="n">
        <v>1961.9</v>
      </c>
      <c r="AF42" s="802" t="n">
        <v>2088.6</v>
      </c>
      <c r="AG42" s="802" t="n">
        <v>1460.3</v>
      </c>
      <c r="AH42" s="802" t="n">
        <v>3514.6</v>
      </c>
      <c r="AI42" s="802" t="n">
        <v>614.6</v>
      </c>
      <c r="AJ42" s="802" t="n">
        <v>3618.9</v>
      </c>
      <c r="AK42" s="802" t="n">
        <v>3941.1</v>
      </c>
      <c r="AL42" s="802" t="n">
        <v>10367.9</v>
      </c>
      <c r="AM42" s="802" t="n">
        <f aca="false">SUM(P42:T42)+SUM(W42:AL42)</f>
        <v>37483.6</v>
      </c>
      <c r="AN42" s="802" t="n">
        <f aca="false">O42+AM42</f>
        <v>38295.8</v>
      </c>
      <c r="AO42" s="802" t="n">
        <f aca="false">L42-AN42</f>
        <v>-10313.5573369</v>
      </c>
      <c r="AP42" s="365" t="s">
        <v>214</v>
      </c>
    </row>
    <row r="43" s="367" customFormat="true" ht="10.7" hidden="false" customHeight="true" outlineLevel="0" collapsed="false">
      <c r="A43" s="809" t="s">
        <v>618</v>
      </c>
      <c r="B43" s="199" t="n">
        <v>49</v>
      </c>
      <c r="C43" s="199" t="n">
        <v>445</v>
      </c>
      <c r="D43" s="199" t="n">
        <v>1</v>
      </c>
      <c r="E43" s="199" t="n">
        <v>66</v>
      </c>
      <c r="F43" s="199" t="n">
        <f aca="false">41+220</f>
        <v>261</v>
      </c>
      <c r="G43" s="199" t="n">
        <v>16539</v>
      </c>
      <c r="H43" s="199" t="n">
        <v>0</v>
      </c>
      <c r="I43" s="199" t="n">
        <v>0</v>
      </c>
      <c r="J43" s="199" t="n">
        <v>0</v>
      </c>
      <c r="K43" s="199" t="n">
        <f aca="false">L43-SUM(B43:J43)</f>
        <v>4931.405</v>
      </c>
      <c r="L43" s="199" t="n">
        <f aca="false">19209+36.49*84.5</f>
        <v>22292.405</v>
      </c>
      <c r="M43" s="199" t="n">
        <v>2.2</v>
      </c>
      <c r="N43" s="199" t="n">
        <v>676.1</v>
      </c>
      <c r="O43" s="810" t="n">
        <f aca="false">M43+N43</f>
        <v>678.3</v>
      </c>
      <c r="P43" s="803" t="n">
        <v>204.9</v>
      </c>
      <c r="Q43" s="803" t="n">
        <v>247.1</v>
      </c>
      <c r="R43" s="803" t="n">
        <v>645.4</v>
      </c>
      <c r="S43" s="803" t="n">
        <v>877.5</v>
      </c>
      <c r="T43" s="803" t="n">
        <v>191.1</v>
      </c>
      <c r="U43" s="364" t="s">
        <v>618</v>
      </c>
      <c r="V43" s="207" t="s">
        <v>215</v>
      </c>
      <c r="W43" s="803" t="n">
        <v>281.3</v>
      </c>
      <c r="X43" s="803" t="n">
        <v>365.4</v>
      </c>
      <c r="Y43" s="803" t="n">
        <v>389.5</v>
      </c>
      <c r="Z43" s="803" t="n">
        <v>3882.3</v>
      </c>
      <c r="AA43" s="803" t="n">
        <v>1381.7</v>
      </c>
      <c r="AB43" s="803" t="n">
        <v>82</v>
      </c>
      <c r="AC43" s="803" t="n">
        <v>661.4</v>
      </c>
      <c r="AD43" s="803" t="n">
        <v>450</v>
      </c>
      <c r="AE43" s="803" t="n">
        <v>1620.6</v>
      </c>
      <c r="AF43" s="803" t="n">
        <v>1939.6</v>
      </c>
      <c r="AG43" s="803" t="n">
        <v>1229.5</v>
      </c>
      <c r="AH43" s="803" t="n">
        <v>2931</v>
      </c>
      <c r="AI43" s="803" t="n">
        <v>508.5</v>
      </c>
      <c r="AJ43" s="803" t="n">
        <v>2820.7</v>
      </c>
      <c r="AK43" s="803" t="n">
        <v>2570.7</v>
      </c>
      <c r="AL43" s="803" t="n">
        <v>8872</v>
      </c>
      <c r="AM43" s="803" t="n">
        <f aca="false">SUM(P43:T43)+SUM(W43:AL43)</f>
        <v>32152.2</v>
      </c>
      <c r="AN43" s="803" t="n">
        <f aca="false">O43+AM43</f>
        <v>32830.5</v>
      </c>
      <c r="AO43" s="803" t="n">
        <f aca="false">L43-AN43</f>
        <v>-10538.095</v>
      </c>
      <c r="AP43" s="364" t="s">
        <v>215</v>
      </c>
    </row>
    <row r="44" s="367" customFormat="true" ht="10.7" hidden="false" customHeight="true" outlineLevel="0" collapsed="false">
      <c r="A44" s="808" t="s">
        <v>216</v>
      </c>
      <c r="B44" s="801" t="n">
        <v>99</v>
      </c>
      <c r="C44" s="801" t="n">
        <v>563</v>
      </c>
      <c r="D44" s="801" t="n">
        <v>1</v>
      </c>
      <c r="E44" s="801" t="n">
        <v>71</v>
      </c>
      <c r="F44" s="801" t="n">
        <f aca="false">54+288</f>
        <v>342</v>
      </c>
      <c r="G44" s="801" t="n">
        <v>18866</v>
      </c>
      <c r="H44" s="801" t="n">
        <v>0</v>
      </c>
      <c r="I44" s="801" t="n">
        <v>0</v>
      </c>
      <c r="J44" s="801" t="n">
        <v>0</v>
      </c>
      <c r="K44" s="801" t="n">
        <f aca="false">L44-SUM(B44:J44)</f>
        <v>6078.17</v>
      </c>
      <c r="L44" s="801" t="n">
        <f aca="false">22145+45.86*84.5</f>
        <v>26020.17</v>
      </c>
      <c r="M44" s="801" t="n">
        <v>5.2</v>
      </c>
      <c r="N44" s="801" t="n">
        <v>660</v>
      </c>
      <c r="O44" s="801" t="n">
        <f aca="false">M44+N44</f>
        <v>665.2</v>
      </c>
      <c r="P44" s="802" t="n">
        <v>213.3</v>
      </c>
      <c r="Q44" s="802" t="n">
        <v>198.2</v>
      </c>
      <c r="R44" s="802" t="n">
        <v>257.6</v>
      </c>
      <c r="S44" s="802" t="n">
        <v>581.2</v>
      </c>
      <c r="T44" s="802" t="n">
        <v>200.6</v>
      </c>
      <c r="U44" s="365" t="s">
        <v>216</v>
      </c>
      <c r="V44" s="215" t="s">
        <v>216</v>
      </c>
      <c r="W44" s="802" t="n">
        <v>274.4</v>
      </c>
      <c r="X44" s="802" t="n">
        <v>512</v>
      </c>
      <c r="Y44" s="802" t="n">
        <v>381.6</v>
      </c>
      <c r="Z44" s="802" t="n">
        <v>4156.6</v>
      </c>
      <c r="AA44" s="802" t="n">
        <v>1808</v>
      </c>
      <c r="AB44" s="802" t="n">
        <v>146.4</v>
      </c>
      <c r="AC44" s="802" t="n">
        <v>534.6</v>
      </c>
      <c r="AD44" s="802" t="n">
        <v>489.9</v>
      </c>
      <c r="AE44" s="802" t="n">
        <v>1797.6</v>
      </c>
      <c r="AF44" s="802" t="n">
        <v>2234.1</v>
      </c>
      <c r="AG44" s="802" t="n">
        <v>1271.2</v>
      </c>
      <c r="AH44" s="802" t="n">
        <v>3398.9</v>
      </c>
      <c r="AI44" s="802" t="n">
        <v>547.6</v>
      </c>
      <c r="AJ44" s="802" t="n">
        <v>3005.1</v>
      </c>
      <c r="AK44" s="802" t="n">
        <v>2989.2</v>
      </c>
      <c r="AL44" s="802" t="n">
        <v>10018.5</v>
      </c>
      <c r="AM44" s="802" t="n">
        <f aca="false">SUM(P44:T44)+SUM(W44:AL44)</f>
        <v>35016.6</v>
      </c>
      <c r="AN44" s="802" t="n">
        <f aca="false">O44+AM44</f>
        <v>35681.8</v>
      </c>
      <c r="AO44" s="802" t="n">
        <f aca="false">L44-AN44</f>
        <v>-9661.63</v>
      </c>
      <c r="AP44" s="365" t="s">
        <v>216</v>
      </c>
    </row>
    <row r="45" s="367" customFormat="true" ht="10.7" hidden="false" customHeight="true" outlineLevel="0" collapsed="false">
      <c r="A45" s="809" t="s">
        <v>217</v>
      </c>
      <c r="B45" s="199" t="n">
        <v>112</v>
      </c>
      <c r="C45" s="199" t="n">
        <v>622</v>
      </c>
      <c r="D45" s="199" t="n">
        <v>2</v>
      </c>
      <c r="E45" s="199" t="n">
        <v>75</v>
      </c>
      <c r="F45" s="199" t="n">
        <f aca="false">62+295</f>
        <v>357</v>
      </c>
      <c r="G45" s="199" t="n">
        <v>18627</v>
      </c>
      <c r="H45" s="199" t="n">
        <v>0</v>
      </c>
      <c r="I45" s="199" t="n">
        <v>0</v>
      </c>
      <c r="J45" s="199" t="n">
        <v>0</v>
      </c>
      <c r="K45" s="199" t="n">
        <f aca="false">L45-SUM(B45:J45)</f>
        <v>5802.84993458</v>
      </c>
      <c r="L45" s="199" t="n">
        <f aca="false">21765+45.268*84.670185</f>
        <v>25597.84993458</v>
      </c>
      <c r="M45" s="199" t="n">
        <v>13.7</v>
      </c>
      <c r="N45" s="199" t="n">
        <v>1717.9649</v>
      </c>
      <c r="O45" s="199" t="n">
        <f aca="false">M45+N45</f>
        <v>1731.6649</v>
      </c>
      <c r="P45" s="803" t="n">
        <v>341.7003</v>
      </c>
      <c r="Q45" s="803" t="n">
        <v>195.6045</v>
      </c>
      <c r="R45" s="803" t="n">
        <v>707.9389</v>
      </c>
      <c r="S45" s="803" t="n">
        <v>982.4408</v>
      </c>
      <c r="T45" s="803" t="n">
        <v>179.4677</v>
      </c>
      <c r="U45" s="364" t="s">
        <v>217</v>
      </c>
      <c r="V45" s="207" t="s">
        <v>217</v>
      </c>
      <c r="W45" s="803" t="n">
        <v>404.098</v>
      </c>
      <c r="X45" s="803" t="n">
        <v>581.7267</v>
      </c>
      <c r="Y45" s="803" t="n">
        <v>407.4</v>
      </c>
      <c r="Z45" s="803" t="n">
        <v>4838.9959</v>
      </c>
      <c r="AA45" s="803" t="n">
        <v>1701.6715</v>
      </c>
      <c r="AB45" s="803" t="n">
        <v>139.4025</v>
      </c>
      <c r="AC45" s="803" t="n">
        <v>1100.1325</v>
      </c>
      <c r="AD45" s="803" t="n">
        <v>512.1192</v>
      </c>
      <c r="AE45" s="803" t="n">
        <v>1849.9455</v>
      </c>
      <c r="AF45" s="803" t="n">
        <v>1704.9942</v>
      </c>
      <c r="AG45" s="803" t="n">
        <v>1288.8682</v>
      </c>
      <c r="AH45" s="803" t="n">
        <v>3199.867</v>
      </c>
      <c r="AI45" s="803" t="n">
        <v>550.7475</v>
      </c>
      <c r="AJ45" s="803" t="n">
        <v>3570.1766</v>
      </c>
      <c r="AK45" s="803" t="n">
        <v>3923.6674</v>
      </c>
      <c r="AL45" s="803" t="n">
        <v>12677.6584</v>
      </c>
      <c r="AM45" s="803" t="n">
        <f aca="false">SUM(P45:T45)+SUM(W45:AL45)</f>
        <v>40858.6233</v>
      </c>
      <c r="AN45" s="803" t="n">
        <f aca="false">O45+AM45</f>
        <v>42590.2882</v>
      </c>
      <c r="AO45" s="803" t="n">
        <f aca="false">L45-AN45</f>
        <v>-16992.43826542</v>
      </c>
      <c r="AP45" s="364" t="s">
        <v>217</v>
      </c>
    </row>
    <row r="46" s="367" customFormat="true" ht="10.7" hidden="false" customHeight="true" outlineLevel="0" collapsed="false">
      <c r="A46" s="808" t="s">
        <v>218</v>
      </c>
      <c r="B46" s="801" t="n">
        <v>137</v>
      </c>
      <c r="C46" s="801" t="n">
        <v>570</v>
      </c>
      <c r="D46" s="801" t="n">
        <v>3</v>
      </c>
      <c r="E46" s="801" t="n">
        <v>80</v>
      </c>
      <c r="F46" s="801" t="n">
        <f aca="false">63+242</f>
        <v>305</v>
      </c>
      <c r="G46" s="801" t="n">
        <v>16346</v>
      </c>
      <c r="H46" s="801" t="n">
        <v>0</v>
      </c>
      <c r="I46" s="801" t="n">
        <v>0</v>
      </c>
      <c r="J46" s="801" t="n">
        <v>0</v>
      </c>
      <c r="K46" s="801" t="n">
        <f aca="false">L46-SUM(B46:J46)</f>
        <v>5835.352442</v>
      </c>
      <c r="L46" s="801" t="n">
        <f aca="false">19166+48.482*84.781</f>
        <v>23276.352442</v>
      </c>
      <c r="M46" s="801" t="n">
        <v>20.8476</v>
      </c>
      <c r="N46" s="801" t="n">
        <v>907.8204</v>
      </c>
      <c r="O46" s="801" t="n">
        <f aca="false">M46+N46</f>
        <v>928.668</v>
      </c>
      <c r="P46" s="802" t="n">
        <v>268.3627</v>
      </c>
      <c r="Q46" s="802" t="n">
        <v>192.6004</v>
      </c>
      <c r="R46" s="802" t="n">
        <v>431.4324</v>
      </c>
      <c r="S46" s="802" t="n">
        <v>842.0902</v>
      </c>
      <c r="T46" s="802" t="n">
        <v>305.512</v>
      </c>
      <c r="U46" s="365" t="s">
        <v>218</v>
      </c>
      <c r="V46" s="215" t="s">
        <v>218</v>
      </c>
      <c r="W46" s="802" t="n">
        <v>795.3969</v>
      </c>
      <c r="X46" s="802" t="n">
        <v>374.6372</v>
      </c>
      <c r="Y46" s="802" t="n">
        <v>388.1</v>
      </c>
      <c r="Z46" s="802" t="n">
        <v>3467.9028</v>
      </c>
      <c r="AA46" s="802" t="n">
        <v>1588.0739</v>
      </c>
      <c r="AB46" s="802" t="n">
        <v>96.8263</v>
      </c>
      <c r="AC46" s="802" t="n">
        <v>881.6252</v>
      </c>
      <c r="AD46" s="802" t="n">
        <v>435.7364</v>
      </c>
      <c r="AE46" s="802" t="n">
        <v>1640.618</v>
      </c>
      <c r="AF46" s="802" t="n">
        <v>1404.656</v>
      </c>
      <c r="AG46" s="802" t="n">
        <v>1085.2395</v>
      </c>
      <c r="AH46" s="802" t="n">
        <v>2926.3955</v>
      </c>
      <c r="AI46" s="802" t="n">
        <v>419.552</v>
      </c>
      <c r="AJ46" s="802" t="n">
        <v>3006.5103</v>
      </c>
      <c r="AK46" s="802" t="n">
        <v>2152.6065</v>
      </c>
      <c r="AL46" s="802" t="n">
        <v>10165.3111</v>
      </c>
      <c r="AM46" s="802" t="n">
        <f aca="false">SUM(P46:T46)+SUM(W46:AL46)</f>
        <v>32869.1853</v>
      </c>
      <c r="AN46" s="802" t="n">
        <f aca="false">O46+AM46</f>
        <v>33797.8533</v>
      </c>
      <c r="AO46" s="802" t="n">
        <f aca="false">L46-AN46</f>
        <v>-10521.500858</v>
      </c>
      <c r="AP46" s="365" t="s">
        <v>218</v>
      </c>
    </row>
    <row r="47" s="367" customFormat="true" ht="10.7" hidden="false" customHeight="true" outlineLevel="0" collapsed="false">
      <c r="A47" s="809" t="s">
        <v>219</v>
      </c>
      <c r="B47" s="803" t="n">
        <v>130</v>
      </c>
      <c r="C47" s="199" t="n">
        <v>624</v>
      </c>
      <c r="D47" s="199" t="n">
        <v>1</v>
      </c>
      <c r="E47" s="199" t="n">
        <v>96</v>
      </c>
      <c r="F47" s="199" t="n">
        <f aca="false">112+301</f>
        <v>413</v>
      </c>
      <c r="G47" s="199" t="n">
        <v>17080</v>
      </c>
      <c r="H47" s="199" t="n">
        <v>0</v>
      </c>
      <c r="I47" s="199" t="n">
        <v>0</v>
      </c>
      <c r="J47" s="199" t="n">
        <v>0</v>
      </c>
      <c r="K47" s="199" t="n">
        <f aca="false">L47-SUM(B47:J47)</f>
        <v>6729.763448</v>
      </c>
      <c r="L47" s="199" t="n">
        <f aca="false">20322+55.97*84.8984</f>
        <v>25073.763448</v>
      </c>
      <c r="M47" s="199" t="n">
        <v>29.1063</v>
      </c>
      <c r="N47" s="199" t="n">
        <v>1511.5315</v>
      </c>
      <c r="O47" s="199" t="n">
        <f aca="false">M47+N47</f>
        <v>1540.6378</v>
      </c>
      <c r="P47" s="803" t="n">
        <v>236.0833</v>
      </c>
      <c r="Q47" s="803" t="n">
        <v>189.4472</v>
      </c>
      <c r="R47" s="803" t="n">
        <v>545.4178</v>
      </c>
      <c r="S47" s="803" t="n">
        <v>1135.6775</v>
      </c>
      <c r="T47" s="803" t="n">
        <v>375.8377</v>
      </c>
      <c r="U47" s="364" t="s">
        <v>219</v>
      </c>
      <c r="V47" s="207" t="s">
        <v>219</v>
      </c>
      <c r="W47" s="803" t="n">
        <v>388.7708</v>
      </c>
      <c r="X47" s="803" t="n">
        <v>512.391</v>
      </c>
      <c r="Y47" s="803" t="n">
        <v>0</v>
      </c>
      <c r="Z47" s="803" t="n">
        <v>2626.9902</v>
      </c>
      <c r="AA47" s="803" t="n">
        <v>1813.2124</v>
      </c>
      <c r="AB47" s="803" t="n">
        <v>129.8479</v>
      </c>
      <c r="AC47" s="803" t="n">
        <v>1483.1792</v>
      </c>
      <c r="AD47" s="803" t="n">
        <v>494.2088</v>
      </c>
      <c r="AE47" s="803" t="n">
        <v>1687.0641</v>
      </c>
      <c r="AF47" s="803" t="n">
        <v>2086.182</v>
      </c>
      <c r="AG47" s="803" t="n">
        <v>1283.9189</v>
      </c>
      <c r="AH47" s="803" t="n">
        <v>3545.1907</v>
      </c>
      <c r="AI47" s="803" t="n">
        <v>587.5619</v>
      </c>
      <c r="AJ47" s="803" t="n">
        <v>3086.4665</v>
      </c>
      <c r="AK47" s="803" t="n">
        <v>3125.9609</v>
      </c>
      <c r="AL47" s="803" t="n">
        <v>12578.2</v>
      </c>
      <c r="AM47" s="803" t="n">
        <f aca="false">SUM(P47:T47)+SUM(W47:AL47)</f>
        <v>37911.6088</v>
      </c>
      <c r="AN47" s="803" t="n">
        <f aca="false">O47+AM47</f>
        <v>39452.2466</v>
      </c>
      <c r="AO47" s="803" t="n">
        <f aca="false">L47-AN47</f>
        <v>-14378.483152</v>
      </c>
      <c r="AP47" s="364" t="s">
        <v>219</v>
      </c>
    </row>
    <row r="48" s="367" customFormat="true" ht="10.7" hidden="false" customHeight="true" outlineLevel="0" collapsed="false">
      <c r="A48" s="662" t="s">
        <v>220</v>
      </c>
      <c r="B48" s="802" t="n">
        <v>125</v>
      </c>
      <c r="C48" s="801" t="n">
        <v>611</v>
      </c>
      <c r="D48" s="801" t="n">
        <v>2</v>
      </c>
      <c r="E48" s="801" t="n">
        <v>70</v>
      </c>
      <c r="F48" s="801" t="n">
        <f aca="false">84+301</f>
        <v>385</v>
      </c>
      <c r="G48" s="801" t="n">
        <v>18704</v>
      </c>
      <c r="H48" s="801" t="n">
        <v>0</v>
      </c>
      <c r="I48" s="801" t="n">
        <v>0</v>
      </c>
      <c r="J48" s="801" t="n">
        <v>0</v>
      </c>
      <c r="K48" s="801" t="n">
        <f aca="false">L48-SUM(B48:J48)</f>
        <v>6541.0444</v>
      </c>
      <c r="L48" s="801" t="n">
        <f aca="false">22010+52.156*84.9</f>
        <v>26438.0444</v>
      </c>
      <c r="M48" s="801" t="n">
        <v>6.6</v>
      </c>
      <c r="N48" s="801" t="n">
        <v>1269.9814</v>
      </c>
      <c r="O48" s="801" t="n">
        <f aca="false">M48+N48</f>
        <v>1276.5814</v>
      </c>
      <c r="P48" s="802" t="n">
        <v>278.2217</v>
      </c>
      <c r="Q48" s="802" t="n">
        <v>245.0303</v>
      </c>
      <c r="R48" s="802" t="n">
        <v>1492.609</v>
      </c>
      <c r="S48" s="802" t="n">
        <v>1109.3696</v>
      </c>
      <c r="T48" s="802" t="n">
        <v>348.7115</v>
      </c>
      <c r="U48" s="365" t="s">
        <v>220</v>
      </c>
      <c r="V48" s="215" t="s">
        <v>220</v>
      </c>
      <c r="W48" s="802" t="n">
        <v>293.8311</v>
      </c>
      <c r="X48" s="802" t="n">
        <v>540.3013</v>
      </c>
      <c r="Y48" s="802" t="n">
        <v>0</v>
      </c>
      <c r="Z48" s="802" t="n">
        <v>2658.4203</v>
      </c>
      <c r="AA48" s="802" t="n">
        <v>1627.1156</v>
      </c>
      <c r="AB48" s="802" t="n">
        <v>109.919</v>
      </c>
      <c r="AC48" s="802" t="n">
        <v>1335.6433</v>
      </c>
      <c r="AD48" s="802" t="n">
        <v>567.7966</v>
      </c>
      <c r="AE48" s="802" t="n">
        <v>1828.6329</v>
      </c>
      <c r="AF48" s="802" t="n">
        <v>2445.7341</v>
      </c>
      <c r="AG48" s="802" t="n">
        <v>1325.0041</v>
      </c>
      <c r="AH48" s="802" t="n">
        <v>3977.8617</v>
      </c>
      <c r="AI48" s="802" t="n">
        <v>607.8663</v>
      </c>
      <c r="AJ48" s="802" t="n">
        <v>2619.9103</v>
      </c>
      <c r="AK48" s="802" t="n">
        <v>2787.5757</v>
      </c>
      <c r="AL48" s="802" t="n">
        <v>12528.5814</v>
      </c>
      <c r="AM48" s="802" t="n">
        <f aca="false">SUM(P48:T48)+SUM(W48:AL48)</f>
        <v>38728.1358</v>
      </c>
      <c r="AN48" s="802" t="n">
        <f aca="false">O48+AM48</f>
        <v>40004.7172</v>
      </c>
      <c r="AO48" s="802" t="n">
        <f aca="false">L48-AN48</f>
        <v>-13566.6728</v>
      </c>
      <c r="AP48" s="365" t="s">
        <v>220</v>
      </c>
    </row>
    <row r="49" s="367" customFormat="true" ht="10.7" hidden="false" customHeight="true" outlineLevel="0" collapsed="false">
      <c r="A49" s="661" t="s">
        <v>221</v>
      </c>
      <c r="B49" s="803" t="n">
        <v>115</v>
      </c>
      <c r="C49" s="199" t="n">
        <v>597</v>
      </c>
      <c r="D49" s="199" t="n">
        <v>3</v>
      </c>
      <c r="E49" s="199" t="n">
        <v>58</v>
      </c>
      <c r="F49" s="199" t="n">
        <v>319</v>
      </c>
      <c r="G49" s="199" t="n">
        <v>18855</v>
      </c>
      <c r="H49" s="199" t="n">
        <v>0</v>
      </c>
      <c r="I49" s="199" t="n">
        <v>0</v>
      </c>
      <c r="J49" s="199" t="n">
        <v>0</v>
      </c>
      <c r="K49" s="199" t="n">
        <f aca="false">L49-SUM(B49:J49)</f>
        <v>6253.23045</v>
      </c>
      <c r="L49" s="199" t="n">
        <f aca="false">21945+50.091*84.95</f>
        <v>26200.23045</v>
      </c>
      <c r="M49" s="199" t="n">
        <v>7</v>
      </c>
      <c r="N49" s="199" t="n">
        <v>1820</v>
      </c>
      <c r="O49" s="199" t="n">
        <f aca="false">M49+N49</f>
        <v>1827</v>
      </c>
      <c r="P49" s="803" t="n">
        <v>260</v>
      </c>
      <c r="Q49" s="803" t="n">
        <v>266</v>
      </c>
      <c r="R49" s="803" t="n">
        <v>737</v>
      </c>
      <c r="S49" s="803" t="n">
        <v>1349</v>
      </c>
      <c r="T49" s="803" t="n">
        <v>336</v>
      </c>
      <c r="U49" s="364" t="s">
        <v>221</v>
      </c>
      <c r="V49" s="207" t="s">
        <v>221</v>
      </c>
      <c r="W49" s="803" t="n">
        <v>623</v>
      </c>
      <c r="X49" s="803" t="n">
        <v>536</v>
      </c>
      <c r="Y49" s="803" t="n">
        <v>427</v>
      </c>
      <c r="Z49" s="803" t="n">
        <v>5756</v>
      </c>
      <c r="AA49" s="803" t="n">
        <v>1291</v>
      </c>
      <c r="AB49" s="803" t="n">
        <v>72</v>
      </c>
      <c r="AC49" s="803" t="n">
        <v>649</v>
      </c>
      <c r="AD49" s="803" t="n">
        <v>441</v>
      </c>
      <c r="AE49" s="803" t="n">
        <v>1511</v>
      </c>
      <c r="AF49" s="803" t="n">
        <v>2544</v>
      </c>
      <c r="AG49" s="803" t="n">
        <v>1226</v>
      </c>
      <c r="AH49" s="803" t="n">
        <v>3128</v>
      </c>
      <c r="AI49" s="803" t="n">
        <v>514</v>
      </c>
      <c r="AJ49" s="803" t="n">
        <v>2320</v>
      </c>
      <c r="AK49" s="803" t="n">
        <v>2463</v>
      </c>
      <c r="AL49" s="803" t="n">
        <v>9261</v>
      </c>
      <c r="AM49" s="803" t="n">
        <f aca="false">SUM(P49:T49)+SUM(W49:AL49)</f>
        <v>35710</v>
      </c>
      <c r="AN49" s="803" t="n">
        <f aca="false">O49+AM49</f>
        <v>37537</v>
      </c>
      <c r="AO49" s="803" t="n">
        <f aca="false">L49-AN49</f>
        <v>-11336.76955</v>
      </c>
      <c r="AP49" s="364" t="s">
        <v>221</v>
      </c>
    </row>
    <row r="50" s="367" customFormat="true" ht="10.7" hidden="false" customHeight="true" outlineLevel="0" collapsed="false">
      <c r="A50" s="662" t="s">
        <v>619</v>
      </c>
      <c r="B50" s="802" t="n">
        <v>94</v>
      </c>
      <c r="C50" s="801" t="n">
        <v>521</v>
      </c>
      <c r="D50" s="801" t="n">
        <v>2</v>
      </c>
      <c r="E50" s="801" t="n">
        <v>47</v>
      </c>
      <c r="F50" s="801" t="n">
        <f aca="false">54+228</f>
        <v>282</v>
      </c>
      <c r="G50" s="801" t="n">
        <v>15994</v>
      </c>
      <c r="H50" s="801" t="n">
        <v>0</v>
      </c>
      <c r="I50" s="801" t="n">
        <v>0</v>
      </c>
      <c r="J50" s="801" t="n">
        <v>0</v>
      </c>
      <c r="K50" s="801" t="n">
        <f aca="false">L50-SUM(B50:J50)</f>
        <v>5371.6377</v>
      </c>
      <c r="L50" s="801" t="n">
        <f aca="false">18451+45.446*84.95</f>
        <v>22311.6377</v>
      </c>
      <c r="M50" s="801" t="n">
        <v>13</v>
      </c>
      <c r="N50" s="801" t="n">
        <v>1175</v>
      </c>
      <c r="O50" s="801" t="n">
        <f aca="false">M50+N50</f>
        <v>1188</v>
      </c>
      <c r="P50" s="802" t="n">
        <v>314</v>
      </c>
      <c r="Q50" s="802" t="n">
        <v>301</v>
      </c>
      <c r="R50" s="802" t="n">
        <v>842</v>
      </c>
      <c r="S50" s="802" t="n">
        <v>991</v>
      </c>
      <c r="T50" s="802" t="n">
        <v>643</v>
      </c>
      <c r="U50" s="365" t="s">
        <v>619</v>
      </c>
      <c r="V50" s="215" t="s">
        <v>222</v>
      </c>
      <c r="W50" s="802" t="n">
        <v>797</v>
      </c>
      <c r="X50" s="802" t="n">
        <v>617</v>
      </c>
      <c r="Y50" s="802" t="n">
        <v>35</v>
      </c>
      <c r="Z50" s="802" t="n">
        <v>5118</v>
      </c>
      <c r="AA50" s="802" t="n">
        <v>1420</v>
      </c>
      <c r="AB50" s="802" t="n">
        <v>99</v>
      </c>
      <c r="AC50" s="802" t="n">
        <v>313</v>
      </c>
      <c r="AD50" s="802" t="n">
        <v>383</v>
      </c>
      <c r="AE50" s="802" t="n">
        <v>1713</v>
      </c>
      <c r="AF50" s="802" t="n">
        <v>1927</v>
      </c>
      <c r="AG50" s="802" t="n">
        <v>1175</v>
      </c>
      <c r="AH50" s="802" t="n">
        <v>2821</v>
      </c>
      <c r="AI50" s="802" t="n">
        <v>496</v>
      </c>
      <c r="AJ50" s="802" t="n">
        <v>2467</v>
      </c>
      <c r="AK50" s="802" t="n">
        <v>2530</v>
      </c>
      <c r="AL50" s="802" t="n">
        <v>8820</v>
      </c>
      <c r="AM50" s="802" t="n">
        <f aca="false">SUM(P50:T50)+SUM(W50:AL50)</f>
        <v>33822</v>
      </c>
      <c r="AN50" s="802" t="n">
        <f aca="false">O50+AM50</f>
        <v>35010</v>
      </c>
      <c r="AO50" s="802" t="n">
        <f aca="false">L50-AN50</f>
        <v>-12698.3623</v>
      </c>
      <c r="AP50" s="365" t="s">
        <v>222</v>
      </c>
    </row>
    <row r="51" s="367" customFormat="true" ht="10.7" hidden="false" customHeight="true" outlineLevel="0" collapsed="false">
      <c r="A51" s="661" t="s">
        <v>223</v>
      </c>
      <c r="B51" s="803" t="n">
        <v>31</v>
      </c>
      <c r="C51" s="199" t="n">
        <v>278</v>
      </c>
      <c r="D51" s="199" t="n">
        <v>3</v>
      </c>
      <c r="E51" s="199" t="n">
        <v>31</v>
      </c>
      <c r="F51" s="199" t="n">
        <v>132</v>
      </c>
      <c r="G51" s="199" t="n">
        <v>8037</v>
      </c>
      <c r="H51" s="199" t="n">
        <v>0</v>
      </c>
      <c r="I51" s="199" t="n">
        <v>0</v>
      </c>
      <c r="J51" s="199" t="n">
        <v>0</v>
      </c>
      <c r="K51" s="199" t="n">
        <f aca="false">L51-SUM(B51:J51)</f>
        <v>1467.7934</v>
      </c>
      <c r="L51" s="199" t="n">
        <f aca="false">9255+8.532*84.95</f>
        <v>9979.7934</v>
      </c>
      <c r="M51" s="199" t="n">
        <v>1.2</v>
      </c>
      <c r="N51" s="199" t="n">
        <v>451.4</v>
      </c>
      <c r="O51" s="199" t="n">
        <f aca="false">M51+N51</f>
        <v>452.6</v>
      </c>
      <c r="P51" s="803" t="n">
        <v>214.4</v>
      </c>
      <c r="Q51" s="803" t="n">
        <v>118.4</v>
      </c>
      <c r="R51" s="803" t="n">
        <v>511.5</v>
      </c>
      <c r="S51" s="803" t="n">
        <v>1606.2</v>
      </c>
      <c r="T51" s="803" t="n">
        <v>414.1</v>
      </c>
      <c r="U51" s="364" t="s">
        <v>223</v>
      </c>
      <c r="V51" s="207" t="s">
        <v>223</v>
      </c>
      <c r="W51" s="803" t="n">
        <v>372.5</v>
      </c>
      <c r="X51" s="803" t="n">
        <v>385.3</v>
      </c>
      <c r="Y51" s="803" t="n">
        <v>0</v>
      </c>
      <c r="Z51" s="803" t="n">
        <v>3075.9</v>
      </c>
      <c r="AA51" s="803" t="n">
        <v>955.6</v>
      </c>
      <c r="AB51" s="803" t="n">
        <v>59.2</v>
      </c>
      <c r="AC51" s="803" t="n">
        <v>386.5</v>
      </c>
      <c r="AD51" s="803" t="n">
        <v>206.2</v>
      </c>
      <c r="AE51" s="803" t="n">
        <v>980.5</v>
      </c>
      <c r="AF51" s="803" t="n">
        <v>950.5</v>
      </c>
      <c r="AG51" s="803" t="n">
        <v>537.4</v>
      </c>
      <c r="AH51" s="803" t="n">
        <v>1393.4</v>
      </c>
      <c r="AI51" s="803" t="n">
        <v>325.3</v>
      </c>
      <c r="AJ51" s="803" t="n">
        <v>1429.8</v>
      </c>
      <c r="AK51" s="803" t="n">
        <v>1589.73</v>
      </c>
      <c r="AL51" s="803" t="n">
        <v>5172.5</v>
      </c>
      <c r="AM51" s="803" t="n">
        <f aca="false">SUM(P51:T51)+SUM(W51:AL51)</f>
        <v>20684.93</v>
      </c>
      <c r="AN51" s="803" t="n">
        <f aca="false">O51+AM51</f>
        <v>21137.53</v>
      </c>
      <c r="AO51" s="803" t="n">
        <f aca="false">L51-AN51</f>
        <v>-11157.7366</v>
      </c>
      <c r="AP51" s="364" t="s">
        <v>223</v>
      </c>
    </row>
    <row r="52" s="367" customFormat="true" ht="10.7" hidden="false" customHeight="true" outlineLevel="0" collapsed="false">
      <c r="A52" s="669" t="s">
        <v>224</v>
      </c>
      <c r="B52" s="802" t="n">
        <v>40</v>
      </c>
      <c r="C52" s="802" t="n">
        <v>357</v>
      </c>
      <c r="D52" s="802" t="n">
        <v>2</v>
      </c>
      <c r="E52" s="802" t="n">
        <v>29</v>
      </c>
      <c r="F52" s="802" t="n">
        <f aca="false">39+96</f>
        <v>135</v>
      </c>
      <c r="G52" s="802" t="n">
        <v>8726</v>
      </c>
      <c r="H52" s="802" t="n">
        <v>0</v>
      </c>
      <c r="I52" s="802" t="n">
        <v>0</v>
      </c>
      <c r="J52" s="802" t="n">
        <v>0</v>
      </c>
      <c r="K52" s="802" t="n">
        <f aca="false">L52-SUM(B52:J52)</f>
        <v>1098.76685</v>
      </c>
      <c r="L52" s="802" t="n">
        <f aca="false">10238+1.763*84.95</f>
        <v>10387.76685</v>
      </c>
      <c r="M52" s="802" t="n">
        <v>2</v>
      </c>
      <c r="N52" s="802" t="n">
        <v>643</v>
      </c>
      <c r="O52" s="802" t="n">
        <f aca="false">M52+N52</f>
        <v>645</v>
      </c>
      <c r="P52" s="802" t="n">
        <v>190</v>
      </c>
      <c r="Q52" s="802" t="n">
        <v>164</v>
      </c>
      <c r="R52" s="802" t="n">
        <v>563</v>
      </c>
      <c r="S52" s="802" t="n">
        <v>866</v>
      </c>
      <c r="T52" s="802" t="n">
        <v>501</v>
      </c>
      <c r="U52" s="365" t="s">
        <v>224</v>
      </c>
      <c r="V52" s="215" t="s">
        <v>224</v>
      </c>
      <c r="W52" s="802" t="n">
        <v>192</v>
      </c>
      <c r="X52" s="802" t="n">
        <v>285</v>
      </c>
      <c r="Y52" s="802" t="n">
        <v>0</v>
      </c>
      <c r="Z52" s="802" t="n">
        <v>1244</v>
      </c>
      <c r="AA52" s="802" t="n">
        <v>1175</v>
      </c>
      <c r="AB52" s="802" t="n">
        <v>65</v>
      </c>
      <c r="AC52" s="802" t="n">
        <v>2</v>
      </c>
      <c r="AD52" s="802" t="n">
        <v>283</v>
      </c>
      <c r="AE52" s="802" t="n">
        <v>1226</v>
      </c>
      <c r="AF52" s="802" t="n">
        <v>1421</v>
      </c>
      <c r="AG52" s="802" t="n">
        <v>912</v>
      </c>
      <c r="AH52" s="802" t="n">
        <v>2103</v>
      </c>
      <c r="AI52" s="802" t="n">
        <v>443</v>
      </c>
      <c r="AJ52" s="802" t="n">
        <v>3291</v>
      </c>
      <c r="AK52" s="802" t="n">
        <v>1222</v>
      </c>
      <c r="AL52" s="802" t="n">
        <v>4718</v>
      </c>
      <c r="AM52" s="802" t="n">
        <f aca="false">SUM(P52:T52)+SUM(W52:AL52)</f>
        <v>20866</v>
      </c>
      <c r="AN52" s="802" t="n">
        <f aca="false">O52+AM52</f>
        <v>21511</v>
      </c>
      <c r="AO52" s="802" t="n">
        <f aca="false">L52-AN52</f>
        <v>-11123.23315</v>
      </c>
      <c r="AP52" s="365" t="s">
        <v>224</v>
      </c>
    </row>
    <row r="53" s="367" customFormat="true" ht="10.7" hidden="false" customHeight="true" outlineLevel="0" collapsed="false">
      <c r="A53" s="811" t="s">
        <v>225</v>
      </c>
      <c r="B53" s="812" t="n">
        <v>60</v>
      </c>
      <c r="C53" s="812" t="n">
        <v>505</v>
      </c>
      <c r="D53" s="812" t="n">
        <v>1</v>
      </c>
      <c r="E53" s="812" t="n">
        <v>55</v>
      </c>
      <c r="F53" s="812" t="n">
        <f aca="false">100+164</f>
        <v>264</v>
      </c>
      <c r="G53" s="812" t="n">
        <v>13104</v>
      </c>
      <c r="H53" s="812" t="n">
        <v>0</v>
      </c>
      <c r="I53" s="812" t="n">
        <v>0</v>
      </c>
      <c r="J53" s="812" t="n">
        <v>0</v>
      </c>
      <c r="K53" s="812" t="n">
        <f aca="false">L53-SUM(B53:J53)</f>
        <v>5758.7305</v>
      </c>
      <c r="L53" s="812" t="n">
        <f aca="false">16016.8+43.945*84.9</f>
        <v>19747.7305</v>
      </c>
      <c r="M53" s="812" t="n">
        <v>5.1</v>
      </c>
      <c r="N53" s="812" t="n">
        <v>1005.5</v>
      </c>
      <c r="O53" s="812" t="n">
        <f aca="false">M53+N53</f>
        <v>1010.6</v>
      </c>
      <c r="P53" s="812" t="n">
        <v>215.6</v>
      </c>
      <c r="Q53" s="812" t="n">
        <v>346.2</v>
      </c>
      <c r="R53" s="812" t="n">
        <v>1023.3</v>
      </c>
      <c r="S53" s="812" t="n">
        <v>1320.8</v>
      </c>
      <c r="T53" s="812" t="n">
        <v>968.1</v>
      </c>
      <c r="U53" s="488" t="s">
        <v>225</v>
      </c>
      <c r="V53" s="225" t="s">
        <v>225</v>
      </c>
      <c r="W53" s="812" t="n">
        <v>536.9</v>
      </c>
      <c r="X53" s="812" t="n">
        <v>352.4</v>
      </c>
      <c r="Y53" s="812" t="n">
        <v>263.4</v>
      </c>
      <c r="Z53" s="812" t="n">
        <v>1464.7</v>
      </c>
      <c r="AA53" s="812" t="n">
        <v>2132.1</v>
      </c>
      <c r="AB53" s="812" t="n">
        <v>157</v>
      </c>
      <c r="AC53" s="812" t="n">
        <v>471.6</v>
      </c>
      <c r="AD53" s="812" t="n">
        <v>436.2</v>
      </c>
      <c r="AE53" s="812" t="n">
        <v>1888.9</v>
      </c>
      <c r="AF53" s="812" t="n">
        <v>1629.8</v>
      </c>
      <c r="AG53" s="812" t="n">
        <v>1408.4</v>
      </c>
      <c r="AH53" s="812" t="n">
        <v>3130.8</v>
      </c>
      <c r="AI53" s="812" t="n">
        <v>506.1</v>
      </c>
      <c r="AJ53" s="812" t="n">
        <v>2774.2</v>
      </c>
      <c r="AK53" s="812" t="n">
        <v>2250.14</v>
      </c>
      <c r="AL53" s="812" t="n">
        <v>9179.3</v>
      </c>
      <c r="AM53" s="812" t="n">
        <f aca="false">SUM(P53:T53)+SUM(W53:AL53)</f>
        <v>32455.94</v>
      </c>
      <c r="AN53" s="812" t="n">
        <f aca="false">O53+AM53</f>
        <v>33466.54</v>
      </c>
      <c r="AO53" s="812" t="n">
        <f aca="false">L53-AN53</f>
        <v>-13718.8095</v>
      </c>
      <c r="AP53" s="488" t="s">
        <v>225</v>
      </c>
    </row>
    <row r="54" s="319" customFormat="true" ht="10.5" hidden="false" customHeight="true" outlineLevel="0" collapsed="false">
      <c r="A54" s="813" t="s">
        <v>620</v>
      </c>
      <c r="B54" s="814" t="s">
        <v>621</v>
      </c>
      <c r="C54" s="814"/>
      <c r="D54" s="814"/>
      <c r="E54" s="814"/>
      <c r="F54" s="814"/>
      <c r="G54" s="814"/>
      <c r="H54" s="814"/>
      <c r="I54" s="814"/>
      <c r="J54" s="322"/>
      <c r="K54" s="199"/>
      <c r="L54" s="814"/>
      <c r="M54" s="815" t="s">
        <v>622</v>
      </c>
      <c r="N54" s="324" t="s">
        <v>623</v>
      </c>
      <c r="O54" s="324"/>
      <c r="P54" s="324"/>
      <c r="Q54" s="324"/>
      <c r="R54" s="324"/>
      <c r="S54" s="324"/>
      <c r="T54" s="324"/>
      <c r="U54" s="324"/>
      <c r="V54" s="816" t="s">
        <v>256</v>
      </c>
      <c r="W54" s="817" t="s">
        <v>624</v>
      </c>
      <c r="X54" s="817"/>
      <c r="Y54" s="817"/>
      <c r="Z54" s="817"/>
      <c r="AA54" s="817"/>
      <c r="AB54" s="817"/>
      <c r="AC54" s="817"/>
      <c r="AD54" s="817"/>
      <c r="AE54" s="322"/>
      <c r="AF54" s="818"/>
      <c r="AG54" s="818"/>
      <c r="AH54" s="819"/>
      <c r="AI54" s="819"/>
      <c r="AJ54" s="819"/>
      <c r="AK54" s="819"/>
      <c r="AL54" s="819"/>
      <c r="AM54" s="188"/>
      <c r="AN54" s="818"/>
      <c r="AO54" s="818"/>
      <c r="AP54" s="820"/>
    </row>
    <row r="55" s="319" customFormat="true" ht="10.5" hidden="false" customHeight="true" outlineLevel="0" collapsed="false">
      <c r="A55" s="821" t="s">
        <v>625</v>
      </c>
      <c r="B55" s="817" t="s">
        <v>361</v>
      </c>
      <c r="C55" s="817"/>
      <c r="D55" s="817"/>
      <c r="E55" s="817"/>
      <c r="F55" s="817"/>
      <c r="G55" s="817"/>
      <c r="H55" s="817"/>
      <c r="I55" s="818"/>
      <c r="J55" s="818"/>
      <c r="K55" s="818"/>
      <c r="L55" s="814"/>
      <c r="N55" s="822"/>
      <c r="O55" s="823"/>
      <c r="P55" s="823"/>
      <c r="U55" s="824"/>
      <c r="V55" s="820"/>
      <c r="W55" s="823" t="s">
        <v>626</v>
      </c>
      <c r="X55" s="823"/>
      <c r="Y55" s="322"/>
      <c r="Z55" s="322"/>
      <c r="AA55" s="322"/>
      <c r="AB55" s="322"/>
      <c r="AC55" s="322"/>
      <c r="AD55" s="322"/>
      <c r="AE55" s="322"/>
      <c r="AF55" s="322"/>
      <c r="AG55" s="322"/>
      <c r="AH55" s="322"/>
      <c r="AI55" s="322"/>
      <c r="AJ55" s="322"/>
      <c r="AK55" s="322"/>
      <c r="AL55" s="322"/>
      <c r="AM55" s="322"/>
      <c r="AN55" s="322"/>
      <c r="AO55" s="322"/>
      <c r="AP55" s="820"/>
    </row>
    <row r="56" customFormat="false" ht="9" hidden="false" customHeight="true" outlineLevel="0" collapsed="false">
      <c r="A56" s="821"/>
      <c r="B56" s="823"/>
      <c r="C56" s="823"/>
      <c r="D56" s="823" t="s">
        <v>626</v>
      </c>
      <c r="E56" s="823"/>
      <c r="F56" s="817"/>
      <c r="G56" s="817"/>
      <c r="H56" s="817"/>
      <c r="I56" s="818"/>
      <c r="J56" s="818"/>
      <c r="K56" s="818"/>
      <c r="L56" s="814"/>
      <c r="M56" s="319"/>
      <c r="N56" s="822"/>
      <c r="O56" s="823"/>
      <c r="P56" s="823"/>
      <c r="Q56" s="319"/>
      <c r="R56" s="319"/>
      <c r="S56" s="319"/>
      <c r="T56" s="319"/>
      <c r="U56" s="824"/>
      <c r="V56" s="820"/>
      <c r="W56" s="322"/>
      <c r="X56" s="322"/>
      <c r="Y56" s="322"/>
      <c r="Z56" s="322"/>
      <c r="AA56" s="322"/>
      <c r="AB56" s="322"/>
      <c r="AC56" s="322"/>
      <c r="AD56" s="322"/>
      <c r="AE56" s="322"/>
      <c r="AF56" s="322"/>
      <c r="AG56" s="322"/>
      <c r="AH56" s="322"/>
      <c r="AI56" s="322"/>
      <c r="AJ56" s="322"/>
      <c r="AK56" s="322"/>
      <c r="AL56" s="322"/>
      <c r="AM56" s="322"/>
      <c r="AN56" s="322"/>
      <c r="AO56" s="322"/>
      <c r="AP56" s="820"/>
    </row>
    <row r="57" customFormat="false" ht="11.25" hidden="false" customHeight="false" outlineLevel="0" collapsed="false">
      <c r="G57" s="825"/>
      <c r="H57" s="825"/>
      <c r="K57" s="188"/>
      <c r="L57" s="825"/>
    </row>
    <row r="58" customFormat="false" ht="9" hidden="false" customHeight="false" outlineLevel="0" collapsed="false">
      <c r="I58" s="825"/>
    </row>
    <row r="59" customFormat="false" ht="9" hidden="false" customHeight="false" outlineLevel="0" collapsed="false">
      <c r="E59" s="825"/>
      <c r="G59" s="825"/>
      <c r="I59" s="826"/>
      <c r="W59" s="825"/>
      <c r="X59" s="825"/>
      <c r="Y59" s="825"/>
      <c r="Z59" s="825"/>
      <c r="AA59" s="825"/>
      <c r="AB59" s="825"/>
      <c r="AC59" s="825"/>
      <c r="AD59" s="825"/>
      <c r="AE59" s="825"/>
      <c r="AF59" s="825"/>
      <c r="AG59" s="825"/>
      <c r="AH59" s="825"/>
      <c r="AI59" s="825"/>
      <c r="AJ59" s="825"/>
    </row>
    <row r="60" customFormat="false" ht="9" hidden="false" customHeight="false" outlineLevel="0" collapsed="false">
      <c r="B60" s="825"/>
      <c r="C60" s="825"/>
      <c r="D60" s="825"/>
      <c r="E60" s="825"/>
      <c r="F60" s="825"/>
      <c r="G60" s="825"/>
      <c r="H60" s="825"/>
      <c r="I60" s="825"/>
      <c r="J60" s="825"/>
      <c r="K60" s="825"/>
      <c r="L60" s="825"/>
      <c r="M60" s="825"/>
      <c r="N60" s="825"/>
      <c r="O60" s="825"/>
      <c r="P60" s="825"/>
      <c r="Q60" s="825"/>
      <c r="R60" s="825"/>
      <c r="S60" s="825"/>
      <c r="T60" s="825"/>
      <c r="U60" s="825"/>
      <c r="V60" s="825"/>
      <c r="W60" s="825"/>
      <c r="X60" s="825"/>
      <c r="Y60" s="825"/>
      <c r="Z60" s="825"/>
      <c r="AA60" s="825"/>
      <c r="AB60" s="825"/>
      <c r="AC60" s="825"/>
      <c r="AD60" s="825"/>
      <c r="AE60" s="825"/>
      <c r="AF60" s="825"/>
      <c r="AG60" s="825"/>
      <c r="AH60" s="825"/>
      <c r="AI60" s="825"/>
      <c r="AJ60" s="825"/>
      <c r="AK60" s="825"/>
      <c r="AL60" s="825"/>
      <c r="AM60" s="825"/>
      <c r="AN60" s="825"/>
      <c r="AO60" s="825"/>
      <c r="AP60" s="825"/>
    </row>
    <row r="61" customFormat="false" ht="9" hidden="false" customHeight="false" outlineLevel="0" collapsed="false">
      <c r="G61" s="825"/>
    </row>
  </sheetData>
  <mergeCells count="39">
    <mergeCell ref="A1:D1"/>
    <mergeCell ref="J1:L1"/>
    <mergeCell ref="M1:N1"/>
    <mergeCell ref="S1:U1"/>
    <mergeCell ref="AE1:AF1"/>
    <mergeCell ref="AG1:AI1"/>
    <mergeCell ref="AN1:AP1"/>
    <mergeCell ref="T2:U2"/>
    <mergeCell ref="AO2:AP2"/>
    <mergeCell ref="A3:A6"/>
    <mergeCell ref="B3:L3"/>
    <mergeCell ref="M3:T3"/>
    <mergeCell ref="U3:U6"/>
    <mergeCell ref="V3:V6"/>
    <mergeCell ref="W3:AG3"/>
    <mergeCell ref="AH3:AN3"/>
    <mergeCell ref="AO3:AO5"/>
    <mergeCell ref="AP3:AP6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O4"/>
    <mergeCell ref="P4:T4"/>
    <mergeCell ref="W4:AN4"/>
    <mergeCell ref="N54:U54"/>
    <mergeCell ref="W54:AC54"/>
    <mergeCell ref="B55:H55"/>
    <mergeCell ref="O55:P55"/>
    <mergeCell ref="W55:X55"/>
    <mergeCell ref="B56:C56"/>
    <mergeCell ref="D56:E56"/>
  </mergeCells>
  <printOptions headings="false" gridLines="false" gridLinesSet="true" horizontalCentered="false" verticalCentered="false"/>
  <pageMargins left="0.629861111111111" right="0.511805555555555" top="0.511805555555555" bottom="0.511805555555555" header="0.511805555555555" footer="0.39375"/>
  <pageSetup paperSize="1" scale="100" firstPageNumber="32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>&amp;C&amp;"Times New Roman,Regular"&amp;8&amp;P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4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1" ySplit="6" topLeftCell="B28" activePane="bottomRight" state="frozen"/>
      <selection pane="topLeft" activeCell="A1" activeCellId="0" sqref="A1"/>
      <selection pane="topRight" activeCell="B1" activeCellId="0" sqref="B1"/>
      <selection pane="bottomLeft" activeCell="A28" activeCellId="0" sqref="A28"/>
      <selection pane="bottomRight" activeCell="V32" activeCellId="0" sqref="V32"/>
    </sheetView>
  </sheetViews>
  <sheetFormatPr defaultColWidth="9.15625" defaultRowHeight="12.75" zeroHeight="false" outlineLevelRow="0" outlineLevelCol="0"/>
  <cols>
    <col collapsed="false" customWidth="true" hidden="false" outlineLevel="0" max="1" min="1" style="264" width="9.85"/>
    <col collapsed="false" customWidth="true" hidden="false" outlineLevel="0" max="2" min="2" style="264" width="10.71"/>
    <col collapsed="false" customWidth="true" hidden="false" outlineLevel="0" max="3" min="3" style="264" width="10.58"/>
    <col collapsed="false" customWidth="true" hidden="false" outlineLevel="0" max="4" min="4" style="264" width="10.71"/>
    <col collapsed="false" customWidth="true" hidden="false" outlineLevel="0" max="5" min="5" style="264" width="10.99"/>
    <col collapsed="false" customWidth="true" hidden="false" outlineLevel="0" max="6" min="6" style="264" width="10.71"/>
    <col collapsed="false" customWidth="true" hidden="false" outlineLevel="0" max="7" min="7" style="264" width="11.29"/>
    <col collapsed="false" customWidth="true" hidden="false" outlineLevel="0" max="8" min="8" style="264" width="12.14"/>
    <col collapsed="false" customWidth="true" hidden="false" outlineLevel="0" max="9" min="9" style="264" width="11.29"/>
    <col collapsed="false" customWidth="true" hidden="false" outlineLevel="0" max="10" min="10" style="264" width="10.71"/>
    <col collapsed="false" customWidth="true" hidden="false" outlineLevel="0" max="11" min="11" style="264" width="10.58"/>
    <col collapsed="false" customWidth="true" hidden="false" outlineLevel="0" max="12" min="12" style="264" width="10.71"/>
    <col collapsed="false" customWidth="true" hidden="false" outlineLevel="0" max="13" min="13" style="264" width="10.85"/>
    <col collapsed="false" customWidth="true" hidden="false" outlineLevel="0" max="14" min="14" style="264" width="9.85"/>
    <col collapsed="false" customWidth="true" hidden="false" outlineLevel="0" max="15" min="15" style="264" width="9.71"/>
    <col collapsed="false" customWidth="true" hidden="false" outlineLevel="0" max="16" min="16" style="264" width="10.71"/>
    <col collapsed="false" customWidth="true" hidden="false" outlineLevel="0" max="17" min="17" style="264" width="10.99"/>
    <col collapsed="false" customWidth="true" hidden="false" outlineLevel="0" max="18" min="18" style="264" width="10.85"/>
    <col collapsed="false" customWidth="true" hidden="false" outlineLevel="0" max="19" min="19" style="264" width="11.29"/>
    <col collapsed="false" customWidth="true" hidden="false" outlineLevel="0" max="20" min="20" style="264" width="10.71"/>
    <col collapsed="false" customWidth="true" hidden="false" outlineLevel="0" max="21" min="21" style="264" width="10.85"/>
    <col collapsed="false" customWidth="true" hidden="false" outlineLevel="0" max="22" min="22" style="264" width="10.71"/>
    <col collapsed="false" customWidth="true" hidden="false" outlineLevel="0" max="23" min="23" style="264" width="10.99"/>
    <col collapsed="false" customWidth="true" hidden="false" outlineLevel="0" max="24" min="24" style="264" width="10.71"/>
    <col collapsed="false" customWidth="true" hidden="false" outlineLevel="0" max="26" min="25" style="264" width="10.85"/>
    <col collapsed="false" customWidth="true" hidden="false" outlineLevel="0" max="28" min="27" style="264" width="10.71"/>
    <col collapsed="false" customWidth="false" hidden="false" outlineLevel="0" max="1024" min="29" style="264" width="9.14"/>
  </cols>
  <sheetData>
    <row r="1" s="829" customFormat="true" ht="15.75" hidden="false" customHeight="true" outlineLevel="0" collapsed="false">
      <c r="A1" s="827" t="s">
        <v>627</v>
      </c>
      <c r="B1" s="827"/>
      <c r="C1" s="827"/>
      <c r="D1" s="827"/>
      <c r="E1" s="827"/>
      <c r="F1" s="827"/>
      <c r="G1" s="827"/>
      <c r="H1" s="828" t="s">
        <v>628</v>
      </c>
      <c r="I1" s="828"/>
      <c r="J1" s="828"/>
      <c r="K1" s="828"/>
      <c r="M1" s="827" t="s">
        <v>629</v>
      </c>
      <c r="N1" s="827"/>
      <c r="O1" s="827" t="s">
        <v>627</v>
      </c>
      <c r="P1" s="827"/>
      <c r="Q1" s="827"/>
      <c r="R1" s="827"/>
      <c r="S1" s="827"/>
      <c r="T1" s="827"/>
      <c r="U1" s="827"/>
      <c r="V1" s="828" t="s">
        <v>628</v>
      </c>
      <c r="W1" s="828"/>
      <c r="X1" s="828"/>
      <c r="Y1" s="828"/>
      <c r="Z1" s="830"/>
      <c r="AA1" s="827" t="s">
        <v>630</v>
      </c>
      <c r="AB1" s="827"/>
      <c r="AC1" s="830"/>
    </row>
    <row r="2" s="747" customFormat="true" ht="13.5" hidden="false" customHeight="true" outlineLevel="0" collapsed="false">
      <c r="A2" s="831"/>
      <c r="P2" s="832"/>
      <c r="Q2" s="832"/>
      <c r="R2" s="832"/>
      <c r="S2" s="832"/>
      <c r="T2" s="833"/>
      <c r="U2" s="833"/>
      <c r="V2" s="833"/>
      <c r="W2" s="833"/>
      <c r="X2" s="833"/>
      <c r="Y2" s="833"/>
      <c r="Z2" s="833"/>
      <c r="AA2" s="833"/>
      <c r="AB2" s="833"/>
      <c r="AC2" s="833"/>
    </row>
    <row r="3" s="755" customFormat="true" ht="20.25" hidden="false" customHeight="true" outlineLevel="0" collapsed="false">
      <c r="A3" s="834" t="s">
        <v>260</v>
      </c>
      <c r="B3" s="835" t="s">
        <v>631</v>
      </c>
      <c r="C3" s="835"/>
      <c r="D3" s="835" t="s">
        <v>632</v>
      </c>
      <c r="E3" s="835"/>
      <c r="F3" s="835" t="s">
        <v>633</v>
      </c>
      <c r="G3" s="835"/>
      <c r="H3" s="835" t="s">
        <v>591</v>
      </c>
      <c r="I3" s="835"/>
      <c r="J3" s="835" t="s">
        <v>634</v>
      </c>
      <c r="K3" s="835"/>
      <c r="L3" s="835" t="s">
        <v>635</v>
      </c>
      <c r="M3" s="835"/>
      <c r="N3" s="834" t="s">
        <v>260</v>
      </c>
      <c r="O3" s="834" t="s">
        <v>260</v>
      </c>
      <c r="P3" s="835" t="s">
        <v>636</v>
      </c>
      <c r="Q3" s="835"/>
      <c r="R3" s="835" t="s">
        <v>637</v>
      </c>
      <c r="S3" s="835"/>
      <c r="T3" s="835" t="s">
        <v>638</v>
      </c>
      <c r="U3" s="835"/>
      <c r="V3" s="835" t="s">
        <v>578</v>
      </c>
      <c r="W3" s="835"/>
      <c r="X3" s="835" t="s">
        <v>639</v>
      </c>
      <c r="Y3" s="835"/>
      <c r="Z3" s="835" t="s">
        <v>606</v>
      </c>
      <c r="AA3" s="835"/>
      <c r="AB3" s="834" t="s">
        <v>260</v>
      </c>
    </row>
    <row r="4" s="837" customFormat="true" ht="23.25" hidden="false" customHeight="true" outlineLevel="0" collapsed="false">
      <c r="A4" s="834"/>
      <c r="B4" s="451" t="s">
        <v>640</v>
      </c>
      <c r="C4" s="451" t="s">
        <v>641</v>
      </c>
      <c r="D4" s="451" t="s">
        <v>640</v>
      </c>
      <c r="E4" s="451" t="s">
        <v>642</v>
      </c>
      <c r="F4" s="836" t="s">
        <v>640</v>
      </c>
      <c r="G4" s="836" t="s">
        <v>643</v>
      </c>
      <c r="H4" s="836" t="s">
        <v>640</v>
      </c>
      <c r="I4" s="836" t="s">
        <v>643</v>
      </c>
      <c r="J4" s="836" t="s">
        <v>640</v>
      </c>
      <c r="K4" s="451" t="s">
        <v>643</v>
      </c>
      <c r="L4" s="836" t="s">
        <v>640</v>
      </c>
      <c r="M4" s="451" t="s">
        <v>644</v>
      </c>
      <c r="N4" s="834"/>
      <c r="O4" s="834"/>
      <c r="P4" s="836" t="s">
        <v>640</v>
      </c>
      <c r="Q4" s="451" t="s">
        <v>643</v>
      </c>
      <c r="R4" s="836" t="s">
        <v>640</v>
      </c>
      <c r="S4" s="451" t="s">
        <v>643</v>
      </c>
      <c r="T4" s="836" t="s">
        <v>640</v>
      </c>
      <c r="U4" s="451" t="s">
        <v>643</v>
      </c>
      <c r="V4" s="836" t="s">
        <v>640</v>
      </c>
      <c r="W4" s="451" t="s">
        <v>643</v>
      </c>
      <c r="X4" s="836" t="s">
        <v>645</v>
      </c>
      <c r="Y4" s="451" t="s">
        <v>643</v>
      </c>
      <c r="Z4" s="836" t="s">
        <v>640</v>
      </c>
      <c r="AA4" s="451" t="s">
        <v>643</v>
      </c>
      <c r="AB4" s="834"/>
    </row>
    <row r="5" s="837" customFormat="true" ht="21" hidden="false" customHeight="true" outlineLevel="0" collapsed="false">
      <c r="A5" s="834"/>
      <c r="B5" s="451"/>
      <c r="C5" s="451"/>
      <c r="D5" s="451"/>
      <c r="E5" s="451"/>
      <c r="F5" s="836"/>
      <c r="G5" s="836"/>
      <c r="H5" s="836"/>
      <c r="I5" s="836"/>
      <c r="J5" s="836"/>
      <c r="K5" s="451"/>
      <c r="L5" s="836"/>
      <c r="M5" s="451"/>
      <c r="N5" s="834"/>
      <c r="O5" s="834"/>
      <c r="P5" s="836"/>
      <c r="Q5" s="451"/>
      <c r="R5" s="836"/>
      <c r="S5" s="451"/>
      <c r="T5" s="836"/>
      <c r="U5" s="451"/>
      <c r="V5" s="836"/>
      <c r="W5" s="451"/>
      <c r="X5" s="836"/>
      <c r="Y5" s="451"/>
      <c r="Z5" s="836"/>
      <c r="AA5" s="451"/>
      <c r="AB5" s="834"/>
    </row>
    <row r="6" customFormat="false" ht="12.75" hidden="false" customHeight="false" outlineLevel="0" collapsed="false">
      <c r="A6" s="838"/>
      <c r="B6" s="839"/>
      <c r="C6" s="784"/>
      <c r="D6" s="839"/>
      <c r="E6" s="839"/>
      <c r="F6" s="839"/>
      <c r="G6" s="839"/>
      <c r="H6" s="839"/>
      <c r="I6" s="839"/>
      <c r="J6" s="839"/>
      <c r="K6" s="839"/>
      <c r="L6" s="839"/>
      <c r="M6" s="777"/>
      <c r="N6" s="839"/>
      <c r="O6" s="784"/>
      <c r="P6" s="839"/>
      <c r="Q6" s="839"/>
      <c r="R6" s="839"/>
      <c r="S6" s="839"/>
      <c r="T6" s="839"/>
      <c r="U6" s="839"/>
      <c r="V6" s="839"/>
      <c r="W6" s="839"/>
      <c r="X6" s="839"/>
      <c r="Y6" s="839"/>
      <c r="Z6" s="839"/>
      <c r="AA6" s="839"/>
      <c r="AB6" s="839"/>
      <c r="AC6" s="107"/>
    </row>
    <row r="7" s="107" customFormat="true" ht="21.95" hidden="false" customHeight="true" outlineLevel="0" collapsed="false">
      <c r="A7" s="471" t="s">
        <v>646</v>
      </c>
      <c r="B7" s="191" t="n">
        <v>1791</v>
      </c>
      <c r="C7" s="191" t="n">
        <v>4111</v>
      </c>
      <c r="D7" s="191" t="n">
        <v>8509</v>
      </c>
      <c r="E7" s="191" t="n">
        <v>13824</v>
      </c>
      <c r="F7" s="191" t="n">
        <v>6538</v>
      </c>
      <c r="G7" s="191" t="n">
        <v>6582</v>
      </c>
      <c r="H7" s="191" t="n">
        <v>1245</v>
      </c>
      <c r="I7" s="191" t="n">
        <v>1580</v>
      </c>
      <c r="J7" s="191" t="n">
        <v>7446</v>
      </c>
      <c r="K7" s="191" t="n">
        <v>445</v>
      </c>
      <c r="L7" s="191" t="n">
        <v>245</v>
      </c>
      <c r="M7" s="191" t="n">
        <v>833</v>
      </c>
      <c r="N7" s="472" t="s">
        <v>646</v>
      </c>
      <c r="O7" s="840" t="s">
        <v>646</v>
      </c>
      <c r="P7" s="191" t="n">
        <v>32</v>
      </c>
      <c r="Q7" s="191" t="n">
        <v>133</v>
      </c>
      <c r="R7" s="191" t="n">
        <v>168</v>
      </c>
      <c r="S7" s="191" t="n">
        <v>512</v>
      </c>
      <c r="T7" s="191" t="n">
        <v>38</v>
      </c>
      <c r="U7" s="191" t="n">
        <v>89</v>
      </c>
      <c r="V7" s="191" t="n">
        <v>52</v>
      </c>
      <c r="W7" s="191" t="n">
        <v>118</v>
      </c>
      <c r="X7" s="191" t="n">
        <v>964</v>
      </c>
      <c r="Y7" s="191" t="n">
        <v>1383</v>
      </c>
      <c r="Z7" s="191" t="n">
        <v>13</v>
      </c>
      <c r="AA7" s="191" t="n">
        <v>86</v>
      </c>
      <c r="AB7" s="841" t="s">
        <v>646</v>
      </c>
    </row>
    <row r="8" s="107" customFormat="true" ht="21.95" hidden="false" customHeight="true" outlineLevel="0" collapsed="false">
      <c r="A8" s="783" t="s">
        <v>647</v>
      </c>
      <c r="B8" s="784" t="n">
        <v>1676</v>
      </c>
      <c r="C8" s="784" t="n">
        <v>3840</v>
      </c>
      <c r="D8" s="784" t="n">
        <v>8790</v>
      </c>
      <c r="E8" s="784" t="n">
        <v>13953</v>
      </c>
      <c r="F8" s="784" t="n">
        <v>7221</v>
      </c>
      <c r="G8" s="784" t="n">
        <v>6804</v>
      </c>
      <c r="H8" s="784" t="n">
        <v>1369</v>
      </c>
      <c r="I8" s="784" t="n">
        <v>1732</v>
      </c>
      <c r="J8" s="784" t="n">
        <v>7165</v>
      </c>
      <c r="K8" s="784" t="n">
        <v>431</v>
      </c>
      <c r="L8" s="784" t="n">
        <v>246</v>
      </c>
      <c r="M8" s="784" t="n">
        <v>830</v>
      </c>
      <c r="N8" s="786" t="s">
        <v>647</v>
      </c>
      <c r="O8" s="783" t="s">
        <v>647</v>
      </c>
      <c r="P8" s="784" t="n">
        <v>32</v>
      </c>
      <c r="Q8" s="784" t="n">
        <v>136</v>
      </c>
      <c r="R8" s="784" t="n">
        <v>170</v>
      </c>
      <c r="S8" s="784" t="n">
        <v>509</v>
      </c>
      <c r="T8" s="784" t="n">
        <v>39</v>
      </c>
      <c r="U8" s="784" t="n">
        <v>90</v>
      </c>
      <c r="V8" s="784" t="n">
        <v>48</v>
      </c>
      <c r="W8" s="784" t="n">
        <v>119</v>
      </c>
      <c r="X8" s="784" t="n">
        <v>739</v>
      </c>
      <c r="Y8" s="784" t="n">
        <v>1133</v>
      </c>
      <c r="Z8" s="784" t="n">
        <v>13</v>
      </c>
      <c r="AA8" s="784" t="n">
        <v>86</v>
      </c>
      <c r="AB8" s="786" t="s">
        <v>647</v>
      </c>
    </row>
    <row r="9" s="107" customFormat="true" ht="21.95" hidden="false" customHeight="true" outlineLevel="0" collapsed="false">
      <c r="A9" s="840" t="s">
        <v>648</v>
      </c>
      <c r="B9" s="191" t="n">
        <v>1871</v>
      </c>
      <c r="C9" s="191" t="n">
        <v>3935</v>
      </c>
      <c r="D9" s="191" t="n">
        <v>9552</v>
      </c>
      <c r="E9" s="191" t="n">
        <v>14399</v>
      </c>
      <c r="F9" s="191" t="n">
        <v>7460</v>
      </c>
      <c r="G9" s="191" t="n">
        <v>6876</v>
      </c>
      <c r="H9" s="191" t="n">
        <v>1454</v>
      </c>
      <c r="I9" s="191" t="n">
        <v>1749</v>
      </c>
      <c r="J9" s="191" t="n">
        <v>7520</v>
      </c>
      <c r="K9" s="191" t="n">
        <v>434</v>
      </c>
      <c r="L9" s="191" t="n">
        <v>249</v>
      </c>
      <c r="M9" s="191" t="n">
        <v>831</v>
      </c>
      <c r="N9" s="841" t="s">
        <v>648</v>
      </c>
      <c r="O9" s="840" t="s">
        <v>648</v>
      </c>
      <c r="P9" s="191" t="n">
        <v>34</v>
      </c>
      <c r="Q9" s="191" t="n">
        <v>136</v>
      </c>
      <c r="R9" s="191" t="n">
        <v>171</v>
      </c>
      <c r="S9" s="191" t="n">
        <v>510</v>
      </c>
      <c r="T9" s="191" t="n">
        <v>38</v>
      </c>
      <c r="U9" s="191" t="n">
        <v>86</v>
      </c>
      <c r="V9" s="191" t="n">
        <v>53</v>
      </c>
      <c r="W9" s="191" t="n">
        <v>119</v>
      </c>
      <c r="X9" s="191" t="n">
        <v>883</v>
      </c>
      <c r="Y9" s="191" t="n">
        <v>1253</v>
      </c>
      <c r="Z9" s="191" t="n">
        <v>14</v>
      </c>
      <c r="AA9" s="191" t="n">
        <v>91</v>
      </c>
      <c r="AB9" s="841" t="s">
        <v>648</v>
      </c>
    </row>
    <row r="10" s="107" customFormat="true" ht="21.95" hidden="false" customHeight="true" outlineLevel="0" collapsed="false">
      <c r="A10" s="783" t="s">
        <v>649</v>
      </c>
      <c r="B10" s="784" t="n">
        <v>1875</v>
      </c>
      <c r="C10" s="784" t="n">
        <v>3868</v>
      </c>
      <c r="D10" s="784" t="n">
        <v>8850</v>
      </c>
      <c r="E10" s="784" t="n">
        <v>14353</v>
      </c>
      <c r="F10" s="784" t="n">
        <v>8137</v>
      </c>
      <c r="G10" s="784" t="n">
        <v>7138</v>
      </c>
      <c r="H10" s="784" t="n">
        <v>1803</v>
      </c>
      <c r="I10" s="784" t="n">
        <v>1988</v>
      </c>
      <c r="J10" s="784" t="n">
        <v>7379</v>
      </c>
      <c r="K10" s="784" t="n">
        <v>433</v>
      </c>
      <c r="L10" s="784" t="n">
        <v>254</v>
      </c>
      <c r="M10" s="784" t="n">
        <v>849</v>
      </c>
      <c r="N10" s="786" t="s">
        <v>649</v>
      </c>
      <c r="O10" s="783" t="s">
        <v>649</v>
      </c>
      <c r="P10" s="784" t="n">
        <v>34</v>
      </c>
      <c r="Q10" s="784" t="n">
        <v>135</v>
      </c>
      <c r="R10" s="784" t="n">
        <v>163</v>
      </c>
      <c r="S10" s="784" t="n">
        <v>508</v>
      </c>
      <c r="T10" s="784" t="n">
        <v>37</v>
      </c>
      <c r="U10" s="784" t="n">
        <v>81</v>
      </c>
      <c r="V10" s="784" t="n">
        <v>51</v>
      </c>
      <c r="W10" s="784" t="n">
        <v>120</v>
      </c>
      <c r="X10" s="784" t="n">
        <v>1057</v>
      </c>
      <c r="Y10" s="784" t="n">
        <v>1427</v>
      </c>
      <c r="Z10" s="784" t="n">
        <v>14</v>
      </c>
      <c r="AA10" s="784" t="n">
        <v>86</v>
      </c>
      <c r="AB10" s="786" t="s">
        <v>649</v>
      </c>
    </row>
    <row r="11" s="107" customFormat="true" ht="21.95" hidden="false" customHeight="true" outlineLevel="0" collapsed="false">
      <c r="A11" s="840" t="s">
        <v>650</v>
      </c>
      <c r="B11" s="191" t="n">
        <v>1617</v>
      </c>
      <c r="C11" s="191" t="n">
        <v>3519</v>
      </c>
      <c r="D11" s="191" t="n">
        <v>7736</v>
      </c>
      <c r="E11" s="191" t="n">
        <v>12762</v>
      </c>
      <c r="F11" s="191" t="n">
        <v>10552</v>
      </c>
      <c r="G11" s="191" t="n">
        <v>8715</v>
      </c>
      <c r="H11" s="191" t="n">
        <v>1988</v>
      </c>
      <c r="I11" s="191" t="n">
        <v>2180</v>
      </c>
      <c r="J11" s="191" t="n">
        <v>6951</v>
      </c>
      <c r="K11" s="191" t="n">
        <v>430</v>
      </c>
      <c r="L11" s="191" t="n">
        <v>253</v>
      </c>
      <c r="M11" s="191" t="n">
        <v>850</v>
      </c>
      <c r="N11" s="841" t="s">
        <v>650</v>
      </c>
      <c r="O11" s="840" t="s">
        <v>650</v>
      </c>
      <c r="P11" s="191" t="n">
        <v>34</v>
      </c>
      <c r="Q11" s="191" t="n">
        <v>137</v>
      </c>
      <c r="R11" s="191" t="n">
        <v>165</v>
      </c>
      <c r="S11" s="191" t="n">
        <v>508</v>
      </c>
      <c r="T11" s="191" t="n">
        <v>29</v>
      </c>
      <c r="U11" s="191" t="n">
        <v>78</v>
      </c>
      <c r="V11" s="191" t="n">
        <v>56</v>
      </c>
      <c r="W11" s="191" t="n">
        <v>120</v>
      </c>
      <c r="X11" s="191" t="n">
        <v>812</v>
      </c>
      <c r="Y11" s="191" t="n">
        <v>1181</v>
      </c>
      <c r="Z11" s="191" t="s">
        <v>651</v>
      </c>
      <c r="AA11" s="191" t="s">
        <v>651</v>
      </c>
      <c r="AB11" s="841" t="s">
        <v>650</v>
      </c>
    </row>
    <row r="12" s="107" customFormat="true" ht="21.95" hidden="false" customHeight="true" outlineLevel="0" collapsed="false">
      <c r="A12" s="783" t="s">
        <v>652</v>
      </c>
      <c r="B12" s="784" t="n">
        <v>1734</v>
      </c>
      <c r="C12" s="784" t="n">
        <v>3339</v>
      </c>
      <c r="D12" s="784" t="n">
        <v>10305</v>
      </c>
      <c r="E12" s="784" t="n">
        <v>14097</v>
      </c>
      <c r="F12" s="784" t="n">
        <v>11027</v>
      </c>
      <c r="G12" s="784" t="n">
        <v>9024</v>
      </c>
      <c r="H12" s="784" t="n">
        <v>1840</v>
      </c>
      <c r="I12" s="784" t="n">
        <v>2057</v>
      </c>
      <c r="J12" s="784" t="n">
        <v>6910</v>
      </c>
      <c r="K12" s="784" t="n">
        <v>421</v>
      </c>
      <c r="L12" s="784" t="n">
        <v>249</v>
      </c>
      <c r="M12" s="784" t="n">
        <v>812</v>
      </c>
      <c r="N12" s="786" t="s">
        <v>652</v>
      </c>
      <c r="O12" s="783" t="s">
        <v>652</v>
      </c>
      <c r="P12" s="784" t="n">
        <v>36</v>
      </c>
      <c r="Q12" s="784" t="n">
        <v>136</v>
      </c>
      <c r="R12" s="784" t="n">
        <v>128</v>
      </c>
      <c r="S12" s="784" t="n">
        <v>412</v>
      </c>
      <c r="T12" s="784" t="n">
        <v>35</v>
      </c>
      <c r="U12" s="784" t="n">
        <v>88</v>
      </c>
      <c r="V12" s="784" t="n">
        <v>46</v>
      </c>
      <c r="W12" s="784" t="n">
        <v>120</v>
      </c>
      <c r="X12" s="784" t="n">
        <v>711</v>
      </c>
      <c r="Y12" s="784" t="n">
        <v>1008</v>
      </c>
      <c r="Z12" s="784" t="s">
        <v>651</v>
      </c>
      <c r="AA12" s="784" t="s">
        <v>651</v>
      </c>
      <c r="AB12" s="786" t="s">
        <v>652</v>
      </c>
    </row>
    <row r="13" s="107" customFormat="true" ht="21.95" hidden="false" customHeight="true" outlineLevel="0" collapsed="false">
      <c r="A13" s="840" t="s">
        <v>653</v>
      </c>
      <c r="B13" s="191" t="n">
        <v>1916</v>
      </c>
      <c r="C13" s="191" t="n">
        <v>3275</v>
      </c>
      <c r="D13" s="191" t="n">
        <v>11249</v>
      </c>
      <c r="E13" s="191" t="n">
        <v>14110</v>
      </c>
      <c r="F13" s="191" t="n">
        <v>11921</v>
      </c>
      <c r="G13" s="191" t="n">
        <v>9296</v>
      </c>
      <c r="H13" s="191" t="n">
        <v>1673</v>
      </c>
      <c r="I13" s="191" t="n">
        <v>1909</v>
      </c>
      <c r="J13" s="191" t="n">
        <v>6742</v>
      </c>
      <c r="K13" s="191" t="n">
        <v>417</v>
      </c>
      <c r="L13" s="191" t="n">
        <v>238</v>
      </c>
      <c r="M13" s="191" t="n">
        <v>785</v>
      </c>
      <c r="N13" s="841" t="s">
        <v>653</v>
      </c>
      <c r="O13" s="840" t="s">
        <v>653</v>
      </c>
      <c r="P13" s="191" t="n">
        <v>34</v>
      </c>
      <c r="Q13" s="191" t="n">
        <v>130</v>
      </c>
      <c r="R13" s="191" t="n">
        <v>126</v>
      </c>
      <c r="S13" s="191" t="n">
        <v>406</v>
      </c>
      <c r="T13" s="191" t="n">
        <v>37</v>
      </c>
      <c r="U13" s="191" t="n">
        <v>74</v>
      </c>
      <c r="V13" s="191" t="n">
        <v>52</v>
      </c>
      <c r="W13" s="191" t="n">
        <v>120</v>
      </c>
      <c r="X13" s="191" t="n">
        <v>821</v>
      </c>
      <c r="Y13" s="191" t="n">
        <v>1107</v>
      </c>
      <c r="Z13" s="191" t="n">
        <v>27</v>
      </c>
      <c r="AA13" s="191" t="n">
        <v>40</v>
      </c>
      <c r="AB13" s="841" t="s">
        <v>653</v>
      </c>
    </row>
    <row r="14" s="107" customFormat="true" ht="21.95" hidden="false" customHeight="true" outlineLevel="0" collapsed="false">
      <c r="A14" s="783" t="s">
        <v>654</v>
      </c>
      <c r="B14" s="784" t="n">
        <v>1808</v>
      </c>
      <c r="C14" s="784" t="n">
        <v>3069</v>
      </c>
      <c r="D14" s="784" t="n">
        <v>10726</v>
      </c>
      <c r="E14" s="784" t="n">
        <v>13955</v>
      </c>
      <c r="F14" s="784" t="n">
        <v>11766</v>
      </c>
      <c r="G14" s="784" t="n">
        <v>9319</v>
      </c>
      <c r="H14" s="784" t="n">
        <v>1606</v>
      </c>
      <c r="I14" s="784" t="n">
        <v>1833</v>
      </c>
      <c r="J14" s="784" t="n">
        <v>6502</v>
      </c>
      <c r="K14" s="784" t="n">
        <v>402</v>
      </c>
      <c r="L14" s="784" t="n">
        <v>233</v>
      </c>
      <c r="M14" s="784" t="n">
        <v>749</v>
      </c>
      <c r="N14" s="786" t="s">
        <v>654</v>
      </c>
      <c r="O14" s="783" t="s">
        <v>654</v>
      </c>
      <c r="P14" s="784" t="n">
        <v>34</v>
      </c>
      <c r="Q14" s="784" t="n">
        <v>112</v>
      </c>
      <c r="R14" s="784" t="n">
        <v>115</v>
      </c>
      <c r="S14" s="784" t="n">
        <v>388</v>
      </c>
      <c r="T14" s="784" t="n">
        <v>38</v>
      </c>
      <c r="U14" s="784" t="n">
        <v>75</v>
      </c>
      <c r="V14" s="784" t="n">
        <v>52</v>
      </c>
      <c r="W14" s="784" t="n">
        <v>122</v>
      </c>
      <c r="X14" s="784" t="n">
        <v>859</v>
      </c>
      <c r="Y14" s="784" t="n">
        <v>1128</v>
      </c>
      <c r="Z14" s="784" t="n">
        <v>30</v>
      </c>
      <c r="AA14" s="784" t="n">
        <v>42</v>
      </c>
      <c r="AB14" s="786" t="s">
        <v>654</v>
      </c>
    </row>
    <row r="15" s="107" customFormat="true" ht="21.95" hidden="false" customHeight="true" outlineLevel="0" collapsed="false">
      <c r="A15" s="840" t="s">
        <v>655</v>
      </c>
      <c r="B15" s="191" t="n">
        <v>1850</v>
      </c>
      <c r="C15" s="191" t="n">
        <v>3073</v>
      </c>
      <c r="D15" s="191" t="n">
        <v>11115</v>
      </c>
      <c r="E15" s="191" t="n">
        <v>14041</v>
      </c>
      <c r="F15" s="191" t="n">
        <v>12222</v>
      </c>
      <c r="G15" s="191" t="n">
        <v>9501</v>
      </c>
      <c r="H15" s="191" t="n">
        <v>1507</v>
      </c>
      <c r="I15" s="191" t="n">
        <v>1746</v>
      </c>
      <c r="J15" s="191" t="n">
        <v>6838</v>
      </c>
      <c r="K15" s="191" t="n">
        <v>410</v>
      </c>
      <c r="L15" s="191" t="n">
        <v>218</v>
      </c>
      <c r="M15" s="191" t="n">
        <v>735</v>
      </c>
      <c r="N15" s="841" t="s">
        <v>655</v>
      </c>
      <c r="O15" s="840" t="s">
        <v>655</v>
      </c>
      <c r="P15" s="191" t="n">
        <v>30</v>
      </c>
      <c r="Q15" s="191" t="n">
        <v>109</v>
      </c>
      <c r="R15" s="191" t="n">
        <v>116</v>
      </c>
      <c r="S15" s="191" t="n">
        <v>381</v>
      </c>
      <c r="T15" s="191" t="n">
        <v>38</v>
      </c>
      <c r="U15" s="191" t="n">
        <v>75</v>
      </c>
      <c r="V15" s="191" t="n">
        <v>58</v>
      </c>
      <c r="W15" s="191" t="n">
        <v>126</v>
      </c>
      <c r="X15" s="191" t="n">
        <v>800</v>
      </c>
      <c r="Y15" s="191" t="n">
        <v>1079</v>
      </c>
      <c r="Z15" s="191" t="n">
        <v>24</v>
      </c>
      <c r="AA15" s="191" t="n">
        <v>38</v>
      </c>
      <c r="AB15" s="841" t="s">
        <v>655</v>
      </c>
    </row>
    <row r="16" s="107" customFormat="true" ht="21.95" hidden="false" customHeight="true" outlineLevel="0" collapsed="false">
      <c r="A16" s="783" t="s">
        <v>656</v>
      </c>
      <c r="B16" s="784" t="n">
        <v>1832</v>
      </c>
      <c r="C16" s="784" t="n">
        <v>2971</v>
      </c>
      <c r="D16" s="784" t="n">
        <v>11521</v>
      </c>
      <c r="E16" s="784" t="n">
        <v>14030</v>
      </c>
      <c r="F16" s="784" t="n">
        <v>12837</v>
      </c>
      <c r="G16" s="784" t="n">
        <v>9745</v>
      </c>
      <c r="H16" s="784" t="n">
        <v>1253</v>
      </c>
      <c r="I16" s="784" t="n">
        <v>1586</v>
      </c>
      <c r="J16" s="784" t="n">
        <v>6484</v>
      </c>
      <c r="K16" s="784" t="n">
        <v>404</v>
      </c>
      <c r="L16" s="784" t="n">
        <v>211</v>
      </c>
      <c r="M16" s="784" t="n">
        <v>690</v>
      </c>
      <c r="N16" s="786" t="s">
        <v>656</v>
      </c>
      <c r="O16" s="783" t="s">
        <v>656</v>
      </c>
      <c r="P16" s="784" t="n">
        <v>30</v>
      </c>
      <c r="Q16" s="784" t="n">
        <v>108</v>
      </c>
      <c r="R16" s="784" t="n">
        <v>122</v>
      </c>
      <c r="S16" s="784" t="n">
        <v>382</v>
      </c>
      <c r="T16" s="784" t="n">
        <v>39</v>
      </c>
      <c r="U16" s="784" t="n">
        <v>75</v>
      </c>
      <c r="V16" s="784" t="n">
        <v>57</v>
      </c>
      <c r="W16" s="784" t="n">
        <v>126</v>
      </c>
      <c r="X16" s="784" t="n">
        <v>794</v>
      </c>
      <c r="Y16" s="784" t="n">
        <v>1008</v>
      </c>
      <c r="Z16" s="784" t="n">
        <v>78</v>
      </c>
      <c r="AA16" s="784" t="n">
        <v>38</v>
      </c>
      <c r="AB16" s="786" t="s">
        <v>656</v>
      </c>
    </row>
    <row r="17" s="107" customFormat="true" ht="17.25" hidden="false" customHeight="true" outlineLevel="0" collapsed="false">
      <c r="A17" s="840" t="s">
        <v>657</v>
      </c>
      <c r="B17" s="191" t="n">
        <v>1500</v>
      </c>
      <c r="C17" s="191" t="n">
        <v>2532</v>
      </c>
      <c r="D17" s="191" t="n">
        <v>9820</v>
      </c>
      <c r="E17" s="191" t="n">
        <v>13047</v>
      </c>
      <c r="F17" s="191" t="n">
        <v>13837</v>
      </c>
      <c r="G17" s="191" t="n">
        <v>10042</v>
      </c>
      <c r="H17" s="191" t="n">
        <v>976</v>
      </c>
      <c r="I17" s="191" t="n">
        <v>1380</v>
      </c>
      <c r="J17" s="191" t="n">
        <v>6423</v>
      </c>
      <c r="K17" s="191" t="n">
        <v>388</v>
      </c>
      <c r="L17" s="191" t="n">
        <v>191</v>
      </c>
      <c r="M17" s="191" t="n">
        <v>597</v>
      </c>
      <c r="N17" s="841" t="s">
        <v>657</v>
      </c>
      <c r="O17" s="840" t="s">
        <v>657</v>
      </c>
      <c r="P17" s="191" t="n">
        <v>18</v>
      </c>
      <c r="Q17" s="191" t="n">
        <v>60</v>
      </c>
      <c r="R17" s="191" t="n">
        <v>121</v>
      </c>
      <c r="S17" s="191" t="n">
        <v>380</v>
      </c>
      <c r="T17" s="191" t="n">
        <v>38</v>
      </c>
      <c r="U17" s="191" t="n">
        <v>78</v>
      </c>
      <c r="V17" s="191" t="n">
        <v>58</v>
      </c>
      <c r="W17" s="191" t="n">
        <v>132</v>
      </c>
      <c r="X17" s="191" t="n">
        <v>1035</v>
      </c>
      <c r="Y17" s="191" t="n">
        <v>965</v>
      </c>
      <c r="Z17" s="191" t="n">
        <v>3</v>
      </c>
      <c r="AA17" s="191" t="n">
        <v>4</v>
      </c>
      <c r="AB17" s="841" t="s">
        <v>657</v>
      </c>
    </row>
    <row r="18" s="107" customFormat="true" ht="17.25" hidden="false" customHeight="true" outlineLevel="0" collapsed="false">
      <c r="A18" s="783" t="s">
        <v>658</v>
      </c>
      <c r="B18" s="784" t="n">
        <v>1754</v>
      </c>
      <c r="C18" s="784" t="n">
        <v>2556</v>
      </c>
      <c r="D18" s="784" t="n">
        <v>10810</v>
      </c>
      <c r="E18" s="784" t="n">
        <v>13416</v>
      </c>
      <c r="F18" s="784" t="n">
        <v>13975</v>
      </c>
      <c r="G18" s="784" t="n">
        <v>10047</v>
      </c>
      <c r="H18" s="784" t="n">
        <v>735</v>
      </c>
      <c r="I18" s="784" t="n">
        <v>1184</v>
      </c>
      <c r="J18" s="784" t="n">
        <v>5511</v>
      </c>
      <c r="K18" s="784" t="n">
        <v>377</v>
      </c>
      <c r="L18" s="784" t="n">
        <v>183</v>
      </c>
      <c r="M18" s="784" t="n">
        <v>536</v>
      </c>
      <c r="N18" s="786" t="s">
        <v>658</v>
      </c>
      <c r="O18" s="842" t="s">
        <v>658</v>
      </c>
      <c r="P18" s="197" t="n">
        <v>17</v>
      </c>
      <c r="Q18" s="197" t="n">
        <v>55</v>
      </c>
      <c r="R18" s="197" t="n">
        <v>115</v>
      </c>
      <c r="S18" s="197" t="n">
        <v>333</v>
      </c>
      <c r="T18" s="197" t="n">
        <v>43</v>
      </c>
      <c r="U18" s="197" t="n">
        <v>78</v>
      </c>
      <c r="V18" s="197" t="n">
        <v>58</v>
      </c>
      <c r="W18" s="197" t="n">
        <v>130</v>
      </c>
      <c r="X18" s="280" t="n">
        <v>838</v>
      </c>
      <c r="Y18" s="280" t="n">
        <v>993</v>
      </c>
      <c r="Z18" s="197" t="n">
        <v>18</v>
      </c>
      <c r="AA18" s="197" t="n">
        <v>26</v>
      </c>
      <c r="AB18" s="843" t="s">
        <v>658</v>
      </c>
    </row>
    <row r="19" s="107" customFormat="true" ht="19.5" hidden="false" customHeight="true" outlineLevel="0" collapsed="false">
      <c r="A19" s="840" t="s">
        <v>558</v>
      </c>
      <c r="B19" s="191" t="n">
        <v>1512</v>
      </c>
      <c r="C19" s="191" t="n">
        <v>2238</v>
      </c>
      <c r="D19" s="191" t="n">
        <v>10841</v>
      </c>
      <c r="E19" s="191" t="n">
        <v>13382</v>
      </c>
      <c r="F19" s="191" t="n">
        <v>14965</v>
      </c>
      <c r="G19" s="191" t="n">
        <v>10522</v>
      </c>
      <c r="H19" s="191" t="n">
        <v>737</v>
      </c>
      <c r="I19" s="191" t="n">
        <v>988</v>
      </c>
      <c r="J19" s="191" t="n">
        <v>5770</v>
      </c>
      <c r="K19" s="191" t="n">
        <v>371</v>
      </c>
      <c r="L19" s="191" t="n">
        <v>189</v>
      </c>
      <c r="M19" s="191" t="n">
        <v>520</v>
      </c>
      <c r="N19" s="841" t="s">
        <v>558</v>
      </c>
      <c r="O19" s="840" t="s">
        <v>558</v>
      </c>
      <c r="P19" s="191" t="n">
        <v>19</v>
      </c>
      <c r="Q19" s="191" t="n">
        <v>60</v>
      </c>
      <c r="R19" s="191" t="n">
        <v>117</v>
      </c>
      <c r="S19" s="191" t="n">
        <v>340</v>
      </c>
      <c r="T19" s="191" t="n">
        <v>39</v>
      </c>
      <c r="U19" s="191" t="n">
        <v>76</v>
      </c>
      <c r="V19" s="288" t="n">
        <v>58</v>
      </c>
      <c r="W19" s="288" t="n">
        <v>129</v>
      </c>
      <c r="X19" s="191" t="n">
        <v>879</v>
      </c>
      <c r="Y19" s="191" t="n">
        <v>1034</v>
      </c>
      <c r="Z19" s="191" t="n">
        <v>18</v>
      </c>
      <c r="AA19" s="191" t="n">
        <v>25</v>
      </c>
      <c r="AB19" s="841" t="s">
        <v>558</v>
      </c>
    </row>
    <row r="20" s="221" customFormat="true" ht="19.5" hidden="false" customHeight="true" outlineLevel="0" collapsed="false">
      <c r="A20" s="842" t="s">
        <v>531</v>
      </c>
      <c r="B20" s="197" t="n">
        <v>1507</v>
      </c>
      <c r="C20" s="197" t="n">
        <v>2270</v>
      </c>
      <c r="D20" s="197" t="n">
        <v>9662</v>
      </c>
      <c r="E20" s="197" t="n">
        <v>12474</v>
      </c>
      <c r="F20" s="197" t="n">
        <v>17762</v>
      </c>
      <c r="G20" s="197" t="n">
        <v>11386</v>
      </c>
      <c r="H20" s="197" t="n">
        <v>844</v>
      </c>
      <c r="I20" s="197" t="n">
        <v>958</v>
      </c>
      <c r="J20" s="197" t="n">
        <v>4984</v>
      </c>
      <c r="K20" s="197" t="n">
        <v>320</v>
      </c>
      <c r="L20" s="280" t="n">
        <v>228</v>
      </c>
      <c r="M20" s="280" t="n">
        <v>577</v>
      </c>
      <c r="N20" s="843" t="s">
        <v>531</v>
      </c>
      <c r="O20" s="842" t="s">
        <v>531</v>
      </c>
      <c r="P20" s="197" t="n">
        <v>21</v>
      </c>
      <c r="Q20" s="197" t="n">
        <v>60</v>
      </c>
      <c r="R20" s="280" t="n">
        <v>72</v>
      </c>
      <c r="S20" s="280" t="n">
        <v>179</v>
      </c>
      <c r="T20" s="197" t="n">
        <v>40</v>
      </c>
      <c r="U20" s="197" t="n">
        <v>72</v>
      </c>
      <c r="V20" s="280" t="n">
        <v>59</v>
      </c>
      <c r="W20" s="280" t="n">
        <v>133</v>
      </c>
      <c r="X20" s="197" t="n">
        <v>832</v>
      </c>
      <c r="Y20" s="197" t="n">
        <v>1089</v>
      </c>
      <c r="Z20" s="280" t="n">
        <v>15</v>
      </c>
      <c r="AA20" s="280" t="n">
        <v>22</v>
      </c>
      <c r="AB20" s="843" t="s">
        <v>531</v>
      </c>
    </row>
    <row r="21" s="221" customFormat="true" ht="18.75" hidden="false" customHeight="true" outlineLevel="0" collapsed="false">
      <c r="A21" s="840" t="s">
        <v>532</v>
      </c>
      <c r="B21" s="191" t="n">
        <v>1895</v>
      </c>
      <c r="C21" s="191" t="n">
        <v>2633</v>
      </c>
      <c r="D21" s="191" t="n">
        <v>11613</v>
      </c>
      <c r="E21" s="191" t="n">
        <v>13585</v>
      </c>
      <c r="F21" s="191" t="n">
        <v>17809</v>
      </c>
      <c r="G21" s="191" t="n">
        <v>11654</v>
      </c>
      <c r="H21" s="191" t="n">
        <v>849</v>
      </c>
      <c r="I21" s="191" t="n">
        <v>975</v>
      </c>
      <c r="J21" s="191" t="n">
        <v>5232</v>
      </c>
      <c r="K21" s="191" t="n">
        <v>312</v>
      </c>
      <c r="L21" s="191" t="n">
        <v>228</v>
      </c>
      <c r="M21" s="191" t="n">
        <v>578</v>
      </c>
      <c r="N21" s="841" t="s">
        <v>532</v>
      </c>
      <c r="O21" s="840" t="s">
        <v>532</v>
      </c>
      <c r="P21" s="191" t="n">
        <v>18</v>
      </c>
      <c r="Q21" s="191" t="n">
        <v>54</v>
      </c>
      <c r="R21" s="191" t="n">
        <v>61</v>
      </c>
      <c r="S21" s="191" t="n">
        <v>175</v>
      </c>
      <c r="T21" s="191" t="n">
        <v>40</v>
      </c>
      <c r="U21" s="191" t="n">
        <v>74</v>
      </c>
      <c r="V21" s="191" t="n">
        <v>59</v>
      </c>
      <c r="W21" s="191" t="n">
        <v>134</v>
      </c>
      <c r="X21" s="191" t="n">
        <v>842</v>
      </c>
      <c r="Y21" s="191" t="n">
        <v>1039</v>
      </c>
      <c r="Z21" s="191" t="n">
        <v>12</v>
      </c>
      <c r="AA21" s="191" t="n">
        <v>18</v>
      </c>
      <c r="AB21" s="841" t="s">
        <v>532</v>
      </c>
    </row>
    <row r="22" s="221" customFormat="true" ht="20.25" hidden="false" customHeight="true" outlineLevel="0" collapsed="false">
      <c r="A22" s="842" t="s">
        <v>203</v>
      </c>
      <c r="B22" s="197" t="n">
        <v>1709</v>
      </c>
      <c r="C22" s="197" t="n">
        <v>2431</v>
      </c>
      <c r="D22" s="197" t="n">
        <v>12207</v>
      </c>
      <c r="E22" s="197" t="n">
        <v>13993</v>
      </c>
      <c r="F22" s="197" t="n">
        <v>18059</v>
      </c>
      <c r="G22" s="197" t="n">
        <v>11631</v>
      </c>
      <c r="H22" s="197" t="n">
        <v>901</v>
      </c>
      <c r="I22" s="197" t="n">
        <v>930</v>
      </c>
      <c r="J22" s="197" t="n">
        <v>4491</v>
      </c>
      <c r="K22" s="197" t="n">
        <v>290</v>
      </c>
      <c r="L22" s="197" t="n">
        <v>222</v>
      </c>
      <c r="M22" s="197" t="n">
        <v>608</v>
      </c>
      <c r="N22" s="843" t="s">
        <v>203</v>
      </c>
      <c r="O22" s="842" t="s">
        <v>203</v>
      </c>
      <c r="P22" s="197" t="n">
        <v>20</v>
      </c>
      <c r="Q22" s="197" t="n">
        <v>57</v>
      </c>
      <c r="R22" s="197" t="n">
        <v>71</v>
      </c>
      <c r="S22" s="197" t="n">
        <v>191</v>
      </c>
      <c r="T22" s="197" t="n">
        <v>55</v>
      </c>
      <c r="U22" s="197" t="n">
        <v>95</v>
      </c>
      <c r="V22" s="197" t="n">
        <v>68</v>
      </c>
      <c r="W22" s="197" t="n">
        <v>136</v>
      </c>
      <c r="X22" s="197" t="n">
        <v>916</v>
      </c>
      <c r="Y22" s="197" t="n">
        <v>1029</v>
      </c>
      <c r="Z22" s="197" t="n">
        <v>20</v>
      </c>
      <c r="AA22" s="197" t="n">
        <v>24</v>
      </c>
      <c r="AB22" s="843" t="s">
        <v>203</v>
      </c>
    </row>
    <row r="23" s="107" customFormat="true" ht="17.25" hidden="false" customHeight="true" outlineLevel="0" collapsed="false">
      <c r="A23" s="840" t="s">
        <v>205</v>
      </c>
      <c r="B23" s="191" t="n">
        <v>2133</v>
      </c>
      <c r="C23" s="191" t="n">
        <v>2750</v>
      </c>
      <c r="D23" s="288" t="n">
        <v>12792</v>
      </c>
      <c r="E23" s="288" t="n">
        <v>13951</v>
      </c>
      <c r="F23" s="288" t="n">
        <v>18617</v>
      </c>
      <c r="G23" s="288" t="n">
        <v>11788</v>
      </c>
      <c r="H23" s="288" t="n">
        <v>972</v>
      </c>
      <c r="I23" s="288" t="n">
        <v>923</v>
      </c>
      <c r="J23" s="288" t="n">
        <v>4671</v>
      </c>
      <c r="K23" s="288" t="n">
        <v>287</v>
      </c>
      <c r="L23" s="288" t="n">
        <v>246</v>
      </c>
      <c r="M23" s="288" t="n">
        <v>623</v>
      </c>
      <c r="N23" s="290" t="s">
        <v>205</v>
      </c>
      <c r="O23" s="287" t="s">
        <v>205</v>
      </c>
      <c r="P23" s="288" t="n">
        <v>19</v>
      </c>
      <c r="Q23" s="288" t="n">
        <v>68</v>
      </c>
      <c r="R23" s="288" t="n">
        <v>80</v>
      </c>
      <c r="S23" s="288" t="n">
        <v>205</v>
      </c>
      <c r="T23" s="288" t="n">
        <v>79</v>
      </c>
      <c r="U23" s="288" t="n">
        <v>121</v>
      </c>
      <c r="V23" s="288" t="n">
        <v>61</v>
      </c>
      <c r="W23" s="288" t="n">
        <v>140</v>
      </c>
      <c r="X23" s="288" t="n">
        <v>1511</v>
      </c>
      <c r="Y23" s="288" t="n">
        <v>1751</v>
      </c>
      <c r="Z23" s="288" t="n">
        <v>14</v>
      </c>
      <c r="AA23" s="288" t="n">
        <v>24</v>
      </c>
      <c r="AB23" s="290" t="s">
        <v>205</v>
      </c>
    </row>
    <row r="24" s="107" customFormat="true" ht="18.75" hidden="false" customHeight="true" outlineLevel="0" collapsed="false">
      <c r="A24" s="842" t="s">
        <v>282</v>
      </c>
      <c r="B24" s="197" t="n">
        <v>2332</v>
      </c>
      <c r="C24" s="197" t="n">
        <v>2812</v>
      </c>
      <c r="D24" s="184" t="n">
        <v>12798</v>
      </c>
      <c r="E24" s="184" t="n">
        <v>13789</v>
      </c>
      <c r="F24" s="184" t="n">
        <v>18759</v>
      </c>
      <c r="G24" s="184" t="n">
        <v>11886</v>
      </c>
      <c r="H24" s="184" t="n">
        <v>995</v>
      </c>
      <c r="I24" s="184" t="n">
        <v>885</v>
      </c>
      <c r="J24" s="184" t="n">
        <v>4603</v>
      </c>
      <c r="K24" s="184" t="n">
        <v>279</v>
      </c>
      <c r="L24" s="184" t="n">
        <v>262</v>
      </c>
      <c r="M24" s="184" t="n">
        <v>682</v>
      </c>
      <c r="N24" s="293" t="s">
        <v>282</v>
      </c>
      <c r="O24" s="291" t="s">
        <v>282</v>
      </c>
      <c r="P24" s="184" t="n">
        <v>26</v>
      </c>
      <c r="Q24" s="184" t="n">
        <v>91</v>
      </c>
      <c r="R24" s="184" t="n">
        <v>80</v>
      </c>
      <c r="S24" s="184" t="n">
        <v>213</v>
      </c>
      <c r="T24" s="184" t="n">
        <v>85</v>
      </c>
      <c r="U24" s="184" t="n">
        <v>126</v>
      </c>
      <c r="V24" s="184" t="n">
        <v>61</v>
      </c>
      <c r="W24" s="184" t="n">
        <v>143</v>
      </c>
      <c r="X24" s="184" t="n">
        <v>1441</v>
      </c>
      <c r="Y24" s="184" t="n">
        <v>1878</v>
      </c>
      <c r="Z24" s="184" t="n">
        <v>16</v>
      </c>
      <c r="AA24" s="184" t="n">
        <v>25</v>
      </c>
      <c r="AB24" s="293" t="s">
        <v>282</v>
      </c>
    </row>
    <row r="25" s="107" customFormat="true" ht="18.75" hidden="false" customHeight="true" outlineLevel="0" collapsed="false">
      <c r="A25" s="840" t="s">
        <v>207</v>
      </c>
      <c r="B25" s="191" t="n">
        <v>2158</v>
      </c>
      <c r="C25" s="191" t="n">
        <v>2602</v>
      </c>
      <c r="D25" s="288" t="n">
        <v>12897</v>
      </c>
      <c r="E25" s="288" t="n">
        <v>13863</v>
      </c>
      <c r="F25" s="288" t="n">
        <v>18778</v>
      </c>
      <c r="G25" s="288" t="n">
        <v>11763</v>
      </c>
      <c r="H25" s="288" t="n">
        <v>1255</v>
      </c>
      <c r="I25" s="288" t="n">
        <v>1029</v>
      </c>
      <c r="J25" s="288" t="n">
        <v>4469</v>
      </c>
      <c r="K25" s="288" t="n">
        <v>270</v>
      </c>
      <c r="L25" s="288" t="n">
        <v>294</v>
      </c>
      <c r="M25" s="288" t="n">
        <v>728</v>
      </c>
      <c r="N25" s="290" t="s">
        <v>207</v>
      </c>
      <c r="O25" s="287" t="s">
        <v>207</v>
      </c>
      <c r="P25" s="288" t="n">
        <v>25</v>
      </c>
      <c r="Q25" s="288" t="n">
        <v>87</v>
      </c>
      <c r="R25" s="288" t="n">
        <v>93</v>
      </c>
      <c r="S25" s="288" t="n">
        <v>222</v>
      </c>
      <c r="T25" s="288" t="n">
        <v>79</v>
      </c>
      <c r="U25" s="288" t="n">
        <v>119</v>
      </c>
      <c r="V25" s="288" t="n">
        <v>63</v>
      </c>
      <c r="W25" s="288" t="n">
        <v>144</v>
      </c>
      <c r="X25" s="288" t="n">
        <v>1370</v>
      </c>
      <c r="Y25" s="288" t="n">
        <v>1683</v>
      </c>
      <c r="Z25" s="288" t="n">
        <v>20</v>
      </c>
      <c r="AA25" s="288" t="n">
        <v>31</v>
      </c>
      <c r="AB25" s="290" t="s">
        <v>207</v>
      </c>
    </row>
    <row r="26" s="107" customFormat="true" ht="18.75" hidden="false" customHeight="true" outlineLevel="0" collapsed="false">
      <c r="A26" s="842" t="s">
        <v>208</v>
      </c>
      <c r="B26" s="197" t="n">
        <v>2326</v>
      </c>
      <c r="C26" s="197" t="n">
        <v>2598</v>
      </c>
      <c r="D26" s="184" t="n">
        <v>13023</v>
      </c>
      <c r="E26" s="184" t="n">
        <v>13666</v>
      </c>
      <c r="F26" s="184" t="n">
        <v>19007</v>
      </c>
      <c r="G26" s="184" t="n">
        <v>11837</v>
      </c>
      <c r="H26" s="184" t="n">
        <v>1303</v>
      </c>
      <c r="I26" s="184" t="n">
        <v>1062</v>
      </c>
      <c r="J26" s="184" t="n">
        <v>4508</v>
      </c>
      <c r="K26" s="184" t="n">
        <v>265</v>
      </c>
      <c r="L26" s="184" t="n">
        <v>296</v>
      </c>
      <c r="M26" s="184" t="n">
        <v>724</v>
      </c>
      <c r="N26" s="293" t="s">
        <v>208</v>
      </c>
      <c r="O26" s="291" t="s">
        <v>208</v>
      </c>
      <c r="P26" s="184" t="n">
        <v>32</v>
      </c>
      <c r="Q26" s="184" t="n">
        <v>97</v>
      </c>
      <c r="R26" s="184" t="n">
        <v>157</v>
      </c>
      <c r="S26" s="184" t="n">
        <v>308</v>
      </c>
      <c r="T26" s="184" t="n">
        <v>85</v>
      </c>
      <c r="U26" s="184" t="n">
        <v>124</v>
      </c>
      <c r="V26" s="184" t="n">
        <v>67</v>
      </c>
      <c r="W26" s="184" t="n">
        <v>148</v>
      </c>
      <c r="X26" s="184" t="n">
        <v>1338</v>
      </c>
      <c r="Y26" s="184" t="n">
        <v>1645</v>
      </c>
      <c r="Z26" s="184" t="n">
        <v>19</v>
      </c>
      <c r="AA26" s="184" t="n">
        <v>28</v>
      </c>
      <c r="AB26" s="293" t="s">
        <v>208</v>
      </c>
    </row>
    <row r="27" s="107" customFormat="true" ht="18.75" hidden="false" customHeight="true" outlineLevel="0" collapsed="false">
      <c r="A27" s="840" t="s">
        <v>209</v>
      </c>
      <c r="B27" s="191" t="n">
        <v>2328</v>
      </c>
      <c r="C27" s="191" t="n">
        <v>2583</v>
      </c>
      <c r="D27" s="288" t="n">
        <v>13190</v>
      </c>
      <c r="E27" s="288" t="n">
        <v>13665</v>
      </c>
      <c r="F27" s="288" t="n">
        <v>19192</v>
      </c>
      <c r="G27" s="288" t="n">
        <v>11961</v>
      </c>
      <c r="H27" s="288" t="n">
        <v>1348</v>
      </c>
      <c r="I27" s="288" t="n">
        <v>1079</v>
      </c>
      <c r="J27" s="288" t="n">
        <v>4434</v>
      </c>
      <c r="K27" s="288" t="n">
        <v>257</v>
      </c>
      <c r="L27" s="288" t="n">
        <v>359</v>
      </c>
      <c r="M27" s="288" t="n">
        <v>803</v>
      </c>
      <c r="N27" s="841" t="s">
        <v>209</v>
      </c>
      <c r="O27" s="840" t="s">
        <v>209</v>
      </c>
      <c r="P27" s="288" t="n">
        <v>33</v>
      </c>
      <c r="Q27" s="288" t="n">
        <v>96</v>
      </c>
      <c r="R27" s="288" t="n">
        <v>167</v>
      </c>
      <c r="S27" s="288" t="n">
        <v>359</v>
      </c>
      <c r="T27" s="288" t="n">
        <v>94</v>
      </c>
      <c r="U27" s="288" t="n">
        <v>127</v>
      </c>
      <c r="V27" s="288" t="n">
        <v>66</v>
      </c>
      <c r="W27" s="288" t="n">
        <v>149</v>
      </c>
      <c r="X27" s="288" t="n">
        <v>1350</v>
      </c>
      <c r="Y27" s="288" t="n">
        <v>1662</v>
      </c>
      <c r="Z27" s="288" t="n">
        <v>30</v>
      </c>
      <c r="AA27" s="288" t="n">
        <v>33</v>
      </c>
      <c r="AB27" s="841" t="s">
        <v>209</v>
      </c>
    </row>
    <row r="28" s="107" customFormat="true" ht="18.75" hidden="false" customHeight="true" outlineLevel="0" collapsed="false">
      <c r="A28" s="842" t="s">
        <v>211</v>
      </c>
      <c r="B28" s="197" t="n">
        <v>2289</v>
      </c>
      <c r="C28" s="197" t="n">
        <v>2516</v>
      </c>
      <c r="D28" s="184" t="n">
        <v>13483</v>
      </c>
      <c r="E28" s="184" t="n">
        <v>13814</v>
      </c>
      <c r="F28" s="184" t="n">
        <v>18938</v>
      </c>
      <c r="G28" s="184" t="n">
        <v>11794</v>
      </c>
      <c r="H28" s="184" t="n">
        <v>1348</v>
      </c>
      <c r="I28" s="184" t="n">
        <v>1099</v>
      </c>
      <c r="J28" s="197" t="n">
        <v>4207</v>
      </c>
      <c r="K28" s="197" t="n">
        <v>243</v>
      </c>
      <c r="L28" s="197" t="n">
        <v>362</v>
      </c>
      <c r="M28" s="197" t="n">
        <v>787</v>
      </c>
      <c r="N28" s="843" t="s">
        <v>211</v>
      </c>
      <c r="O28" s="842" t="s">
        <v>211</v>
      </c>
      <c r="P28" s="197" t="n">
        <v>37</v>
      </c>
      <c r="Q28" s="197" t="n">
        <v>101</v>
      </c>
      <c r="R28" s="197" t="n">
        <v>158</v>
      </c>
      <c r="S28" s="197" t="n">
        <v>382</v>
      </c>
      <c r="T28" s="197" t="n">
        <v>88</v>
      </c>
      <c r="U28" s="197" t="n">
        <v>115</v>
      </c>
      <c r="V28" s="197" t="n">
        <v>64</v>
      </c>
      <c r="W28" s="197" t="n">
        <v>148</v>
      </c>
      <c r="X28" s="184" t="n">
        <v>1361</v>
      </c>
      <c r="Y28" s="184" t="n">
        <v>1675</v>
      </c>
      <c r="Z28" s="197" t="n">
        <v>33</v>
      </c>
      <c r="AA28" s="197" t="n">
        <v>34</v>
      </c>
      <c r="AB28" s="843" t="s">
        <v>211</v>
      </c>
    </row>
    <row r="29" s="107" customFormat="true" ht="18.75" hidden="false" customHeight="true" outlineLevel="0" collapsed="false">
      <c r="A29" s="840" t="s">
        <v>212</v>
      </c>
      <c r="B29" s="191" t="n">
        <v>2134</v>
      </c>
      <c r="C29" s="191" t="n">
        <v>2327</v>
      </c>
      <c r="D29" s="288" t="n">
        <v>13656</v>
      </c>
      <c r="E29" s="288" t="n">
        <v>13797</v>
      </c>
      <c r="F29" s="288" t="n">
        <v>18014</v>
      </c>
      <c r="G29" s="288" t="n">
        <v>11060</v>
      </c>
      <c r="H29" s="288" t="n">
        <v>1311</v>
      </c>
      <c r="I29" s="288" t="n">
        <v>1026</v>
      </c>
      <c r="J29" s="191" t="n">
        <v>3862</v>
      </c>
      <c r="K29" s="191" t="n">
        <v>227</v>
      </c>
      <c r="L29" s="191" t="n">
        <v>363</v>
      </c>
      <c r="M29" s="191" t="n">
        <v>831</v>
      </c>
      <c r="N29" s="841" t="s">
        <v>212</v>
      </c>
      <c r="O29" s="840" t="s">
        <v>212</v>
      </c>
      <c r="P29" s="191" t="n">
        <v>35</v>
      </c>
      <c r="Q29" s="191" t="n">
        <v>102</v>
      </c>
      <c r="R29" s="191" t="n">
        <v>169</v>
      </c>
      <c r="S29" s="191" t="n">
        <v>382</v>
      </c>
      <c r="T29" s="191" t="n">
        <v>91</v>
      </c>
      <c r="U29" s="191" t="n">
        <v>113</v>
      </c>
      <c r="V29" s="191" t="n">
        <v>82</v>
      </c>
      <c r="W29" s="191" t="n">
        <v>133</v>
      </c>
      <c r="X29" s="288" t="n">
        <v>1484</v>
      </c>
      <c r="Y29" s="288" t="n">
        <v>1823</v>
      </c>
      <c r="Z29" s="191" t="n">
        <v>31</v>
      </c>
      <c r="AA29" s="191" t="n">
        <v>32</v>
      </c>
      <c r="AB29" s="841" t="s">
        <v>212</v>
      </c>
    </row>
    <row r="30" s="222" customFormat="true" ht="15" hidden="false" customHeight="true" outlineLevel="0" collapsed="false">
      <c r="A30" s="842" t="s">
        <v>213</v>
      </c>
      <c r="B30" s="197" t="n">
        <v>2710</v>
      </c>
      <c r="C30" s="197" t="n">
        <v>2657</v>
      </c>
      <c r="D30" s="184" t="n">
        <v>13993</v>
      </c>
      <c r="E30" s="184" t="n">
        <v>14035</v>
      </c>
      <c r="F30" s="184" t="n">
        <v>19576</v>
      </c>
      <c r="G30" s="184" t="n">
        <v>12008</v>
      </c>
      <c r="H30" s="184" t="n">
        <v>1099</v>
      </c>
      <c r="I30" s="184" t="n">
        <v>868</v>
      </c>
      <c r="J30" s="197" t="n">
        <v>3639</v>
      </c>
      <c r="K30" s="197" t="n">
        <v>223</v>
      </c>
      <c r="L30" s="197" t="n">
        <v>352</v>
      </c>
      <c r="M30" s="197" t="n">
        <v>760</v>
      </c>
      <c r="N30" s="843" t="s">
        <v>213</v>
      </c>
      <c r="O30" s="842" t="s">
        <v>213</v>
      </c>
      <c r="P30" s="197" t="n">
        <v>34</v>
      </c>
      <c r="Q30" s="197" t="n">
        <v>93</v>
      </c>
      <c r="R30" s="197" t="n">
        <v>177</v>
      </c>
      <c r="S30" s="197" t="n">
        <v>386</v>
      </c>
      <c r="T30" s="197" t="n">
        <v>89</v>
      </c>
      <c r="U30" s="197" t="n">
        <v>105</v>
      </c>
      <c r="V30" s="197" t="n">
        <v>78</v>
      </c>
      <c r="W30" s="197" t="n">
        <v>133</v>
      </c>
      <c r="X30" s="184" t="n">
        <v>1601</v>
      </c>
      <c r="Y30" s="184" t="n">
        <v>1874</v>
      </c>
      <c r="Z30" s="197" t="n">
        <v>31</v>
      </c>
      <c r="AA30" s="197" t="n">
        <v>32</v>
      </c>
      <c r="AB30" s="843" t="s">
        <v>213</v>
      </c>
    </row>
    <row r="31" s="222" customFormat="true" ht="15" hidden="false" customHeight="true" outlineLevel="0" collapsed="false">
      <c r="A31" s="844" t="s">
        <v>226</v>
      </c>
      <c r="B31" s="845" t="n">
        <v>2775</v>
      </c>
      <c r="C31" s="845" t="n">
        <v>2731</v>
      </c>
      <c r="D31" s="846" t="n">
        <v>14055</v>
      </c>
      <c r="E31" s="846" t="n">
        <v>13892</v>
      </c>
      <c r="F31" s="846" t="n">
        <v>19561</v>
      </c>
      <c r="G31" s="846" t="n">
        <v>11832</v>
      </c>
      <c r="H31" s="846" t="n">
        <v>1017</v>
      </c>
      <c r="I31" s="846" t="n">
        <v>816</v>
      </c>
      <c r="J31" s="845" t="n">
        <v>3203</v>
      </c>
      <c r="K31" s="845" t="n">
        <v>207</v>
      </c>
      <c r="L31" s="845" t="n">
        <v>312</v>
      </c>
      <c r="M31" s="845" t="n">
        <v>667</v>
      </c>
      <c r="N31" s="847" t="s">
        <v>226</v>
      </c>
      <c r="O31" s="844" t="s">
        <v>226</v>
      </c>
      <c r="P31" s="845" t="n">
        <v>34</v>
      </c>
      <c r="Q31" s="845" t="n">
        <v>102</v>
      </c>
      <c r="R31" s="845" t="n">
        <v>161</v>
      </c>
      <c r="S31" s="845" t="n">
        <v>345</v>
      </c>
      <c r="T31" s="845" t="n">
        <v>82</v>
      </c>
      <c r="U31" s="845" t="n">
        <v>94</v>
      </c>
      <c r="V31" s="845" t="n">
        <v>91</v>
      </c>
      <c r="W31" s="845" t="n">
        <v>133</v>
      </c>
      <c r="X31" s="846" t="n">
        <v>1544</v>
      </c>
      <c r="Y31" s="846" t="n">
        <v>1852</v>
      </c>
      <c r="Z31" s="845" t="n">
        <v>19</v>
      </c>
      <c r="AA31" s="845" t="n">
        <v>31</v>
      </c>
      <c r="AB31" s="847" t="s">
        <v>226</v>
      </c>
    </row>
    <row r="32" customFormat="false" ht="12.75" hidden="false" customHeight="true" outlineLevel="0" collapsed="false">
      <c r="A32" s="848" t="s">
        <v>659</v>
      </c>
      <c r="B32" s="848"/>
      <c r="C32" s="848"/>
      <c r="D32" s="848"/>
      <c r="E32" s="848"/>
      <c r="F32" s="776"/>
      <c r="G32" s="776"/>
      <c r="H32" s="776" t="s">
        <v>660</v>
      </c>
      <c r="I32" s="776"/>
      <c r="J32" s="776"/>
      <c r="K32" s="776"/>
      <c r="L32" s="776"/>
      <c r="M32" s="776"/>
      <c r="O32" s="849" t="s">
        <v>661</v>
      </c>
      <c r="P32" s="849"/>
      <c r="Q32" s="849"/>
      <c r="R32" s="849"/>
      <c r="S32" s="849"/>
      <c r="T32" s="849"/>
      <c r="U32" s="849"/>
      <c r="V32" s="850" t="s">
        <v>660</v>
      </c>
      <c r="W32" s="850"/>
      <c r="X32" s="850"/>
      <c r="Y32" s="850"/>
      <c r="Z32" s="850"/>
      <c r="AA32" s="850"/>
    </row>
    <row r="33" customFormat="false" ht="12.75" hidden="false" customHeight="false" outlineLevel="0" collapsed="false">
      <c r="A33" s="851"/>
      <c r="B33" s="852"/>
      <c r="C33" s="852"/>
      <c r="D33" s="852"/>
      <c r="E33" s="852"/>
      <c r="U33" s="853"/>
    </row>
    <row r="34" customFormat="false" ht="12.75" hidden="true" customHeight="false" outlineLevel="0" collapsed="false"/>
    <row r="35" customFormat="false" ht="12.75" hidden="true" customHeight="false" outlineLevel="0" collapsed="false">
      <c r="X35" s="264" t="n">
        <v>7501011</v>
      </c>
      <c r="Y35" s="264" t="n">
        <f aca="false">X35*180/1000000</f>
        <v>1350.18198</v>
      </c>
    </row>
    <row r="36" customFormat="false" ht="12.75" hidden="true" customHeight="false" outlineLevel="0" collapsed="false">
      <c r="X36" s="264" t="n">
        <v>7558934</v>
      </c>
      <c r="Y36" s="264" t="n">
        <f aca="false">X36*180/1000000</f>
        <v>1360.60812</v>
      </c>
    </row>
    <row r="37" customFormat="false" ht="12.75" hidden="true" customHeight="false" outlineLevel="0" collapsed="false"/>
    <row r="38" customFormat="false" ht="12.75" hidden="true" customHeight="false" outlineLevel="0" collapsed="false"/>
    <row r="39" customFormat="false" ht="12.75" hidden="true" customHeight="false" outlineLevel="0" collapsed="false"/>
    <row r="40" customFormat="false" ht="12.75" hidden="true" customHeight="false" outlineLevel="0" collapsed="false"/>
    <row r="41" customFormat="false" ht="12.75" hidden="true" customHeight="false" outlineLevel="0" collapsed="false"/>
  </sheetData>
  <mergeCells count="52">
    <mergeCell ref="A1:G1"/>
    <mergeCell ref="H1:K1"/>
    <mergeCell ref="M1:N1"/>
    <mergeCell ref="O1:U1"/>
    <mergeCell ref="V1:Y1"/>
    <mergeCell ref="AA1:AB1"/>
    <mergeCell ref="A3:A5"/>
    <mergeCell ref="B3:C3"/>
    <mergeCell ref="D3:E3"/>
    <mergeCell ref="F3:G3"/>
    <mergeCell ref="H3:I3"/>
    <mergeCell ref="J3:K3"/>
    <mergeCell ref="L3:M3"/>
    <mergeCell ref="N3:N5"/>
    <mergeCell ref="O3:O5"/>
    <mergeCell ref="P3:Q3"/>
    <mergeCell ref="R3:S3"/>
    <mergeCell ref="T3:U3"/>
    <mergeCell ref="V3:W3"/>
    <mergeCell ref="X3:Y3"/>
    <mergeCell ref="Z3:AA3"/>
    <mergeCell ref="AB3:AB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32:E32"/>
    <mergeCell ref="F32:G32"/>
    <mergeCell ref="H32:J32"/>
    <mergeCell ref="K32:M32"/>
    <mergeCell ref="O32:U32"/>
    <mergeCell ref="V32:AA32"/>
  </mergeCells>
  <printOptions headings="false" gridLines="false" gridLinesSet="true" horizontalCentered="false" verticalCentered="false"/>
  <pageMargins left="0.629861111111111" right="0.511805555555555" top="0.511805555555555" bottom="0.511805555555556" header="0.511805555555555" footer="0.747916666666667"/>
  <pageSetup paperSize="1" scale="100" firstPageNumber="36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>&amp;C&amp;"Times New Roman,Regular"&amp;8&amp;P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6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1" ySplit="4" topLeftCell="G38" activePane="bottomRight" state="frozen"/>
      <selection pane="topLeft" activeCell="A1" activeCellId="0" sqref="A1"/>
      <selection pane="topRight" activeCell="G1" activeCellId="0" sqref="G1"/>
      <selection pane="bottomLeft" activeCell="A38" activeCellId="0" sqref="A38"/>
      <selection pane="bottomRight" activeCell="C60" activeCellId="0" sqref="C60"/>
    </sheetView>
  </sheetViews>
  <sheetFormatPr defaultColWidth="5.8671875" defaultRowHeight="9" zeroHeight="false" outlineLevelRow="0" outlineLevelCol="0"/>
  <cols>
    <col collapsed="false" customWidth="true" hidden="false" outlineLevel="0" max="1" min="1" style="400" width="10.71"/>
    <col collapsed="false" customWidth="true" hidden="false" outlineLevel="0" max="2" min="2" style="400" width="10.42"/>
    <col collapsed="false" customWidth="true" hidden="false" outlineLevel="0" max="3" min="3" style="400" width="11.14"/>
    <col collapsed="false" customWidth="true" hidden="false" outlineLevel="0" max="5" min="4" style="400" width="10.58"/>
    <col collapsed="false" customWidth="true" hidden="false" outlineLevel="0" max="6" min="6" style="400" width="12.29"/>
    <col collapsed="false" customWidth="true" hidden="false" outlineLevel="0" max="8" min="7" style="400" width="9"/>
    <col collapsed="false" customWidth="true" hidden="false" outlineLevel="0" max="9" min="9" style="400" width="10"/>
    <col collapsed="false" customWidth="true" hidden="false" outlineLevel="0" max="10" min="10" style="400" width="9.71"/>
    <col collapsed="false" customWidth="true" hidden="false" outlineLevel="0" max="11" min="11" style="400" width="10.42"/>
    <col collapsed="false" customWidth="true" hidden="false" outlineLevel="0" max="12" min="12" style="400" width="8.86"/>
    <col collapsed="false" customWidth="true" hidden="false" outlineLevel="0" max="13" min="13" style="400" width="9"/>
    <col collapsed="false" customWidth="true" hidden="false" outlineLevel="0" max="14" min="14" style="400" width="9.29"/>
    <col collapsed="false" customWidth="true" hidden="false" outlineLevel="0" max="15" min="15" style="400" width="10"/>
    <col collapsed="false" customWidth="false" hidden="false" outlineLevel="0" max="1024" min="16" style="400" width="5.86"/>
  </cols>
  <sheetData>
    <row r="1" s="380" customFormat="true" ht="14.25" hidden="false" customHeight="true" outlineLevel="0" collapsed="false">
      <c r="C1" s="381" t="s">
        <v>627</v>
      </c>
      <c r="D1" s="381"/>
      <c r="E1" s="381"/>
      <c r="F1" s="381"/>
      <c r="G1" s="381"/>
      <c r="H1" s="854" t="s">
        <v>662</v>
      </c>
      <c r="I1" s="854"/>
      <c r="J1" s="854"/>
      <c r="K1" s="855"/>
      <c r="L1" s="855"/>
      <c r="M1" s="855"/>
      <c r="N1" s="381" t="s">
        <v>663</v>
      </c>
      <c r="O1" s="381"/>
    </row>
    <row r="2" s="349" customFormat="true" ht="12.75" hidden="false" customHeight="true" outlineLevel="0" collapsed="false">
      <c r="G2" s="383" t="s">
        <v>664</v>
      </c>
      <c r="H2" s="856" t="s">
        <v>665</v>
      </c>
      <c r="I2" s="856"/>
      <c r="J2" s="856"/>
    </row>
    <row r="3" s="270" customFormat="true" ht="26.25" hidden="false" customHeight="true" outlineLevel="0" collapsed="false">
      <c r="A3" s="857" t="s">
        <v>260</v>
      </c>
      <c r="B3" s="131" t="s">
        <v>666</v>
      </c>
      <c r="C3" s="131" t="s">
        <v>667</v>
      </c>
      <c r="D3" s="143" t="s">
        <v>668</v>
      </c>
      <c r="E3" s="143" t="s">
        <v>669</v>
      </c>
      <c r="F3" s="143" t="s">
        <v>670</v>
      </c>
      <c r="G3" s="131" t="s">
        <v>671</v>
      </c>
      <c r="H3" s="144" t="s">
        <v>672</v>
      </c>
      <c r="I3" s="143" t="s">
        <v>598</v>
      </c>
      <c r="J3" s="143" t="s">
        <v>673</v>
      </c>
      <c r="K3" s="143" t="s">
        <v>674</v>
      </c>
      <c r="L3" s="131" t="s">
        <v>675</v>
      </c>
      <c r="M3" s="131" t="s">
        <v>676</v>
      </c>
      <c r="N3" s="143" t="s">
        <v>677</v>
      </c>
      <c r="O3" s="857" t="s">
        <v>260</v>
      </c>
    </row>
    <row r="4" s="270" customFormat="true" ht="25.5" hidden="false" customHeight="true" outlineLevel="0" collapsed="false">
      <c r="A4" s="857"/>
      <c r="B4" s="131" t="s">
        <v>678</v>
      </c>
      <c r="C4" s="131" t="s">
        <v>679</v>
      </c>
      <c r="D4" s="131" t="s">
        <v>680</v>
      </c>
      <c r="E4" s="131" t="s">
        <v>680</v>
      </c>
      <c r="F4" s="131" t="s">
        <v>681</v>
      </c>
      <c r="G4" s="131" t="s">
        <v>682</v>
      </c>
      <c r="H4" s="144" t="s">
        <v>683</v>
      </c>
      <c r="I4" s="131" t="s">
        <v>682</v>
      </c>
      <c r="J4" s="131" t="s">
        <v>682</v>
      </c>
      <c r="K4" s="131" t="s">
        <v>684</v>
      </c>
      <c r="L4" s="131" t="s">
        <v>685</v>
      </c>
      <c r="M4" s="131" t="s">
        <v>682</v>
      </c>
      <c r="N4" s="131" t="s">
        <v>686</v>
      </c>
      <c r="O4" s="857"/>
    </row>
    <row r="5" s="222" customFormat="true" ht="11.1" hidden="false" customHeight="true" outlineLevel="0" collapsed="false">
      <c r="A5" s="207" t="s">
        <v>203</v>
      </c>
      <c r="B5" s="181" t="n">
        <v>1006.35</v>
      </c>
      <c r="C5" s="161" t="n">
        <v>52975</v>
      </c>
      <c r="D5" s="161" t="n">
        <v>18676</v>
      </c>
      <c r="E5" s="161" t="s">
        <v>204</v>
      </c>
      <c r="F5" s="161" t="n">
        <v>236790</v>
      </c>
      <c r="G5" s="161" t="n">
        <v>76918</v>
      </c>
      <c r="H5" s="161" t="n">
        <v>156528</v>
      </c>
      <c r="I5" s="161" t="n">
        <v>62203</v>
      </c>
      <c r="J5" s="161" t="n">
        <v>1138644</v>
      </c>
      <c r="K5" s="161" t="s">
        <v>204</v>
      </c>
      <c r="L5" s="161" t="n">
        <v>2021</v>
      </c>
      <c r="M5" s="161" t="s">
        <v>204</v>
      </c>
      <c r="N5" s="161" t="n">
        <v>13330</v>
      </c>
      <c r="O5" s="364" t="s">
        <v>203</v>
      </c>
    </row>
    <row r="6" s="207" customFormat="true" ht="11.1" hidden="false" customHeight="true" outlineLevel="0" collapsed="false">
      <c r="A6" s="215" t="s">
        <v>205</v>
      </c>
      <c r="B6" s="173" t="n">
        <v>1030</v>
      </c>
      <c r="C6" s="173" t="n">
        <v>56181</v>
      </c>
      <c r="D6" s="173" t="n">
        <v>20241</v>
      </c>
      <c r="E6" s="170" t="s">
        <v>204</v>
      </c>
      <c r="F6" s="173" t="n">
        <v>234510</v>
      </c>
      <c r="G6" s="173" t="n">
        <v>76970</v>
      </c>
      <c r="H6" s="173" t="n">
        <v>154384</v>
      </c>
      <c r="I6" s="173" t="n">
        <v>100963</v>
      </c>
      <c r="J6" s="173" t="n">
        <v>1011941</v>
      </c>
      <c r="K6" s="170" t="s">
        <v>204</v>
      </c>
      <c r="L6" s="173" t="n">
        <v>1898</v>
      </c>
      <c r="M6" s="170" t="s">
        <v>204</v>
      </c>
      <c r="N6" s="173" t="n">
        <v>14143</v>
      </c>
      <c r="O6" s="365" t="s">
        <v>205</v>
      </c>
    </row>
    <row r="7" s="207" customFormat="true" ht="11.1" hidden="false" customHeight="true" outlineLevel="0" collapsed="false">
      <c r="A7" s="207" t="s">
        <v>282</v>
      </c>
      <c r="B7" s="181" t="n">
        <v>955.094444444445</v>
      </c>
      <c r="C7" s="181" t="n">
        <v>56546</v>
      </c>
      <c r="D7" s="181" t="n">
        <v>20740</v>
      </c>
      <c r="E7" s="161" t="s">
        <v>204</v>
      </c>
      <c r="F7" s="181" t="n">
        <v>315050</v>
      </c>
      <c r="G7" s="181" t="n">
        <v>113765</v>
      </c>
      <c r="H7" s="181" t="n">
        <v>162407</v>
      </c>
      <c r="I7" s="181" t="n">
        <v>63309</v>
      </c>
      <c r="J7" s="181" t="n">
        <v>1036947</v>
      </c>
      <c r="K7" s="161" t="s">
        <v>204</v>
      </c>
      <c r="L7" s="181" t="n">
        <v>1442</v>
      </c>
      <c r="M7" s="161" t="s">
        <v>204</v>
      </c>
      <c r="N7" s="181" t="n">
        <v>18148</v>
      </c>
      <c r="O7" s="364" t="s">
        <v>282</v>
      </c>
    </row>
    <row r="8" s="207" customFormat="true" ht="11.1" hidden="false" customHeight="true" outlineLevel="0" collapsed="false">
      <c r="A8" s="215" t="s">
        <v>207</v>
      </c>
      <c r="B8" s="173" t="n">
        <v>970.127777777778</v>
      </c>
      <c r="C8" s="173" t="n">
        <v>56949</v>
      </c>
      <c r="D8" s="173" t="n">
        <v>17774</v>
      </c>
      <c r="E8" s="170" t="s">
        <v>204</v>
      </c>
      <c r="F8" s="173" t="n">
        <v>262620</v>
      </c>
      <c r="G8" s="173" t="n">
        <v>313265</v>
      </c>
      <c r="H8" s="173" t="n">
        <v>194048</v>
      </c>
      <c r="I8" s="173" t="n">
        <v>107133</v>
      </c>
      <c r="J8" s="173" t="n">
        <v>1074791</v>
      </c>
      <c r="K8" s="170" t="s">
        <v>204</v>
      </c>
      <c r="L8" s="173" t="n">
        <v>2364</v>
      </c>
      <c r="M8" s="170" t="s">
        <v>204</v>
      </c>
      <c r="N8" s="173" t="n">
        <v>20989</v>
      </c>
      <c r="O8" s="365" t="s">
        <v>207</v>
      </c>
    </row>
    <row r="9" s="207" customFormat="true" ht="11.1" hidden="false" customHeight="true" outlineLevel="0" collapsed="false">
      <c r="A9" s="207" t="s">
        <v>208</v>
      </c>
      <c r="B9" s="181" t="n">
        <v>974.338888888889</v>
      </c>
      <c r="C9" s="181" t="n">
        <v>57386</v>
      </c>
      <c r="D9" s="181" t="n">
        <v>13098</v>
      </c>
      <c r="E9" s="161" t="s">
        <v>204</v>
      </c>
      <c r="F9" s="181" t="n">
        <v>283130</v>
      </c>
      <c r="G9" s="181" t="n">
        <v>352115</v>
      </c>
      <c r="H9" s="181" t="n">
        <v>209106</v>
      </c>
      <c r="I9" s="181" t="n">
        <v>128268</v>
      </c>
      <c r="J9" s="181" t="n">
        <v>976691</v>
      </c>
      <c r="K9" s="181" t="s">
        <v>204</v>
      </c>
      <c r="L9" s="181" t="n">
        <v>2009</v>
      </c>
      <c r="M9" s="181" t="s">
        <v>204</v>
      </c>
      <c r="N9" s="181" t="n">
        <v>20813</v>
      </c>
      <c r="O9" s="364" t="s">
        <v>208</v>
      </c>
    </row>
    <row r="10" s="207" customFormat="true" ht="11.1" hidden="false" customHeight="true" outlineLevel="0" collapsed="false">
      <c r="A10" s="215" t="s">
        <v>209</v>
      </c>
      <c r="B10" s="194" t="n">
        <v>780.216666666667</v>
      </c>
      <c r="C10" s="194" t="n">
        <v>44692</v>
      </c>
      <c r="D10" s="194" t="n">
        <v>12660</v>
      </c>
      <c r="E10" s="194" t="s">
        <v>204</v>
      </c>
      <c r="F10" s="194" t="n">
        <v>264850</v>
      </c>
      <c r="G10" s="194" t="n">
        <v>609045</v>
      </c>
      <c r="H10" s="194" t="n">
        <v>298939</v>
      </c>
      <c r="I10" s="194" t="n">
        <v>77450</v>
      </c>
      <c r="J10" s="194" t="n">
        <v>1028157</v>
      </c>
      <c r="K10" s="194" t="s">
        <v>204</v>
      </c>
      <c r="L10" s="194" t="n">
        <v>1529</v>
      </c>
      <c r="M10" s="194" t="s">
        <v>204</v>
      </c>
      <c r="N10" s="194" t="n">
        <v>18935</v>
      </c>
      <c r="O10" s="365" t="s">
        <v>209</v>
      </c>
    </row>
    <row r="11" s="207" customFormat="true" ht="11.1" hidden="false" customHeight="true" outlineLevel="0" collapsed="false">
      <c r="A11" s="207" t="s">
        <v>211</v>
      </c>
      <c r="B11" s="188" t="n">
        <v>892</v>
      </c>
      <c r="C11" s="188" t="n">
        <v>47444</v>
      </c>
      <c r="D11" s="188" t="n">
        <v>10577</v>
      </c>
      <c r="E11" s="184" t="s">
        <v>204</v>
      </c>
      <c r="F11" s="188" t="n">
        <v>224210</v>
      </c>
      <c r="G11" s="188" t="n">
        <v>728260</v>
      </c>
      <c r="H11" s="188" t="n">
        <v>278952</v>
      </c>
      <c r="I11" s="188" t="n">
        <v>58219.3</v>
      </c>
      <c r="J11" s="188" t="n">
        <v>1010446</v>
      </c>
      <c r="K11" s="184" t="s">
        <v>204</v>
      </c>
      <c r="L11" s="188" t="n">
        <v>1363</v>
      </c>
      <c r="M11" s="184" t="s">
        <v>204</v>
      </c>
      <c r="N11" s="188" t="n">
        <v>19506</v>
      </c>
      <c r="O11" s="364" t="s">
        <v>211</v>
      </c>
    </row>
    <row r="12" s="207" customFormat="true" ht="11.1" hidden="false" customHeight="true" outlineLevel="0" collapsed="false">
      <c r="A12" s="219" t="s">
        <v>212</v>
      </c>
      <c r="B12" s="205" t="n">
        <v>898</v>
      </c>
      <c r="C12" s="205" t="n">
        <v>47060</v>
      </c>
      <c r="D12" s="205" t="n">
        <v>6777</v>
      </c>
      <c r="E12" s="303" t="s">
        <v>204</v>
      </c>
      <c r="F12" s="205" t="n">
        <v>175730</v>
      </c>
      <c r="G12" s="205" t="n">
        <v>657966</v>
      </c>
      <c r="H12" s="205" t="n">
        <v>348931</v>
      </c>
      <c r="I12" s="205" t="n">
        <v>59984.55</v>
      </c>
      <c r="J12" s="205" t="n">
        <v>1089418.05</v>
      </c>
      <c r="K12" s="303" t="s">
        <v>204</v>
      </c>
      <c r="L12" s="205" t="n">
        <v>1333</v>
      </c>
      <c r="M12" s="303" t="s">
        <v>204</v>
      </c>
      <c r="N12" s="205" t="n">
        <v>22827</v>
      </c>
      <c r="O12" s="368" t="s">
        <v>212</v>
      </c>
    </row>
    <row r="13" s="207" customFormat="true" ht="11.1" hidden="false" customHeight="true" outlineLevel="0" collapsed="false">
      <c r="A13" s="223" t="s">
        <v>213</v>
      </c>
      <c r="B13" s="213" t="n">
        <f aca="false">SUM(B14:B25)</f>
        <v>932</v>
      </c>
      <c r="C13" s="213" t="n">
        <f aca="false">SUM(C14:C25)</f>
        <v>42447</v>
      </c>
      <c r="D13" s="213" t="n">
        <f aca="false">SUM(D14:D25)</f>
        <v>3182</v>
      </c>
      <c r="E13" s="858" t="s">
        <v>204</v>
      </c>
      <c r="F13" s="213" t="n">
        <f aca="false">SUM(F14:F25)</f>
        <v>156600</v>
      </c>
      <c r="G13" s="213" t="n">
        <f aca="false">SUM(G14:G25)</f>
        <v>1001358</v>
      </c>
      <c r="H13" s="213" t="n">
        <f aca="false">SUM(H14:H25)</f>
        <v>408516</v>
      </c>
      <c r="I13" s="213" t="n">
        <f aca="false">SUM(I14:I25)</f>
        <v>68602.5</v>
      </c>
      <c r="J13" s="213" t="n">
        <f aca="false">SUM(J14:J25)</f>
        <v>913965</v>
      </c>
      <c r="K13" s="858" t="s">
        <v>204</v>
      </c>
      <c r="L13" s="213" t="n">
        <f aca="false">SUM(L14:L25)</f>
        <v>1629</v>
      </c>
      <c r="M13" s="858" t="s">
        <v>204</v>
      </c>
      <c r="N13" s="213" t="n">
        <f aca="false">SUM(N14:N25)</f>
        <v>25124</v>
      </c>
      <c r="O13" s="366" t="s">
        <v>213</v>
      </c>
    </row>
    <row r="14" s="207" customFormat="true" ht="11.1" hidden="false" customHeight="true" outlineLevel="0" collapsed="false">
      <c r="A14" s="215" t="s">
        <v>214</v>
      </c>
      <c r="B14" s="288" t="n">
        <v>66</v>
      </c>
      <c r="C14" s="288" t="n">
        <v>3393</v>
      </c>
      <c r="D14" s="170" t="n">
        <v>458</v>
      </c>
      <c r="E14" s="288" t="s">
        <v>204</v>
      </c>
      <c r="F14" s="288" t="n">
        <v>10340</v>
      </c>
      <c r="G14" s="288" t="n">
        <v>75622</v>
      </c>
      <c r="H14" s="288" t="n">
        <v>34819</v>
      </c>
      <c r="I14" s="194" t="n">
        <v>0</v>
      </c>
      <c r="J14" s="168" t="n">
        <f aca="false">78482+8861+3518</f>
        <v>90861</v>
      </c>
      <c r="K14" s="170" t="s">
        <v>204</v>
      </c>
      <c r="L14" s="170" t="n">
        <v>56</v>
      </c>
      <c r="M14" s="288" t="s">
        <v>204</v>
      </c>
      <c r="N14" s="288" t="n">
        <v>2018</v>
      </c>
      <c r="O14" s="365" t="s">
        <v>214</v>
      </c>
    </row>
    <row r="15" s="207" customFormat="true" ht="11.1" hidden="false" customHeight="true" outlineLevel="0" collapsed="false">
      <c r="A15" s="207" t="s">
        <v>215</v>
      </c>
      <c r="B15" s="184" t="n">
        <v>69</v>
      </c>
      <c r="C15" s="184" t="n">
        <v>3408</v>
      </c>
      <c r="D15" s="161" t="n">
        <v>528</v>
      </c>
      <c r="E15" s="184" t="s">
        <v>204</v>
      </c>
      <c r="F15" s="184" t="n">
        <v>11430</v>
      </c>
      <c r="G15" s="184" t="n">
        <v>76230</v>
      </c>
      <c r="H15" s="184" t="n">
        <v>35752</v>
      </c>
      <c r="I15" s="188" t="n">
        <v>0</v>
      </c>
      <c r="J15" s="178" t="n">
        <f aca="false">104840+9572+248</f>
        <v>114660</v>
      </c>
      <c r="K15" s="161" t="s">
        <v>204</v>
      </c>
      <c r="L15" s="161" t="n">
        <v>34</v>
      </c>
      <c r="M15" s="184" t="s">
        <v>204</v>
      </c>
      <c r="N15" s="184" t="n">
        <v>2047</v>
      </c>
      <c r="O15" s="364" t="s">
        <v>215</v>
      </c>
    </row>
    <row r="16" s="207" customFormat="true" ht="11.1" hidden="false" customHeight="true" outlineLevel="0" collapsed="false">
      <c r="A16" s="215" t="s">
        <v>216</v>
      </c>
      <c r="B16" s="288" t="n">
        <v>79</v>
      </c>
      <c r="C16" s="288" t="n">
        <v>3210</v>
      </c>
      <c r="D16" s="170" t="n">
        <v>448</v>
      </c>
      <c r="E16" s="288" t="s">
        <v>204</v>
      </c>
      <c r="F16" s="288" t="n">
        <v>12410</v>
      </c>
      <c r="G16" s="288" t="n">
        <v>74594</v>
      </c>
      <c r="H16" s="288" t="n">
        <v>39204</v>
      </c>
      <c r="I16" s="194" t="n">
        <v>0</v>
      </c>
      <c r="J16" s="168" t="n">
        <f aca="false">86931+8637+3917</f>
        <v>99485</v>
      </c>
      <c r="K16" s="170" t="s">
        <v>204</v>
      </c>
      <c r="L16" s="170" t="n">
        <v>38</v>
      </c>
      <c r="M16" s="288" t="s">
        <v>204</v>
      </c>
      <c r="N16" s="288" t="n">
        <v>2035</v>
      </c>
      <c r="O16" s="365" t="s">
        <v>216</v>
      </c>
    </row>
    <row r="17" s="207" customFormat="true" ht="11.1" hidden="false" customHeight="true" outlineLevel="0" collapsed="false">
      <c r="A17" s="207" t="s">
        <v>217</v>
      </c>
      <c r="B17" s="184" t="n">
        <v>80</v>
      </c>
      <c r="C17" s="184" t="n">
        <v>3507</v>
      </c>
      <c r="D17" s="161" t="n">
        <v>340</v>
      </c>
      <c r="E17" s="184" t="s">
        <v>204</v>
      </c>
      <c r="F17" s="184" t="n">
        <v>14200</v>
      </c>
      <c r="G17" s="184" t="n">
        <v>86510</v>
      </c>
      <c r="H17" s="184" t="n">
        <v>42605</v>
      </c>
      <c r="I17" s="188" t="n">
        <v>0</v>
      </c>
      <c r="J17" s="178" t="n">
        <f aca="false">77391+11035+6790</f>
        <v>95216</v>
      </c>
      <c r="K17" s="161" t="s">
        <v>204</v>
      </c>
      <c r="L17" s="161" t="n">
        <v>163</v>
      </c>
      <c r="M17" s="184" t="s">
        <v>204</v>
      </c>
      <c r="N17" s="184" t="n">
        <v>2062</v>
      </c>
      <c r="O17" s="364" t="s">
        <v>217</v>
      </c>
    </row>
    <row r="18" s="207" customFormat="true" ht="11.1" hidden="false" customHeight="true" outlineLevel="0" collapsed="false">
      <c r="A18" s="215" t="s">
        <v>218</v>
      </c>
      <c r="B18" s="288" t="n">
        <v>80</v>
      </c>
      <c r="C18" s="288" t="n">
        <v>3526</v>
      </c>
      <c r="D18" s="170" t="n">
        <v>467</v>
      </c>
      <c r="E18" s="288" t="s">
        <v>204</v>
      </c>
      <c r="F18" s="288" t="n">
        <v>12290</v>
      </c>
      <c r="G18" s="288" t="n">
        <v>93426</v>
      </c>
      <c r="H18" s="288" t="n">
        <v>39808</v>
      </c>
      <c r="I18" s="194" t="n">
        <v>2859</v>
      </c>
      <c r="J18" s="168" t="n">
        <f aca="false">105557+9403+1010</f>
        <v>115970</v>
      </c>
      <c r="K18" s="170" t="s">
        <v>204</v>
      </c>
      <c r="L18" s="170" t="n">
        <v>178</v>
      </c>
      <c r="M18" s="288" t="s">
        <v>204</v>
      </c>
      <c r="N18" s="288" t="n">
        <v>2092</v>
      </c>
      <c r="O18" s="365" t="s">
        <v>218</v>
      </c>
    </row>
    <row r="19" s="207" customFormat="true" ht="11.1" hidden="false" customHeight="true" outlineLevel="0" collapsed="false">
      <c r="A19" s="207" t="s">
        <v>219</v>
      </c>
      <c r="B19" s="184" t="n">
        <v>81</v>
      </c>
      <c r="C19" s="184" t="n">
        <v>3681</v>
      </c>
      <c r="D19" s="161" t="s">
        <v>204</v>
      </c>
      <c r="E19" s="184" t="s">
        <v>204</v>
      </c>
      <c r="F19" s="184" t="n">
        <v>11860</v>
      </c>
      <c r="G19" s="184" t="n">
        <v>84730</v>
      </c>
      <c r="H19" s="184" t="n">
        <v>33130</v>
      </c>
      <c r="I19" s="188" t="n">
        <v>18602</v>
      </c>
      <c r="J19" s="178" t="n">
        <f aca="false">102251+7454+3610</f>
        <v>113315</v>
      </c>
      <c r="K19" s="161" t="s">
        <v>204</v>
      </c>
      <c r="L19" s="161" t="n">
        <v>178</v>
      </c>
      <c r="M19" s="184" t="s">
        <v>204</v>
      </c>
      <c r="N19" s="184" t="n">
        <v>2122</v>
      </c>
      <c r="O19" s="364" t="s">
        <v>219</v>
      </c>
    </row>
    <row r="20" s="207" customFormat="true" ht="11.1" hidden="false" customHeight="true" outlineLevel="0" collapsed="false">
      <c r="A20" s="215" t="s">
        <v>220</v>
      </c>
      <c r="B20" s="288" t="n">
        <v>82</v>
      </c>
      <c r="C20" s="288" t="n">
        <v>3577</v>
      </c>
      <c r="D20" s="170" t="n">
        <v>93</v>
      </c>
      <c r="E20" s="288" t="s">
        <v>204</v>
      </c>
      <c r="F20" s="288" t="n">
        <v>15720</v>
      </c>
      <c r="G20" s="288" t="n">
        <v>83102</v>
      </c>
      <c r="H20" s="288" t="n">
        <v>41948</v>
      </c>
      <c r="I20" s="194" t="n">
        <v>29782.65</v>
      </c>
      <c r="J20" s="168" t="n">
        <f aca="false">82201+5775+11260</f>
        <v>99236</v>
      </c>
      <c r="K20" s="170" t="s">
        <v>204</v>
      </c>
      <c r="L20" s="170" t="n">
        <v>178</v>
      </c>
      <c r="M20" s="288" t="s">
        <v>204</v>
      </c>
      <c r="N20" s="288" t="n">
        <v>2160</v>
      </c>
      <c r="O20" s="365" t="s">
        <v>220</v>
      </c>
    </row>
    <row r="21" s="207" customFormat="true" ht="11.1" hidden="false" customHeight="true" outlineLevel="0" collapsed="false">
      <c r="A21" s="207" t="s">
        <v>221</v>
      </c>
      <c r="B21" s="184" t="n">
        <v>78</v>
      </c>
      <c r="C21" s="184" t="n">
        <v>4059</v>
      </c>
      <c r="D21" s="161" t="n">
        <v>21</v>
      </c>
      <c r="E21" s="184" t="s">
        <v>204</v>
      </c>
      <c r="F21" s="184" t="n">
        <v>11240</v>
      </c>
      <c r="G21" s="184" t="n">
        <v>79675</v>
      </c>
      <c r="H21" s="184" t="n">
        <v>35614</v>
      </c>
      <c r="I21" s="188" t="n">
        <v>15575.6</v>
      </c>
      <c r="J21" s="178" t="n">
        <f aca="false">29087+8259+10479</f>
        <v>47825</v>
      </c>
      <c r="K21" s="161" t="s">
        <v>204</v>
      </c>
      <c r="L21" s="161" t="n">
        <v>161</v>
      </c>
      <c r="M21" s="184" t="s">
        <v>204</v>
      </c>
      <c r="N21" s="184" t="n">
        <v>2112</v>
      </c>
      <c r="O21" s="364" t="s">
        <v>221</v>
      </c>
    </row>
    <row r="22" s="207" customFormat="true" ht="11.1" hidden="false" customHeight="true" outlineLevel="0" collapsed="false">
      <c r="A22" s="215" t="s">
        <v>222</v>
      </c>
      <c r="B22" s="288" t="n">
        <v>80</v>
      </c>
      <c r="C22" s="288" t="n">
        <v>3601</v>
      </c>
      <c r="D22" s="170" t="n">
        <v>333</v>
      </c>
      <c r="E22" s="288" t="s">
        <v>204</v>
      </c>
      <c r="F22" s="288" t="n">
        <v>15210</v>
      </c>
      <c r="G22" s="288" t="n">
        <v>82576</v>
      </c>
      <c r="H22" s="288" t="n">
        <v>30679</v>
      </c>
      <c r="I22" s="194" t="n">
        <v>1783.25</v>
      </c>
      <c r="J22" s="168" t="n">
        <f aca="false">56362+11188+9289</f>
        <v>76839</v>
      </c>
      <c r="K22" s="170" t="s">
        <v>204</v>
      </c>
      <c r="L22" s="170" t="n">
        <v>170</v>
      </c>
      <c r="M22" s="288" t="s">
        <v>204</v>
      </c>
      <c r="N22" s="288" t="n">
        <v>2416</v>
      </c>
      <c r="O22" s="365" t="s">
        <v>222</v>
      </c>
    </row>
    <row r="23" s="207" customFormat="true" ht="11.1" hidden="false" customHeight="true" outlineLevel="0" collapsed="false">
      <c r="A23" s="207" t="s">
        <v>223</v>
      </c>
      <c r="B23" s="184" t="n">
        <v>81</v>
      </c>
      <c r="C23" s="184" t="n">
        <v>3693</v>
      </c>
      <c r="D23" s="161" t="n">
        <v>323</v>
      </c>
      <c r="E23" s="184" t="s">
        <v>204</v>
      </c>
      <c r="F23" s="184" t="n">
        <v>14200</v>
      </c>
      <c r="G23" s="184" t="n">
        <v>82780</v>
      </c>
      <c r="H23" s="184" t="n">
        <v>31659</v>
      </c>
      <c r="I23" s="188" t="n">
        <v>0</v>
      </c>
      <c r="J23" s="178" t="n">
        <f aca="false">36838+9303</f>
        <v>46141</v>
      </c>
      <c r="K23" s="161" t="s">
        <v>204</v>
      </c>
      <c r="L23" s="161" t="n">
        <v>172</v>
      </c>
      <c r="M23" s="184" t="s">
        <v>204</v>
      </c>
      <c r="N23" s="184" t="n">
        <v>2480</v>
      </c>
      <c r="O23" s="364" t="s">
        <v>223</v>
      </c>
    </row>
    <row r="24" s="207" customFormat="true" ht="11.1" hidden="false" customHeight="true" outlineLevel="0" collapsed="false">
      <c r="A24" s="507" t="s">
        <v>224</v>
      </c>
      <c r="B24" s="288" t="n">
        <v>78</v>
      </c>
      <c r="C24" s="288" t="n">
        <v>3128</v>
      </c>
      <c r="D24" s="170" t="n">
        <v>31</v>
      </c>
      <c r="E24" s="288" t="s">
        <v>204</v>
      </c>
      <c r="F24" s="288" t="n">
        <v>14500</v>
      </c>
      <c r="G24" s="288" t="n">
        <v>112134</v>
      </c>
      <c r="H24" s="288" t="n">
        <v>22716</v>
      </c>
      <c r="I24" s="194" t="n">
        <v>0</v>
      </c>
      <c r="J24" s="168" t="n">
        <v>9282</v>
      </c>
      <c r="K24" s="170" t="s">
        <v>204</v>
      </c>
      <c r="L24" s="170" t="n">
        <v>169</v>
      </c>
      <c r="M24" s="288" t="s">
        <v>204</v>
      </c>
      <c r="N24" s="288" t="n">
        <v>2461</v>
      </c>
      <c r="O24" s="365" t="s">
        <v>224</v>
      </c>
    </row>
    <row r="25" s="207" customFormat="true" ht="11.1" hidden="false" customHeight="true" outlineLevel="0" collapsed="false">
      <c r="A25" s="506" t="s">
        <v>225</v>
      </c>
      <c r="B25" s="184" t="n">
        <v>78</v>
      </c>
      <c r="C25" s="184" t="n">
        <v>3664</v>
      </c>
      <c r="D25" s="161" t="n">
        <v>140</v>
      </c>
      <c r="E25" s="184" t="s">
        <v>204</v>
      </c>
      <c r="F25" s="184" t="n">
        <v>13200</v>
      </c>
      <c r="G25" s="184" t="n">
        <v>69979</v>
      </c>
      <c r="H25" s="184" t="n">
        <v>20582</v>
      </c>
      <c r="I25" s="188" t="n">
        <v>0</v>
      </c>
      <c r="J25" s="178" t="n">
        <f aca="false">1590+3545</f>
        <v>5135</v>
      </c>
      <c r="K25" s="161" t="s">
        <v>204</v>
      </c>
      <c r="L25" s="161" t="n">
        <v>132</v>
      </c>
      <c r="M25" s="184" t="s">
        <v>204</v>
      </c>
      <c r="N25" s="184" t="n">
        <v>1119</v>
      </c>
      <c r="O25" s="364" t="s">
        <v>225</v>
      </c>
    </row>
    <row r="26" s="207" customFormat="true" ht="11.1" hidden="false" customHeight="true" outlineLevel="0" collapsed="false">
      <c r="A26" s="219" t="s">
        <v>226</v>
      </c>
      <c r="B26" s="205" t="n">
        <f aca="false">SUM(B27:B38)</f>
        <v>1004</v>
      </c>
      <c r="C26" s="205" t="n">
        <f aca="false">SUM(C27:C38)</f>
        <v>41744</v>
      </c>
      <c r="D26" s="205" t="n">
        <f aca="false">SUM(D27:D38)</f>
        <v>5635</v>
      </c>
      <c r="E26" s="303" t="s">
        <v>204</v>
      </c>
      <c r="F26" s="205" t="n">
        <f aca="false">SUM(F27:F38)</f>
        <v>152810</v>
      </c>
      <c r="G26" s="205" t="n">
        <f aca="false">SUM(G27:G38)</f>
        <v>1082720</v>
      </c>
      <c r="H26" s="205" t="n">
        <f aca="false">SUM(H27:H38)</f>
        <v>359883</v>
      </c>
      <c r="I26" s="205" t="n">
        <f aca="false">SUM(I27:I38)</f>
        <v>68953.1</v>
      </c>
      <c r="J26" s="205" t="n">
        <f aca="false">SUM(J27:J38)</f>
        <v>923425</v>
      </c>
      <c r="K26" s="303" t="s">
        <v>204</v>
      </c>
      <c r="L26" s="205" t="n">
        <f aca="false">SUM(L27:L38)</f>
        <v>1431</v>
      </c>
      <c r="M26" s="303" t="s">
        <v>204</v>
      </c>
      <c r="N26" s="205" t="n">
        <f aca="false">SUM(N27:N38)</f>
        <v>34653</v>
      </c>
      <c r="O26" s="368" t="s">
        <v>226</v>
      </c>
    </row>
    <row r="27" s="207" customFormat="true" ht="11.1" hidden="false" customHeight="true" outlineLevel="0" collapsed="false">
      <c r="A27" s="207" t="s">
        <v>214</v>
      </c>
      <c r="B27" s="184" t="n">
        <v>78</v>
      </c>
      <c r="C27" s="184" t="n">
        <v>3459</v>
      </c>
      <c r="D27" s="161" t="n">
        <v>352</v>
      </c>
      <c r="E27" s="184" t="s">
        <v>204</v>
      </c>
      <c r="F27" s="184" t="n">
        <v>10350</v>
      </c>
      <c r="G27" s="184" t="n">
        <v>72947</v>
      </c>
      <c r="H27" s="184" t="n">
        <v>24031</v>
      </c>
      <c r="I27" s="188" t="n">
        <v>0</v>
      </c>
      <c r="J27" s="178" t="n">
        <f aca="false">12705+7184+7506</f>
        <v>27395</v>
      </c>
      <c r="K27" s="161" t="s">
        <v>204</v>
      </c>
      <c r="L27" s="161" t="n">
        <v>115</v>
      </c>
      <c r="M27" s="184" t="s">
        <v>204</v>
      </c>
      <c r="N27" s="184" t="n">
        <v>2653</v>
      </c>
      <c r="O27" s="364" t="s">
        <v>214</v>
      </c>
    </row>
    <row r="28" s="207" customFormat="true" ht="11.1" hidden="false" customHeight="true" outlineLevel="0" collapsed="false">
      <c r="A28" s="215" t="s">
        <v>215</v>
      </c>
      <c r="B28" s="288" t="n">
        <v>78</v>
      </c>
      <c r="C28" s="288" t="n">
        <v>3531</v>
      </c>
      <c r="D28" s="170" t="n">
        <v>530</v>
      </c>
      <c r="E28" s="288" t="s">
        <v>204</v>
      </c>
      <c r="F28" s="288" t="n">
        <v>11440</v>
      </c>
      <c r="G28" s="288" t="n">
        <v>74491</v>
      </c>
      <c r="H28" s="288" t="n">
        <v>25880</v>
      </c>
      <c r="I28" s="194" t="n">
        <v>0</v>
      </c>
      <c r="J28" s="168" t="n">
        <f aca="false">12249+9570+6824</f>
        <v>28643</v>
      </c>
      <c r="K28" s="170" t="s">
        <v>204</v>
      </c>
      <c r="L28" s="170" t="n">
        <v>129</v>
      </c>
      <c r="M28" s="288" t="s">
        <v>204</v>
      </c>
      <c r="N28" s="288" t="n">
        <v>2682</v>
      </c>
      <c r="O28" s="365" t="s">
        <v>215</v>
      </c>
    </row>
    <row r="29" s="207" customFormat="true" ht="11.1" hidden="false" customHeight="true" outlineLevel="0" collapsed="false">
      <c r="A29" s="207" t="s">
        <v>216</v>
      </c>
      <c r="B29" s="184" t="n">
        <v>82</v>
      </c>
      <c r="C29" s="184" t="n">
        <v>3416</v>
      </c>
      <c r="D29" s="161" t="n">
        <v>262</v>
      </c>
      <c r="E29" s="184" t="s">
        <v>204</v>
      </c>
      <c r="F29" s="184" t="n">
        <v>11870</v>
      </c>
      <c r="G29" s="184" t="n">
        <v>91826</v>
      </c>
      <c r="H29" s="184" t="n">
        <v>25530</v>
      </c>
      <c r="I29" s="188" t="n">
        <v>0</v>
      </c>
      <c r="J29" s="178" t="n">
        <v>82036</v>
      </c>
      <c r="K29" s="161" t="s">
        <v>204</v>
      </c>
      <c r="L29" s="161" t="n">
        <v>117</v>
      </c>
      <c r="M29" s="184" t="s">
        <v>204</v>
      </c>
      <c r="N29" s="184" t="n">
        <v>2644</v>
      </c>
      <c r="O29" s="364" t="s">
        <v>216</v>
      </c>
    </row>
    <row r="30" s="207" customFormat="true" ht="11.1" hidden="false" customHeight="true" outlineLevel="0" collapsed="false">
      <c r="A30" s="215" t="s">
        <v>217</v>
      </c>
      <c r="B30" s="288" t="n">
        <v>84</v>
      </c>
      <c r="C30" s="288" t="n">
        <v>3163</v>
      </c>
      <c r="D30" s="170" t="n">
        <v>420</v>
      </c>
      <c r="E30" s="288" t="s">
        <v>204</v>
      </c>
      <c r="F30" s="288" t="n">
        <v>11730</v>
      </c>
      <c r="G30" s="288" t="n">
        <v>81850</v>
      </c>
      <c r="H30" s="288" t="n">
        <v>25120</v>
      </c>
      <c r="I30" s="194" t="n">
        <v>0</v>
      </c>
      <c r="J30" s="168" t="n">
        <f aca="false">125752+10422+270</f>
        <v>136444</v>
      </c>
      <c r="K30" s="170" t="s">
        <v>204</v>
      </c>
      <c r="L30" s="170" t="n">
        <v>122</v>
      </c>
      <c r="M30" s="288" t="s">
        <v>204</v>
      </c>
      <c r="N30" s="288" t="n">
        <v>2673</v>
      </c>
      <c r="O30" s="365" t="s">
        <v>217</v>
      </c>
    </row>
    <row r="31" s="207" customFormat="true" ht="11.1" hidden="false" customHeight="true" outlineLevel="0" collapsed="false">
      <c r="A31" s="207" t="s">
        <v>218</v>
      </c>
      <c r="B31" s="184" t="n">
        <v>84</v>
      </c>
      <c r="C31" s="184" t="n">
        <v>3197</v>
      </c>
      <c r="D31" s="161" t="n">
        <v>620</v>
      </c>
      <c r="E31" s="184" t="s">
        <v>204</v>
      </c>
      <c r="F31" s="184" t="n">
        <v>14670</v>
      </c>
      <c r="G31" s="184" t="n">
        <v>111701</v>
      </c>
      <c r="H31" s="184" t="n">
        <v>31875</v>
      </c>
      <c r="I31" s="188" t="n">
        <v>2236.5</v>
      </c>
      <c r="J31" s="178" t="n">
        <f aca="false">65506+9475</f>
        <v>74981</v>
      </c>
      <c r="K31" s="161" t="s">
        <v>204</v>
      </c>
      <c r="L31" s="161" t="n">
        <v>122</v>
      </c>
      <c r="M31" s="184" t="s">
        <v>204</v>
      </c>
      <c r="N31" s="184" t="n">
        <v>2768</v>
      </c>
      <c r="O31" s="364" t="s">
        <v>218</v>
      </c>
    </row>
    <row r="32" s="207" customFormat="true" ht="11.1" hidden="false" customHeight="true" outlineLevel="0" collapsed="false">
      <c r="A32" s="215" t="s">
        <v>219</v>
      </c>
      <c r="B32" s="288" t="n">
        <v>85</v>
      </c>
      <c r="C32" s="288" t="n">
        <v>3655</v>
      </c>
      <c r="D32" s="170" t="n">
        <v>468</v>
      </c>
      <c r="E32" s="288" t="s">
        <v>204</v>
      </c>
      <c r="F32" s="288" t="n">
        <v>12500</v>
      </c>
      <c r="G32" s="288" t="n">
        <v>94627</v>
      </c>
      <c r="H32" s="288" t="n">
        <v>33197</v>
      </c>
      <c r="I32" s="194" t="n">
        <v>15980.5</v>
      </c>
      <c r="J32" s="168" t="n">
        <f aca="false">112635+10140</f>
        <v>122775</v>
      </c>
      <c r="K32" s="170" t="s">
        <v>204</v>
      </c>
      <c r="L32" s="170" t="n">
        <v>116</v>
      </c>
      <c r="M32" s="288" t="s">
        <v>204</v>
      </c>
      <c r="N32" s="288" t="n">
        <v>2825</v>
      </c>
      <c r="O32" s="365" t="s">
        <v>219</v>
      </c>
    </row>
    <row r="33" s="207" customFormat="true" ht="11.1" hidden="false" customHeight="true" outlineLevel="0" collapsed="false">
      <c r="A33" s="207" t="s">
        <v>220</v>
      </c>
      <c r="B33" s="184" t="n">
        <v>85</v>
      </c>
      <c r="C33" s="184" t="n">
        <v>3615</v>
      </c>
      <c r="D33" s="161" t="n">
        <v>717</v>
      </c>
      <c r="E33" s="184" t="s">
        <v>204</v>
      </c>
      <c r="F33" s="184" t="n">
        <v>13200</v>
      </c>
      <c r="G33" s="184" t="n">
        <v>91632</v>
      </c>
      <c r="H33" s="184" t="n">
        <v>38250</v>
      </c>
      <c r="I33" s="188" t="n">
        <v>30586</v>
      </c>
      <c r="J33" s="178" t="n">
        <f aca="false">112021+10904</f>
        <v>122925</v>
      </c>
      <c r="K33" s="161" t="s">
        <v>204</v>
      </c>
      <c r="L33" s="161" t="n">
        <v>126</v>
      </c>
      <c r="M33" s="184" t="s">
        <v>204</v>
      </c>
      <c r="N33" s="184" t="n">
        <v>2880</v>
      </c>
      <c r="O33" s="364" t="s">
        <v>220</v>
      </c>
    </row>
    <row r="34" s="207" customFormat="true" ht="11.1" hidden="false" customHeight="true" outlineLevel="0" collapsed="false">
      <c r="A34" s="215" t="s">
        <v>221</v>
      </c>
      <c r="B34" s="288" t="n">
        <v>85</v>
      </c>
      <c r="C34" s="288" t="n">
        <v>3625</v>
      </c>
      <c r="D34" s="170" t="n">
        <v>555</v>
      </c>
      <c r="E34" s="288" t="s">
        <v>204</v>
      </c>
      <c r="F34" s="288" t="n">
        <v>13500</v>
      </c>
      <c r="G34" s="288" t="n">
        <v>91752</v>
      </c>
      <c r="H34" s="288" t="n">
        <v>34192</v>
      </c>
      <c r="I34" s="194" t="n">
        <v>17390.1</v>
      </c>
      <c r="J34" s="168" t="n">
        <f aca="false">82168+11336</f>
        <v>93504</v>
      </c>
      <c r="K34" s="170" t="s">
        <v>204</v>
      </c>
      <c r="L34" s="170" t="n">
        <v>95</v>
      </c>
      <c r="M34" s="288" t="s">
        <v>204</v>
      </c>
      <c r="N34" s="288" t="n">
        <v>2948</v>
      </c>
      <c r="O34" s="365" t="s">
        <v>221</v>
      </c>
    </row>
    <row r="35" s="207" customFormat="true" ht="11.1" hidden="false" customHeight="true" outlineLevel="0" collapsed="false">
      <c r="A35" s="207" t="s">
        <v>222</v>
      </c>
      <c r="B35" s="184" t="n">
        <v>85</v>
      </c>
      <c r="C35" s="184" t="n">
        <v>3529</v>
      </c>
      <c r="D35" s="161" t="n">
        <v>602</v>
      </c>
      <c r="E35" s="184" t="s">
        <v>204</v>
      </c>
      <c r="F35" s="184" t="n">
        <v>13200</v>
      </c>
      <c r="G35" s="184" t="n">
        <v>83082</v>
      </c>
      <c r="H35" s="184" t="n">
        <v>31532</v>
      </c>
      <c r="I35" s="188" t="n">
        <v>2760</v>
      </c>
      <c r="J35" s="178" t="n">
        <f aca="false">82410+5720+2673</f>
        <v>90803</v>
      </c>
      <c r="K35" s="161" t="s">
        <v>204</v>
      </c>
      <c r="L35" s="161" t="n">
        <v>124</v>
      </c>
      <c r="M35" s="184" t="s">
        <v>204</v>
      </c>
      <c r="N35" s="184" t="n">
        <v>3100</v>
      </c>
      <c r="O35" s="364" t="s">
        <v>222</v>
      </c>
    </row>
    <row r="36" s="207" customFormat="true" ht="11.1" hidden="false" customHeight="true" outlineLevel="0" collapsed="false">
      <c r="A36" s="215" t="s">
        <v>223</v>
      </c>
      <c r="B36" s="288" t="n">
        <v>86</v>
      </c>
      <c r="C36" s="288" t="n">
        <v>3300</v>
      </c>
      <c r="D36" s="170" t="n">
        <v>424</v>
      </c>
      <c r="E36" s="288" t="s">
        <v>204</v>
      </c>
      <c r="F36" s="288" t="n">
        <v>13400</v>
      </c>
      <c r="G36" s="288" t="n">
        <v>88212</v>
      </c>
      <c r="H36" s="288" t="n">
        <v>29956</v>
      </c>
      <c r="I36" s="194" t="n">
        <v>0</v>
      </c>
      <c r="J36" s="168" t="n">
        <f aca="false">54786+2850+3571</f>
        <v>61207</v>
      </c>
      <c r="K36" s="170" t="s">
        <v>204</v>
      </c>
      <c r="L36" s="170" t="n">
        <v>121</v>
      </c>
      <c r="M36" s="288" t="s">
        <v>204</v>
      </c>
      <c r="N36" s="288" t="n">
        <v>3095</v>
      </c>
      <c r="O36" s="365" t="s">
        <v>223</v>
      </c>
    </row>
    <row r="37" s="207" customFormat="true" ht="11.1" hidden="false" customHeight="true" outlineLevel="0" collapsed="false">
      <c r="A37" s="207" t="s">
        <v>224</v>
      </c>
      <c r="B37" s="184" t="n">
        <v>86</v>
      </c>
      <c r="C37" s="184" t="n">
        <v>3584</v>
      </c>
      <c r="D37" s="161" t="n">
        <v>253</v>
      </c>
      <c r="E37" s="184" t="s">
        <v>204</v>
      </c>
      <c r="F37" s="184" t="n">
        <v>13450</v>
      </c>
      <c r="G37" s="184" t="n">
        <v>112250</v>
      </c>
      <c r="H37" s="184" t="n">
        <v>30125</v>
      </c>
      <c r="I37" s="188" t="n">
        <v>0</v>
      </c>
      <c r="J37" s="178" t="n">
        <f aca="false">30673+6974+9494+1060</f>
        <v>48201</v>
      </c>
      <c r="K37" s="161" t="s">
        <v>204</v>
      </c>
      <c r="L37" s="161" t="n">
        <v>122</v>
      </c>
      <c r="M37" s="184" t="s">
        <v>204</v>
      </c>
      <c r="N37" s="184" t="n">
        <v>3160</v>
      </c>
      <c r="O37" s="364" t="s">
        <v>224</v>
      </c>
    </row>
    <row r="38" s="207" customFormat="true" ht="11.1" hidden="false" customHeight="true" outlineLevel="0" collapsed="false">
      <c r="A38" s="215" t="s">
        <v>225</v>
      </c>
      <c r="B38" s="288" t="n">
        <v>86</v>
      </c>
      <c r="C38" s="288" t="n">
        <v>3670</v>
      </c>
      <c r="D38" s="170" t="n">
        <v>432</v>
      </c>
      <c r="E38" s="288" t="s">
        <v>204</v>
      </c>
      <c r="F38" s="288" t="n">
        <v>13500</v>
      </c>
      <c r="G38" s="288" t="n">
        <v>88350</v>
      </c>
      <c r="H38" s="288" t="n">
        <v>30195</v>
      </c>
      <c r="I38" s="194" t="n">
        <v>0</v>
      </c>
      <c r="J38" s="168" t="n">
        <f aca="false">18265+5375+9494+1377</f>
        <v>34511</v>
      </c>
      <c r="K38" s="170" t="s">
        <v>204</v>
      </c>
      <c r="L38" s="170" t="n">
        <v>122</v>
      </c>
      <c r="M38" s="288" t="s">
        <v>204</v>
      </c>
      <c r="N38" s="288" t="n">
        <v>3225</v>
      </c>
      <c r="O38" s="365" t="s">
        <v>225</v>
      </c>
    </row>
    <row r="39" s="207" customFormat="true" ht="11.1" hidden="false" customHeight="true" outlineLevel="0" collapsed="false">
      <c r="A39" s="223" t="s">
        <v>227</v>
      </c>
      <c r="B39" s="184"/>
      <c r="C39" s="184"/>
      <c r="D39" s="161"/>
      <c r="E39" s="184"/>
      <c r="F39" s="184"/>
      <c r="G39" s="184"/>
      <c r="H39" s="184"/>
      <c r="I39" s="188"/>
      <c r="J39" s="178"/>
      <c r="K39" s="161"/>
      <c r="L39" s="161"/>
      <c r="M39" s="184"/>
      <c r="N39" s="184"/>
      <c r="O39" s="366" t="s">
        <v>227</v>
      </c>
    </row>
    <row r="40" s="207" customFormat="true" ht="11.1" hidden="false" customHeight="true" outlineLevel="0" collapsed="false">
      <c r="A40" s="215" t="s">
        <v>214</v>
      </c>
      <c r="B40" s="288" t="n">
        <v>87</v>
      </c>
      <c r="C40" s="288" t="n">
        <v>3112</v>
      </c>
      <c r="D40" s="170" t="n">
        <v>257</v>
      </c>
      <c r="E40" s="288" t="s">
        <v>204</v>
      </c>
      <c r="F40" s="288" t="n">
        <v>13200</v>
      </c>
      <c r="G40" s="288" t="n">
        <v>81850</v>
      </c>
      <c r="H40" s="288" t="n">
        <v>23361</v>
      </c>
      <c r="I40" s="194" t="n">
        <v>0</v>
      </c>
      <c r="J40" s="168" t="n">
        <v>11482</v>
      </c>
      <c r="K40" s="170" t="s">
        <v>204</v>
      </c>
      <c r="L40" s="170" t="n">
        <v>106</v>
      </c>
      <c r="M40" s="288" t="s">
        <v>204</v>
      </c>
      <c r="N40" s="288" t="n">
        <v>3295</v>
      </c>
      <c r="O40" s="365" t="s">
        <v>214</v>
      </c>
    </row>
    <row r="41" s="207" customFormat="true" ht="11.1" hidden="false" customHeight="true" outlineLevel="0" collapsed="false">
      <c r="A41" s="207" t="s">
        <v>215</v>
      </c>
      <c r="B41" s="184" t="n">
        <v>87</v>
      </c>
      <c r="C41" s="184" t="n">
        <v>3067</v>
      </c>
      <c r="D41" s="161" t="n">
        <v>129</v>
      </c>
      <c r="E41" s="184" t="s">
        <v>204</v>
      </c>
      <c r="F41" s="184" t="n">
        <v>13250</v>
      </c>
      <c r="G41" s="184" t="n">
        <v>83166</v>
      </c>
      <c r="H41" s="184" t="n">
        <v>23498</v>
      </c>
      <c r="I41" s="188" t="n">
        <v>0</v>
      </c>
      <c r="J41" s="178" t="n">
        <v>11560</v>
      </c>
      <c r="K41" s="161" t="s">
        <v>204</v>
      </c>
      <c r="L41" s="161" t="n">
        <v>107</v>
      </c>
      <c r="M41" s="184" t="s">
        <v>204</v>
      </c>
      <c r="N41" s="184" t="n">
        <v>3344</v>
      </c>
      <c r="O41" s="364" t="s">
        <v>215</v>
      </c>
    </row>
    <row r="42" s="207" customFormat="true" ht="11.1" hidden="false" customHeight="true" outlineLevel="0" collapsed="false">
      <c r="A42" s="215" t="s">
        <v>216</v>
      </c>
      <c r="B42" s="288" t="n">
        <v>87</v>
      </c>
      <c r="C42" s="288" t="n">
        <v>3077</v>
      </c>
      <c r="D42" s="170" t="n">
        <v>546</v>
      </c>
      <c r="E42" s="288" t="s">
        <v>204</v>
      </c>
      <c r="F42" s="288" t="n">
        <v>13910</v>
      </c>
      <c r="G42" s="288" t="n">
        <v>85285</v>
      </c>
      <c r="H42" s="288" t="n">
        <v>24375</v>
      </c>
      <c r="I42" s="194" t="n">
        <v>0</v>
      </c>
      <c r="J42" s="168" t="n">
        <v>33195</v>
      </c>
      <c r="K42" s="170" t="s">
        <v>204</v>
      </c>
      <c r="L42" s="170" t="n">
        <v>116</v>
      </c>
      <c r="M42" s="288" t="s">
        <v>204</v>
      </c>
      <c r="N42" s="288" t="n">
        <v>3410</v>
      </c>
      <c r="O42" s="365" t="s">
        <v>216</v>
      </c>
    </row>
    <row r="43" s="207" customFormat="true" ht="11.1" hidden="false" customHeight="true" outlineLevel="0" collapsed="false">
      <c r="A43" s="207" t="s">
        <v>217</v>
      </c>
      <c r="B43" s="184" t="n">
        <v>88</v>
      </c>
      <c r="C43" s="184" t="n">
        <v>3107</v>
      </c>
      <c r="D43" s="161" t="n">
        <v>690</v>
      </c>
      <c r="E43" s="184" t="s">
        <v>204</v>
      </c>
      <c r="F43" s="184" t="n">
        <v>13500</v>
      </c>
      <c r="G43" s="184" t="n">
        <v>89550</v>
      </c>
      <c r="H43" s="184" t="n">
        <v>25590</v>
      </c>
      <c r="I43" s="188" t="n">
        <v>0</v>
      </c>
      <c r="J43" s="178" t="n">
        <v>72756</v>
      </c>
      <c r="K43" s="161" t="s">
        <v>204</v>
      </c>
      <c r="L43" s="161" t="n">
        <v>112</v>
      </c>
      <c r="M43" s="184" t="s">
        <v>204</v>
      </c>
      <c r="N43" s="184" t="n">
        <v>3521</v>
      </c>
      <c r="O43" s="364" t="s">
        <v>217</v>
      </c>
    </row>
    <row r="44" s="207" customFormat="true" ht="11.1" hidden="false" customHeight="true" outlineLevel="0" collapsed="false">
      <c r="A44" s="215" t="s">
        <v>218</v>
      </c>
      <c r="B44" s="288" t="n">
        <v>95</v>
      </c>
      <c r="C44" s="288" t="n">
        <v>3342</v>
      </c>
      <c r="D44" s="170" t="n">
        <v>573</v>
      </c>
      <c r="E44" s="288" t="s">
        <v>204</v>
      </c>
      <c r="F44" s="288" t="n">
        <v>13700</v>
      </c>
      <c r="G44" s="288" t="n">
        <v>92192</v>
      </c>
      <c r="H44" s="288" t="n">
        <v>26294</v>
      </c>
      <c r="I44" s="194" t="n">
        <v>3733</v>
      </c>
      <c r="J44" s="168" t="n">
        <v>70900</v>
      </c>
      <c r="K44" s="170" t="s">
        <v>204</v>
      </c>
      <c r="L44" s="170" t="n">
        <v>117</v>
      </c>
      <c r="M44" s="288" t="s">
        <v>204</v>
      </c>
      <c r="N44" s="288" t="n">
        <v>3591</v>
      </c>
      <c r="O44" s="365" t="s">
        <v>218</v>
      </c>
    </row>
    <row r="45" s="207" customFormat="true" ht="11.1" hidden="false" customHeight="true" outlineLevel="0" collapsed="false">
      <c r="A45" s="207" t="s">
        <v>219</v>
      </c>
      <c r="B45" s="184" t="n">
        <v>118</v>
      </c>
      <c r="C45" s="184" t="n">
        <v>4163</v>
      </c>
      <c r="D45" s="161" t="n">
        <v>767</v>
      </c>
      <c r="E45" s="184" t="s">
        <v>204</v>
      </c>
      <c r="F45" s="184" t="n">
        <v>13650</v>
      </c>
      <c r="G45" s="184" t="n">
        <v>94911</v>
      </c>
      <c r="H45" s="184" t="n">
        <v>27069</v>
      </c>
      <c r="I45" s="188" t="n">
        <v>19502</v>
      </c>
      <c r="J45" s="178" t="n">
        <v>131234</v>
      </c>
      <c r="K45" s="161" t="s">
        <v>204</v>
      </c>
      <c r="L45" s="161" t="n">
        <v>129</v>
      </c>
      <c r="M45" s="184" t="s">
        <v>204</v>
      </c>
      <c r="N45" s="184" t="n">
        <v>3663</v>
      </c>
      <c r="O45" s="364" t="s">
        <v>219</v>
      </c>
    </row>
    <row r="46" s="207" customFormat="true" ht="11.1" hidden="false" customHeight="true" outlineLevel="0" collapsed="false">
      <c r="A46" s="215" t="s">
        <v>220</v>
      </c>
      <c r="B46" s="288" t="n">
        <v>112</v>
      </c>
      <c r="C46" s="288" t="n">
        <v>4093</v>
      </c>
      <c r="D46" s="170" t="n">
        <v>642</v>
      </c>
      <c r="E46" s="288" t="s">
        <v>204</v>
      </c>
      <c r="F46" s="288" t="n">
        <v>13600</v>
      </c>
      <c r="G46" s="288" t="n">
        <v>95500</v>
      </c>
      <c r="H46" s="288" t="n">
        <v>49750</v>
      </c>
      <c r="I46" s="194" t="n">
        <v>33245.5</v>
      </c>
      <c r="J46" s="168" t="n">
        <v>134250</v>
      </c>
      <c r="K46" s="170" t="s">
        <v>204</v>
      </c>
      <c r="L46" s="170" t="n">
        <v>116</v>
      </c>
      <c r="M46" s="288" t="s">
        <v>204</v>
      </c>
      <c r="N46" s="288" t="n">
        <v>3665</v>
      </c>
      <c r="O46" s="365" t="s">
        <v>220</v>
      </c>
    </row>
    <row r="47" s="207" customFormat="true" ht="11.1" hidden="false" customHeight="true" outlineLevel="0" collapsed="false">
      <c r="A47" s="207" t="s">
        <v>221</v>
      </c>
      <c r="B47" s="184" t="n">
        <v>113</v>
      </c>
      <c r="C47" s="184" t="n">
        <v>3099</v>
      </c>
      <c r="D47" s="161" t="s">
        <v>204</v>
      </c>
      <c r="E47" s="184" t="s">
        <v>204</v>
      </c>
      <c r="F47" s="184" t="n">
        <v>13500</v>
      </c>
      <c r="G47" s="184" t="n">
        <v>91562</v>
      </c>
      <c r="H47" s="184" t="n">
        <v>49890</v>
      </c>
      <c r="I47" s="188" t="n">
        <v>19461.2</v>
      </c>
      <c r="J47" s="178" t="n">
        <v>134141</v>
      </c>
      <c r="K47" s="161" t="s">
        <v>204</v>
      </c>
      <c r="L47" s="161" t="n">
        <v>101</v>
      </c>
      <c r="M47" s="184" t="s">
        <v>204</v>
      </c>
      <c r="N47" s="184" t="n">
        <v>3755</v>
      </c>
      <c r="O47" s="364" t="s">
        <v>221</v>
      </c>
    </row>
    <row r="48" s="207" customFormat="true" ht="11.1" hidden="false" customHeight="true" outlineLevel="0" collapsed="false">
      <c r="A48" s="215" t="s">
        <v>222</v>
      </c>
      <c r="B48" s="288" t="n">
        <v>113</v>
      </c>
      <c r="C48" s="288" t="n">
        <v>3031</v>
      </c>
      <c r="D48" s="170" t="s">
        <v>204</v>
      </c>
      <c r="E48" s="288" t="s">
        <v>204</v>
      </c>
      <c r="F48" s="288" t="n">
        <v>13250</v>
      </c>
      <c r="G48" s="288" t="n">
        <v>94896</v>
      </c>
      <c r="H48" s="288" t="n">
        <v>43466</v>
      </c>
      <c r="I48" s="194" t="n">
        <v>5471</v>
      </c>
      <c r="J48" s="168" t="n">
        <v>96018</v>
      </c>
      <c r="K48" s="170" t="s">
        <v>204</v>
      </c>
      <c r="L48" s="170" t="n">
        <v>96</v>
      </c>
      <c r="M48" s="288" t="s">
        <v>204</v>
      </c>
      <c r="N48" s="288" t="n">
        <v>3949</v>
      </c>
      <c r="O48" s="365" t="s">
        <v>222</v>
      </c>
    </row>
    <row r="49" s="207" customFormat="true" ht="11.1" hidden="false" customHeight="true" outlineLevel="0" collapsed="false">
      <c r="A49" s="225" t="s">
        <v>223</v>
      </c>
      <c r="B49" s="859" t="n">
        <v>113</v>
      </c>
      <c r="C49" s="859" t="n">
        <v>3098</v>
      </c>
      <c r="D49" s="860" t="s">
        <v>204</v>
      </c>
      <c r="E49" s="859" t="s">
        <v>204</v>
      </c>
      <c r="F49" s="859" t="n">
        <v>13450</v>
      </c>
      <c r="G49" s="859" t="n">
        <v>99640</v>
      </c>
      <c r="H49" s="859" t="n">
        <v>45640</v>
      </c>
      <c r="I49" s="230" t="n">
        <v>727.75</v>
      </c>
      <c r="J49" s="861" t="s">
        <v>204</v>
      </c>
      <c r="K49" s="860" t="s">
        <v>204</v>
      </c>
      <c r="L49" s="860" t="s">
        <v>204</v>
      </c>
      <c r="M49" s="859" t="s">
        <v>204</v>
      </c>
      <c r="N49" s="859" t="n">
        <v>3942</v>
      </c>
      <c r="O49" s="488" t="s">
        <v>223</v>
      </c>
    </row>
    <row r="50" s="207" customFormat="true" ht="9.75" hidden="false" customHeight="true" outlineLevel="0" collapsed="false">
      <c r="B50" s="184"/>
      <c r="C50" s="184"/>
      <c r="D50" s="161"/>
      <c r="E50" s="184"/>
      <c r="F50" s="184"/>
      <c r="G50" s="184"/>
      <c r="H50" s="184"/>
      <c r="I50" s="188"/>
      <c r="J50" s="178"/>
      <c r="K50" s="161"/>
      <c r="L50" s="161"/>
      <c r="M50" s="184"/>
      <c r="N50" s="184"/>
      <c r="O50" s="364"/>
    </row>
    <row r="51" s="868" customFormat="true" ht="9" hidden="false" customHeight="true" outlineLevel="0" collapsed="false">
      <c r="A51" s="862" t="s">
        <v>687</v>
      </c>
      <c r="B51" s="863" t="s">
        <v>688</v>
      </c>
      <c r="C51" s="863"/>
      <c r="D51" s="863"/>
      <c r="E51" s="864"/>
      <c r="F51" s="865"/>
      <c r="G51" s="864"/>
      <c r="H51" s="866" t="s">
        <v>689</v>
      </c>
      <c r="I51" s="867" t="s">
        <v>690</v>
      </c>
      <c r="J51" s="867"/>
      <c r="K51" s="867"/>
      <c r="L51" s="867"/>
      <c r="M51" s="867"/>
      <c r="N51" s="867"/>
    </row>
    <row r="52" s="868" customFormat="true" ht="9" hidden="false" customHeight="true" outlineLevel="0" collapsed="false">
      <c r="A52" s="864" t="s">
        <v>565</v>
      </c>
      <c r="B52" s="863" t="s">
        <v>691</v>
      </c>
      <c r="C52" s="863"/>
      <c r="D52" s="863"/>
      <c r="E52" s="863"/>
      <c r="F52" s="869"/>
      <c r="G52" s="869"/>
      <c r="H52" s="869"/>
      <c r="I52" s="863" t="s">
        <v>692</v>
      </c>
      <c r="J52" s="863"/>
      <c r="K52" s="863"/>
      <c r="L52" s="863"/>
      <c r="M52" s="863"/>
      <c r="N52" s="863"/>
    </row>
    <row r="53" s="868" customFormat="true" ht="9" hidden="false" customHeight="true" outlineLevel="0" collapsed="false">
      <c r="A53" s="869" t="s">
        <v>693</v>
      </c>
      <c r="B53" s="863" t="s">
        <v>694</v>
      </c>
      <c r="C53" s="863"/>
      <c r="D53" s="863"/>
      <c r="E53" s="863"/>
      <c r="F53" s="869"/>
      <c r="G53" s="869"/>
      <c r="H53" s="869"/>
      <c r="I53" s="863" t="s">
        <v>695</v>
      </c>
      <c r="J53" s="863"/>
      <c r="K53" s="863"/>
      <c r="L53" s="863"/>
      <c r="M53" s="863"/>
      <c r="N53" s="863"/>
    </row>
    <row r="54" s="868" customFormat="true" ht="9" hidden="false" customHeight="true" outlineLevel="0" collapsed="false">
      <c r="A54" s="869" t="s">
        <v>696</v>
      </c>
      <c r="B54" s="863" t="s">
        <v>697</v>
      </c>
      <c r="C54" s="863"/>
      <c r="D54" s="863"/>
      <c r="E54" s="863"/>
      <c r="F54" s="863"/>
      <c r="G54" s="863"/>
      <c r="H54" s="869"/>
      <c r="I54" s="863" t="s">
        <v>698</v>
      </c>
      <c r="J54" s="863"/>
      <c r="K54" s="863"/>
      <c r="L54" s="863"/>
      <c r="M54" s="863"/>
      <c r="N54" s="863"/>
    </row>
    <row r="55" s="868" customFormat="true" ht="9" hidden="false" customHeight="true" outlineLevel="0" collapsed="false">
      <c r="A55" s="869" t="s">
        <v>699</v>
      </c>
      <c r="B55" s="863" t="s">
        <v>700</v>
      </c>
      <c r="C55" s="863"/>
      <c r="D55" s="869"/>
      <c r="E55" s="869"/>
      <c r="F55" s="869"/>
      <c r="G55" s="869"/>
      <c r="H55" s="869"/>
      <c r="I55" s="735" t="s">
        <v>701</v>
      </c>
      <c r="J55" s="735"/>
    </row>
    <row r="58" customFormat="false" ht="9" hidden="false" customHeight="false" outlineLevel="0" collapsed="false">
      <c r="F58" s="870"/>
    </row>
    <row r="59" customFormat="false" ht="9.75" hidden="false" customHeight="true" outlineLevel="0" collapsed="false">
      <c r="F59" s="870"/>
    </row>
    <row r="60" customFormat="false" ht="9" hidden="false" customHeight="false" outlineLevel="0" collapsed="false">
      <c r="B60" s="870"/>
      <c r="C60" s="870"/>
    </row>
  </sheetData>
  <mergeCells count="14">
    <mergeCell ref="C1:G1"/>
    <mergeCell ref="N1:O1"/>
    <mergeCell ref="H2:J2"/>
    <mergeCell ref="A3:A4"/>
    <mergeCell ref="O3:O4"/>
    <mergeCell ref="B51:D51"/>
    <mergeCell ref="I51:N51"/>
    <mergeCell ref="B52:E52"/>
    <mergeCell ref="I52:N52"/>
    <mergeCell ref="B53:E53"/>
    <mergeCell ref="I53:N53"/>
    <mergeCell ref="B54:G54"/>
    <mergeCell ref="I54:N54"/>
    <mergeCell ref="B55:C55"/>
  </mergeCells>
  <printOptions headings="false" gridLines="false" gridLinesSet="true" horizontalCentered="false" verticalCentered="false"/>
  <pageMargins left="0.629861111111111" right="0.511805555555555" top="0.511805555555555" bottom="0.511805555555555" header="0.511805555555555" footer="0.39375"/>
  <pageSetup paperSize="1" scale="100" firstPageNumber="40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>&amp;C&amp;"Times New Roman,Regular"&amp;8&amp;P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6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1" ySplit="6" topLeftCell="H34" activePane="bottomRight" state="frozen"/>
      <selection pane="topLeft" activeCell="A1" activeCellId="0" sqref="A1"/>
      <selection pane="topRight" activeCell="H1" activeCellId="0" sqref="H1"/>
      <selection pane="bottomLeft" activeCell="A34" activeCellId="0" sqref="A34"/>
      <selection pane="bottomRight" activeCell="E56" activeCellId="0" sqref="E56"/>
    </sheetView>
  </sheetViews>
  <sheetFormatPr defaultColWidth="9.15625" defaultRowHeight="11.25" zeroHeight="false" outlineLevelRow="0" outlineLevelCol="0"/>
  <cols>
    <col collapsed="false" customWidth="true" hidden="false" outlineLevel="0" max="1" min="1" style="730" width="10.14"/>
    <col collapsed="false" customWidth="true" hidden="false" outlineLevel="0" max="2" min="2" style="107" width="7.15"/>
    <col collapsed="false" customWidth="true" hidden="false" outlineLevel="0" max="3" min="3" style="107" width="6.71"/>
    <col collapsed="false" customWidth="true" hidden="false" outlineLevel="0" max="4" min="4" style="107" width="7.42"/>
    <col collapsed="false" customWidth="true" hidden="false" outlineLevel="0" max="5" min="5" style="107" width="7.71"/>
    <col collapsed="false" customWidth="true" hidden="false" outlineLevel="0" max="6" min="6" style="107" width="8.14"/>
    <col collapsed="false" customWidth="true" hidden="false" outlineLevel="0" max="7" min="7" style="107" width="8.42"/>
    <col collapsed="false" customWidth="true" hidden="false" outlineLevel="0" max="8" min="8" style="107" width="7.71"/>
    <col collapsed="false" customWidth="true" hidden="false" outlineLevel="0" max="9" min="9" style="107" width="7.29"/>
    <col collapsed="false" customWidth="true" hidden="false" outlineLevel="0" max="10" min="10" style="107" width="8.29"/>
    <col collapsed="false" customWidth="true" hidden="false" outlineLevel="0" max="11" min="11" style="107" width="9.71"/>
    <col collapsed="false" customWidth="true" hidden="false" outlineLevel="0" max="12" min="12" style="107" width="9.85"/>
    <col collapsed="false" customWidth="true" hidden="false" outlineLevel="0" max="13" min="13" style="107" width="10.71"/>
    <col collapsed="false" customWidth="true" hidden="false" outlineLevel="0" max="14" min="14" style="107" width="10.85"/>
    <col collapsed="false" customWidth="true" hidden="false" outlineLevel="0" max="15" min="15" style="107" width="10.42"/>
    <col collapsed="false" customWidth="true" hidden="false" outlineLevel="0" max="16" min="16" style="107" width="13.86"/>
    <col collapsed="false" customWidth="true" hidden="false" outlineLevel="0" max="17" min="17" style="107" width="10.85"/>
    <col collapsed="false" customWidth="false" hidden="false" outlineLevel="0" max="1024" min="18" style="107" width="9.14"/>
  </cols>
  <sheetData>
    <row r="1" s="829" customFormat="true" ht="15.75" hidden="false" customHeight="true" outlineLevel="0" collapsed="false">
      <c r="B1" s="871"/>
      <c r="C1" s="871"/>
      <c r="D1" s="827" t="s">
        <v>702</v>
      </c>
      <c r="E1" s="827"/>
      <c r="F1" s="827"/>
      <c r="G1" s="827"/>
      <c r="H1" s="827"/>
      <c r="I1" s="827"/>
      <c r="J1" s="827"/>
      <c r="K1" s="828" t="s">
        <v>703</v>
      </c>
      <c r="L1" s="828"/>
      <c r="M1" s="828"/>
      <c r="N1" s="828"/>
      <c r="O1" s="828"/>
      <c r="P1" s="827" t="s">
        <v>704</v>
      </c>
      <c r="Q1" s="827"/>
    </row>
    <row r="2" s="747" customFormat="true" ht="11.25" hidden="false" customHeight="true" outlineLevel="0" collapsed="false">
      <c r="B2" s="872"/>
      <c r="F2" s="872"/>
      <c r="G2" s="873"/>
      <c r="H2" s="873"/>
      <c r="I2" s="873"/>
      <c r="J2" s="873"/>
      <c r="K2" s="874"/>
      <c r="L2" s="872"/>
      <c r="M2" s="872"/>
      <c r="N2" s="872"/>
      <c r="O2" s="872"/>
      <c r="P2" s="872"/>
      <c r="Q2" s="872"/>
    </row>
    <row r="3" s="762" customFormat="true" ht="12" hidden="false" customHeight="true" outlineLevel="0" collapsed="false">
      <c r="A3" s="875" t="s">
        <v>260</v>
      </c>
      <c r="B3" s="760" t="s">
        <v>705</v>
      </c>
      <c r="C3" s="760" t="s">
        <v>706</v>
      </c>
      <c r="D3" s="760"/>
      <c r="E3" s="760" t="s">
        <v>705</v>
      </c>
      <c r="F3" s="760" t="s">
        <v>707</v>
      </c>
      <c r="G3" s="760"/>
      <c r="H3" s="760" t="s">
        <v>705</v>
      </c>
      <c r="I3" s="760" t="s">
        <v>708</v>
      </c>
      <c r="J3" s="760"/>
      <c r="K3" s="760" t="s">
        <v>709</v>
      </c>
      <c r="L3" s="760"/>
      <c r="M3" s="760"/>
      <c r="N3" s="760"/>
      <c r="O3" s="760"/>
      <c r="P3" s="760"/>
      <c r="Q3" s="760"/>
    </row>
    <row r="4" s="762" customFormat="true" ht="12.75" hidden="false" customHeight="true" outlineLevel="0" collapsed="false">
      <c r="A4" s="875"/>
      <c r="B4" s="876" t="s">
        <v>710</v>
      </c>
      <c r="C4" s="749" t="s">
        <v>711</v>
      </c>
      <c r="D4" s="877" t="s">
        <v>712</v>
      </c>
      <c r="E4" s="749" t="s">
        <v>713</v>
      </c>
      <c r="F4" s="877" t="s">
        <v>711</v>
      </c>
      <c r="G4" s="749" t="s">
        <v>712</v>
      </c>
      <c r="H4" s="877" t="s">
        <v>714</v>
      </c>
      <c r="I4" s="749" t="s">
        <v>715</v>
      </c>
      <c r="J4" s="749" t="s">
        <v>712</v>
      </c>
      <c r="K4" s="749" t="s">
        <v>716</v>
      </c>
      <c r="L4" s="878" t="s">
        <v>717</v>
      </c>
      <c r="M4" s="879" t="s">
        <v>718</v>
      </c>
      <c r="N4" s="879" t="s">
        <v>719</v>
      </c>
      <c r="O4" s="879" t="s">
        <v>720</v>
      </c>
      <c r="P4" s="880" t="s">
        <v>721</v>
      </c>
      <c r="Q4" s="879" t="s">
        <v>722</v>
      </c>
    </row>
    <row r="5" s="762" customFormat="true" ht="24.75" hidden="false" customHeight="true" outlineLevel="0" collapsed="false">
      <c r="A5" s="875"/>
      <c r="B5" s="876"/>
      <c r="C5" s="749"/>
      <c r="D5" s="877"/>
      <c r="E5" s="749"/>
      <c r="F5" s="877"/>
      <c r="G5" s="749"/>
      <c r="H5" s="877"/>
      <c r="I5" s="749"/>
      <c r="J5" s="749"/>
      <c r="K5" s="749"/>
      <c r="L5" s="878"/>
      <c r="M5" s="879"/>
      <c r="N5" s="879"/>
      <c r="O5" s="879"/>
      <c r="P5" s="880"/>
      <c r="Q5" s="879"/>
    </row>
    <row r="6" customFormat="false" ht="11.1" hidden="false" customHeight="true" outlineLevel="0" collapsed="false">
      <c r="A6" s="881" t="s">
        <v>723</v>
      </c>
      <c r="B6" s="882" t="n">
        <v>100</v>
      </c>
      <c r="C6" s="882" t="s">
        <v>724</v>
      </c>
      <c r="D6" s="882"/>
      <c r="E6" s="882" t="n">
        <v>58.84</v>
      </c>
      <c r="F6" s="882" t="s">
        <v>724</v>
      </c>
      <c r="G6" s="882"/>
      <c r="H6" s="882" t="n">
        <v>41.16</v>
      </c>
      <c r="I6" s="882" t="s">
        <v>724</v>
      </c>
      <c r="J6" s="882"/>
      <c r="K6" s="882" t="n">
        <v>6.85</v>
      </c>
      <c r="L6" s="882" t="n">
        <v>16.87</v>
      </c>
      <c r="M6" s="882" t="n">
        <v>2.67</v>
      </c>
      <c r="N6" s="882" t="n">
        <v>2.84</v>
      </c>
      <c r="O6" s="882" t="n">
        <v>4.17</v>
      </c>
      <c r="P6" s="882" t="n">
        <v>4.13</v>
      </c>
      <c r="Q6" s="882" t="n">
        <v>3.63</v>
      </c>
    </row>
    <row r="7" s="884" customFormat="true" ht="11.45" hidden="false" customHeight="true" outlineLevel="0" collapsed="false">
      <c r="A7" s="461" t="s">
        <v>207</v>
      </c>
      <c r="B7" s="883" t="n">
        <v>181.725833333333</v>
      </c>
      <c r="C7" s="160" t="n">
        <v>8.05</v>
      </c>
      <c r="D7" s="160" t="n">
        <v>6.78</v>
      </c>
      <c r="E7" s="883" t="n">
        <v>193.236666666667</v>
      </c>
      <c r="F7" s="160" t="n">
        <v>8.26</v>
      </c>
      <c r="G7" s="160" t="n">
        <v>5.22</v>
      </c>
      <c r="H7" s="883" t="n">
        <v>166.969166666667</v>
      </c>
      <c r="I7" s="883" t="n">
        <v>7.75</v>
      </c>
      <c r="J7" s="883" t="n">
        <v>9.17</v>
      </c>
      <c r="K7" s="883" t="n">
        <v>179.658333333333</v>
      </c>
      <c r="L7" s="883" t="n">
        <v>155.613333333333</v>
      </c>
      <c r="M7" s="883" t="n">
        <v>195.331666666667</v>
      </c>
      <c r="N7" s="883" t="n">
        <v>159.6575</v>
      </c>
      <c r="O7" s="883" t="n">
        <v>159.338333333333</v>
      </c>
      <c r="P7" s="883" t="n">
        <v>157.234166666667</v>
      </c>
      <c r="Q7" s="883" t="n">
        <v>182.5375</v>
      </c>
    </row>
    <row r="8" s="885" customFormat="true" ht="11.45" hidden="false" customHeight="true" outlineLevel="0" collapsed="false">
      <c r="A8" s="215" t="s">
        <v>208</v>
      </c>
      <c r="B8" s="172" t="n">
        <v>195.0825</v>
      </c>
      <c r="C8" s="172" t="n">
        <v>6.97</v>
      </c>
      <c r="D8" s="172" t="n">
        <v>7.35</v>
      </c>
      <c r="E8" s="172" t="n">
        <v>209.790833333333</v>
      </c>
      <c r="F8" s="172" t="n">
        <v>8</v>
      </c>
      <c r="G8" s="170" t="n">
        <v>8.57</v>
      </c>
      <c r="H8" s="172" t="n">
        <v>176.224166666667</v>
      </c>
      <c r="I8" s="172" t="n">
        <v>5.45</v>
      </c>
      <c r="J8" s="172" t="n">
        <v>5.54</v>
      </c>
      <c r="K8" s="172" t="n">
        <v>194.765</v>
      </c>
      <c r="L8" s="172" t="n">
        <v>163.470833333333</v>
      </c>
      <c r="M8" s="172" t="n">
        <v>206.135833333333</v>
      </c>
      <c r="N8" s="172" t="n">
        <v>164.055833333333</v>
      </c>
      <c r="O8" s="172" t="n">
        <v>167.2025</v>
      </c>
      <c r="P8" s="172" t="n">
        <v>164.381666666667</v>
      </c>
      <c r="Q8" s="172" t="n">
        <v>193.754166666667</v>
      </c>
    </row>
    <row r="9" s="884" customFormat="true" ht="11.45" hidden="false" customHeight="true" outlineLevel="0" collapsed="false">
      <c r="A9" s="291" t="s">
        <v>209</v>
      </c>
      <c r="B9" s="160" t="n">
        <v>207.5775</v>
      </c>
      <c r="C9" s="160" t="n">
        <v>6.25</v>
      </c>
      <c r="D9" s="160" t="n">
        <v>6.4</v>
      </c>
      <c r="E9" s="160" t="n">
        <v>223.788333333333</v>
      </c>
      <c r="F9" s="160" t="n">
        <v>6.32</v>
      </c>
      <c r="G9" s="161" t="n">
        <v>6.67</v>
      </c>
      <c r="H9" s="160" t="n">
        <v>186.785</v>
      </c>
      <c r="I9" s="160" t="n">
        <v>6.15</v>
      </c>
      <c r="J9" s="160" t="n">
        <v>5.99</v>
      </c>
      <c r="K9" s="160" t="n">
        <v>209.445833333333</v>
      </c>
      <c r="L9" s="160" t="n">
        <v>171.795833333333</v>
      </c>
      <c r="M9" s="160" t="n">
        <v>214.443333333333</v>
      </c>
      <c r="N9" s="160" t="n">
        <v>181.09</v>
      </c>
      <c r="O9" s="160" t="n">
        <v>181.778333333333</v>
      </c>
      <c r="P9" s="160" t="n">
        <v>168.024166666667</v>
      </c>
      <c r="Q9" s="160" t="n">
        <v>204.205833333333</v>
      </c>
    </row>
    <row r="10" s="885" customFormat="true" ht="11.45" hidden="false" customHeight="true" outlineLevel="0" collapsed="false">
      <c r="A10" s="287" t="s">
        <v>211</v>
      </c>
      <c r="B10" s="172" t="n">
        <v>219.858333333333</v>
      </c>
      <c r="C10" s="172" t="n">
        <v>5.53</v>
      </c>
      <c r="D10" s="172" t="n">
        <v>5.92</v>
      </c>
      <c r="E10" s="172" t="n">
        <v>234.771666666667</v>
      </c>
      <c r="F10" s="172" t="n">
        <v>4.23</v>
      </c>
      <c r="G10" s="172" t="n">
        <v>4.91</v>
      </c>
      <c r="H10" s="172" t="n">
        <v>200.7375</v>
      </c>
      <c r="I10" s="172" t="n">
        <v>7.5</v>
      </c>
      <c r="J10" s="172" t="n">
        <v>7.47</v>
      </c>
      <c r="K10" s="172" t="n">
        <v>233.52</v>
      </c>
      <c r="L10" s="172" t="n">
        <v>182.75</v>
      </c>
      <c r="M10" s="172" t="n">
        <v>227.5325</v>
      </c>
      <c r="N10" s="172" t="n">
        <v>200.029166666667</v>
      </c>
      <c r="O10" s="172" t="n">
        <v>201.595833333333</v>
      </c>
      <c r="P10" s="172" t="n">
        <v>171.005833333333</v>
      </c>
      <c r="Q10" s="172" t="n">
        <v>211.611666666667</v>
      </c>
    </row>
    <row r="11" s="884" customFormat="true" ht="11.45" hidden="false" customHeight="true" outlineLevel="0" collapsed="false">
      <c r="A11" s="294" t="s">
        <v>725</v>
      </c>
      <c r="B11" s="886" t="n">
        <v>231.819166666667</v>
      </c>
      <c r="C11" s="886" t="n">
        <v>5.94</v>
      </c>
      <c r="D11" s="886" t="n">
        <v>5.44</v>
      </c>
      <c r="E11" s="886" t="n">
        <v>248.9</v>
      </c>
      <c r="F11" s="886" t="n">
        <v>7.51</v>
      </c>
      <c r="G11" s="886" t="n">
        <v>6.02</v>
      </c>
      <c r="H11" s="886" t="n">
        <v>209.920833333333</v>
      </c>
      <c r="I11" s="886" t="n">
        <v>3.67</v>
      </c>
      <c r="J11" s="886" t="n">
        <v>4.57</v>
      </c>
      <c r="K11" s="886" t="n">
        <v>243.563333333333</v>
      </c>
      <c r="L11" s="886" t="n">
        <v>194.0075</v>
      </c>
      <c r="M11" s="886" t="n">
        <v>235.8475</v>
      </c>
      <c r="N11" s="886" t="n">
        <v>206.698333333333</v>
      </c>
      <c r="O11" s="886" t="n">
        <v>210.776666666667</v>
      </c>
      <c r="P11" s="886" t="n">
        <v>177.555</v>
      </c>
      <c r="Q11" s="886" t="n">
        <v>217.51</v>
      </c>
    </row>
    <row r="12" s="884" customFormat="true" ht="11.45" hidden="false" customHeight="true" outlineLevel="0" collapsed="false">
      <c r="A12" s="298" t="s">
        <v>213</v>
      </c>
      <c r="B12" s="887" t="n">
        <f aca="false">AVERAGE(B13:B24)</f>
        <v>245.224166666667</v>
      </c>
      <c r="C12" s="887" t="n">
        <f aca="false">C24</f>
        <v>5.54</v>
      </c>
      <c r="D12" s="887" t="n">
        <f aca="false">D24</f>
        <v>5.78</v>
      </c>
      <c r="E12" s="887" t="n">
        <f aca="false">AVERAGE(E13:E24)</f>
        <v>266.638333333333</v>
      </c>
      <c r="F12" s="887" t="n">
        <f aca="false">F24</f>
        <v>5.98</v>
      </c>
      <c r="G12" s="887" t="n">
        <f aca="false">G24</f>
        <v>7.13</v>
      </c>
      <c r="H12" s="887" t="n">
        <f aca="false">AVERAGE(H13:H24)</f>
        <v>217.765</v>
      </c>
      <c r="I12" s="887" t="n">
        <f aca="false">I24</f>
        <v>4.87</v>
      </c>
      <c r="J12" s="887" t="n">
        <f aca="false">J24</f>
        <v>3.73</v>
      </c>
      <c r="K12" s="887" t="n">
        <f aca="false">AVERAGE(K13:K24)</f>
        <v>255.236666666667</v>
      </c>
      <c r="L12" s="887" t="n">
        <f aca="false">AVERAGE(L13:L24)</f>
        <v>200.248333333333</v>
      </c>
      <c r="M12" s="887" t="n">
        <f aca="false">AVERAGE(M13:M24)</f>
        <v>249.675833333333</v>
      </c>
      <c r="N12" s="887" t="n">
        <f aca="false">AVERAGE(N13:N24)</f>
        <v>209.2775</v>
      </c>
      <c r="O12" s="887" t="n">
        <f aca="false">AVERAGE(O13:O24)</f>
        <v>218.796666666667</v>
      </c>
      <c r="P12" s="887" t="n">
        <f aca="false">AVERAGE(P13:P24)</f>
        <v>183.649166666667</v>
      </c>
      <c r="Q12" s="887" t="n">
        <f aca="false">AVERAGE(Q13:Q24)</f>
        <v>223.806666666667</v>
      </c>
    </row>
    <row r="13" s="884" customFormat="true" ht="11.45" hidden="false" customHeight="true" outlineLevel="0" collapsed="false">
      <c r="A13" s="291" t="s">
        <v>726</v>
      </c>
      <c r="B13" s="160" t="n">
        <v>236.61</v>
      </c>
      <c r="C13" s="160" t="n">
        <v>5.57</v>
      </c>
      <c r="D13" s="160" t="n">
        <v>5.45</v>
      </c>
      <c r="E13" s="160" t="n">
        <v>254.2</v>
      </c>
      <c r="F13" s="160" t="n">
        <v>6.95</v>
      </c>
      <c r="G13" s="160" t="n">
        <v>6.23</v>
      </c>
      <c r="H13" s="161" t="n">
        <v>214.05</v>
      </c>
      <c r="I13" s="160" t="n">
        <v>3.53</v>
      </c>
      <c r="J13" s="160" t="n">
        <v>4.29</v>
      </c>
      <c r="K13" s="161" t="n">
        <v>246.77</v>
      </c>
      <c r="L13" s="160" t="n">
        <v>199.5</v>
      </c>
      <c r="M13" s="161" t="n">
        <v>241.75</v>
      </c>
      <c r="N13" s="160" t="n">
        <v>207.58</v>
      </c>
      <c r="O13" s="160" t="n">
        <v>215.24</v>
      </c>
      <c r="P13" s="160" t="n">
        <v>182.62</v>
      </c>
      <c r="Q13" s="160" t="n">
        <v>217.15</v>
      </c>
    </row>
    <row r="14" customFormat="false" ht="11.45" hidden="false" customHeight="true" outlineLevel="0" collapsed="false">
      <c r="A14" s="287" t="s">
        <v>215</v>
      </c>
      <c r="B14" s="172" t="n">
        <v>239.92</v>
      </c>
      <c r="C14" s="172" t="n">
        <v>5.89</v>
      </c>
      <c r="D14" s="172" t="n">
        <v>5.5</v>
      </c>
      <c r="E14" s="172" t="n">
        <v>259.6</v>
      </c>
      <c r="F14" s="172" t="n">
        <v>7.32</v>
      </c>
      <c r="G14" s="172" t="n">
        <v>6.48</v>
      </c>
      <c r="H14" s="170" t="n">
        <v>214.68</v>
      </c>
      <c r="I14" s="172" t="n">
        <v>3.75</v>
      </c>
      <c r="J14" s="172" t="n">
        <v>4.03</v>
      </c>
      <c r="K14" s="170" t="n">
        <v>247.67</v>
      </c>
      <c r="L14" s="172" t="n">
        <v>199.1</v>
      </c>
      <c r="M14" s="172" t="n">
        <v>244</v>
      </c>
      <c r="N14" s="172" t="n">
        <v>207.67</v>
      </c>
      <c r="O14" s="172" t="n">
        <v>216.38</v>
      </c>
      <c r="P14" s="172" t="n">
        <v>182.81</v>
      </c>
      <c r="Q14" s="172" t="n">
        <v>219.51</v>
      </c>
    </row>
    <row r="15" customFormat="false" ht="11.45" hidden="false" customHeight="true" outlineLevel="0" collapsed="false">
      <c r="A15" s="291" t="s">
        <v>216</v>
      </c>
      <c r="B15" s="160" t="n">
        <v>244.36</v>
      </c>
      <c r="C15" s="160" t="n">
        <v>6.12</v>
      </c>
      <c r="D15" s="160" t="n">
        <v>5.55</v>
      </c>
      <c r="E15" s="160" t="n">
        <v>267.38</v>
      </c>
      <c r="F15" s="160" t="n">
        <v>7.87</v>
      </c>
      <c r="G15" s="160" t="n">
        <v>6.72</v>
      </c>
      <c r="H15" s="161" t="n">
        <v>214.84</v>
      </c>
      <c r="I15" s="160" t="n">
        <v>3.44</v>
      </c>
      <c r="J15" s="160" t="n">
        <v>3.81</v>
      </c>
      <c r="K15" s="161" t="n">
        <v>247.78</v>
      </c>
      <c r="L15" s="160" t="n">
        <v>199.16</v>
      </c>
      <c r="M15" s="161" t="n">
        <v>244.12</v>
      </c>
      <c r="N15" s="160" t="n">
        <v>207.84</v>
      </c>
      <c r="O15" s="160" t="n">
        <v>216.44</v>
      </c>
      <c r="P15" s="160" t="n">
        <v>182.87</v>
      </c>
      <c r="Q15" s="160" t="n">
        <v>220.48</v>
      </c>
    </row>
    <row r="16" customFormat="false" ht="11.45" hidden="false" customHeight="true" outlineLevel="0" collapsed="false">
      <c r="A16" s="287" t="s">
        <v>217</v>
      </c>
      <c r="B16" s="172" t="n">
        <v>245.86</v>
      </c>
      <c r="C16" s="172" t="n">
        <v>6.04</v>
      </c>
      <c r="D16" s="172" t="n">
        <v>5.59</v>
      </c>
      <c r="E16" s="172" t="n">
        <v>269.73</v>
      </c>
      <c r="F16" s="172" t="n">
        <v>7.62</v>
      </c>
      <c r="G16" s="172" t="n">
        <v>6.89</v>
      </c>
      <c r="H16" s="170" t="n">
        <v>215.26</v>
      </c>
      <c r="I16" s="172" t="n">
        <v>3.61</v>
      </c>
      <c r="J16" s="172" t="n">
        <v>3.65</v>
      </c>
      <c r="K16" s="170" t="n">
        <v>248.03</v>
      </c>
      <c r="L16" s="172" t="n">
        <v>199.21</v>
      </c>
      <c r="M16" s="170" t="n">
        <v>247.01</v>
      </c>
      <c r="N16" s="172" t="n">
        <v>207.92</v>
      </c>
      <c r="O16" s="172" t="n">
        <v>216.59</v>
      </c>
      <c r="P16" s="172" t="n">
        <v>182.97</v>
      </c>
      <c r="Q16" s="172" t="n">
        <v>220.61</v>
      </c>
    </row>
    <row r="17" s="222" customFormat="true" ht="11.45" hidden="false" customHeight="true" outlineLevel="0" collapsed="false">
      <c r="A17" s="291" t="s">
        <v>218</v>
      </c>
      <c r="B17" s="160" t="n">
        <v>244.85</v>
      </c>
      <c r="C17" s="160" t="n">
        <v>5.91</v>
      </c>
      <c r="D17" s="160" t="n">
        <v>5.64</v>
      </c>
      <c r="E17" s="160" t="n">
        <v>267.1</v>
      </c>
      <c r="F17" s="160" t="n">
        <v>7.09</v>
      </c>
      <c r="G17" s="160" t="n">
        <v>7.03</v>
      </c>
      <c r="H17" s="161" t="n">
        <v>216.33</v>
      </c>
      <c r="I17" s="160" t="n">
        <v>4.1</v>
      </c>
      <c r="J17" s="160" t="n">
        <v>3.56</v>
      </c>
      <c r="K17" s="161" t="n">
        <v>249.62</v>
      </c>
      <c r="L17" s="160" t="n">
        <v>199.41</v>
      </c>
      <c r="M17" s="161" t="n">
        <v>249.66</v>
      </c>
      <c r="N17" s="160" t="n">
        <v>208.32</v>
      </c>
      <c r="O17" s="160" t="n">
        <v>217.68</v>
      </c>
      <c r="P17" s="160" t="n">
        <v>183.07</v>
      </c>
      <c r="Q17" s="160" t="n">
        <v>223.89</v>
      </c>
    </row>
    <row r="18" customFormat="false" ht="11.45" hidden="false" customHeight="true" outlineLevel="0" collapsed="false">
      <c r="A18" s="287" t="s">
        <v>219</v>
      </c>
      <c r="B18" s="172" t="n">
        <v>245.03</v>
      </c>
      <c r="C18" s="172" t="n">
        <v>5.83</v>
      </c>
      <c r="D18" s="172" t="n">
        <v>5.7</v>
      </c>
      <c r="E18" s="172" t="n">
        <v>267.06</v>
      </c>
      <c r="F18" s="172" t="n">
        <v>7.13</v>
      </c>
      <c r="G18" s="172" t="n">
        <v>7.17</v>
      </c>
      <c r="H18" s="170" t="n">
        <v>216.79</v>
      </c>
      <c r="I18" s="172" t="n">
        <v>3.85</v>
      </c>
      <c r="J18" s="172" t="n">
        <v>3.5</v>
      </c>
      <c r="K18" s="170" t="n">
        <v>249.92</v>
      </c>
      <c r="L18" s="172" t="n">
        <v>199.98</v>
      </c>
      <c r="M18" s="170" t="n">
        <v>250.06</v>
      </c>
      <c r="N18" s="172" t="n">
        <v>208.83</v>
      </c>
      <c r="O18" s="172" t="n">
        <v>217.89</v>
      </c>
      <c r="P18" s="172" t="n">
        <v>183.69</v>
      </c>
      <c r="Q18" s="172" t="n">
        <v>224.44</v>
      </c>
    </row>
    <row r="19" s="222" customFormat="true" ht="11.45" hidden="false" customHeight="true" outlineLevel="0" collapsed="false">
      <c r="A19" s="291" t="s">
        <v>220</v>
      </c>
      <c r="B19" s="160" t="n">
        <v>248.13</v>
      </c>
      <c r="C19" s="160" t="n">
        <v>5.88</v>
      </c>
      <c r="D19" s="160" t="n">
        <v>5.76332004882425</v>
      </c>
      <c r="E19" s="160" t="n">
        <v>271.05</v>
      </c>
      <c r="F19" s="160" t="n">
        <v>7.62</v>
      </c>
      <c r="G19" s="160" t="n">
        <v>7.26473647592085</v>
      </c>
      <c r="H19" s="161" t="n">
        <v>218.73</v>
      </c>
      <c r="I19" s="160" t="n">
        <v>3.23</v>
      </c>
      <c r="J19" s="160" t="n">
        <v>3.5141095603741</v>
      </c>
      <c r="K19" s="161" t="n">
        <v>259.67</v>
      </c>
      <c r="L19" s="160" t="n">
        <v>200.65</v>
      </c>
      <c r="M19" s="161" t="n">
        <v>250.87</v>
      </c>
      <c r="N19" s="160" t="n">
        <v>209.09</v>
      </c>
      <c r="O19" s="160" t="n">
        <v>218.22</v>
      </c>
      <c r="P19" s="160" t="n">
        <v>184</v>
      </c>
      <c r="Q19" s="160" t="n">
        <v>224.61</v>
      </c>
    </row>
    <row r="20" customFormat="false" ht="11.45" hidden="false" customHeight="true" outlineLevel="0" collapsed="false">
      <c r="A20" s="287" t="s">
        <v>221</v>
      </c>
      <c r="B20" s="172" t="n">
        <v>247.81</v>
      </c>
      <c r="C20" s="172" t="n">
        <v>5.72</v>
      </c>
      <c r="D20" s="172" t="n">
        <v>5.79658684081443</v>
      </c>
      <c r="E20" s="172" t="n">
        <v>270.25</v>
      </c>
      <c r="F20" s="172" t="n">
        <v>7.27</v>
      </c>
      <c r="G20" s="172" t="n">
        <v>7.29998013331235</v>
      </c>
      <c r="H20" s="170" t="n">
        <v>219.04</v>
      </c>
      <c r="I20" s="172" t="n">
        <v>3.36</v>
      </c>
      <c r="J20" s="172" t="n">
        <v>3.53772354133628</v>
      </c>
      <c r="K20" s="170" t="n">
        <v>259.98</v>
      </c>
      <c r="L20" s="172" t="n">
        <v>200.69</v>
      </c>
      <c r="M20" s="170" t="n">
        <v>251.08</v>
      </c>
      <c r="N20" s="172" t="n">
        <v>209.58</v>
      </c>
      <c r="O20" s="172" t="n">
        <v>219.29</v>
      </c>
      <c r="P20" s="172" t="n">
        <v>184.21</v>
      </c>
      <c r="Q20" s="172" t="n">
        <v>224.83</v>
      </c>
    </row>
    <row r="21" s="222" customFormat="true" ht="11.45" hidden="false" customHeight="true" outlineLevel="0" collapsed="false">
      <c r="A21" s="291" t="s">
        <v>222</v>
      </c>
      <c r="B21" s="160" t="n">
        <v>248.65</v>
      </c>
      <c r="C21" s="160" t="n">
        <v>5.68</v>
      </c>
      <c r="D21" s="160" t="n">
        <v>5.81925928085663</v>
      </c>
      <c r="E21" s="160" t="n">
        <v>271.27</v>
      </c>
      <c r="F21" s="160" t="n">
        <v>7.09</v>
      </c>
      <c r="G21" s="160" t="n">
        <v>7.3145558776343</v>
      </c>
      <c r="H21" s="161" t="n">
        <v>219.64</v>
      </c>
      <c r="I21" s="160" t="n">
        <v>3.52</v>
      </c>
      <c r="J21" s="160" t="n">
        <v>3.56529433196271</v>
      </c>
      <c r="K21" s="161" t="n">
        <v>260.22</v>
      </c>
      <c r="L21" s="160" t="n">
        <v>200.75</v>
      </c>
      <c r="M21" s="161" t="n">
        <v>253.21</v>
      </c>
      <c r="N21" s="160" t="n">
        <v>210.47</v>
      </c>
      <c r="O21" s="160" t="n">
        <v>219.94</v>
      </c>
      <c r="P21" s="160" t="n">
        <v>184.27</v>
      </c>
      <c r="Q21" s="160" t="n">
        <v>226.55</v>
      </c>
    </row>
    <row r="22" s="222" customFormat="true" ht="11.45" hidden="false" customHeight="true" outlineLevel="0" collapsed="false">
      <c r="A22" s="287" t="s">
        <v>223</v>
      </c>
      <c r="B22" s="172" t="n">
        <v>248.85</v>
      </c>
      <c r="C22" s="172" t="n">
        <v>5.63</v>
      </c>
      <c r="D22" s="172" t="n">
        <v>5.83193942010791</v>
      </c>
      <c r="E22" s="172" t="n">
        <v>271.42</v>
      </c>
      <c r="F22" s="172" t="n">
        <v>7.03</v>
      </c>
      <c r="G22" s="172" t="n">
        <v>7.32020431943206</v>
      </c>
      <c r="H22" s="172" t="n">
        <v>219.9</v>
      </c>
      <c r="I22" s="172" t="n">
        <v>3.49</v>
      </c>
      <c r="J22" s="172" t="n">
        <v>3.58119682008569</v>
      </c>
      <c r="K22" s="170" t="n">
        <v>260.33</v>
      </c>
      <c r="L22" s="172" t="n">
        <v>200.86</v>
      </c>
      <c r="M22" s="170" t="n">
        <v>254.08</v>
      </c>
      <c r="N22" s="172" t="n">
        <v>210.78</v>
      </c>
      <c r="O22" s="172" t="n">
        <v>220.47</v>
      </c>
      <c r="P22" s="172" t="n">
        <v>184.31</v>
      </c>
      <c r="Q22" s="172" t="n">
        <v>226.72</v>
      </c>
    </row>
    <row r="23" s="222" customFormat="true" ht="11.45" hidden="false" customHeight="true" outlineLevel="0" collapsed="false">
      <c r="A23" s="291" t="s">
        <v>224</v>
      </c>
      <c r="B23" s="160" t="n">
        <v>245.8</v>
      </c>
      <c r="C23" s="160" t="n">
        <v>5.57</v>
      </c>
      <c r="D23" s="160" t="n">
        <v>5.82</v>
      </c>
      <c r="E23" s="160" t="n">
        <v>265.27</v>
      </c>
      <c r="F23" s="160" t="n">
        <v>6.56</v>
      </c>
      <c r="G23" s="160" t="n">
        <v>7.25</v>
      </c>
      <c r="H23" s="160" t="n">
        <v>220.83</v>
      </c>
      <c r="I23" s="160" t="n">
        <v>4.08</v>
      </c>
      <c r="J23" s="160" t="n">
        <v>3.63</v>
      </c>
      <c r="K23" s="161" t="n">
        <v>261.92</v>
      </c>
      <c r="L23" s="160" t="n">
        <v>201.61</v>
      </c>
      <c r="M23" s="161" t="n">
        <v>254.88</v>
      </c>
      <c r="N23" s="160" t="n">
        <v>211.45</v>
      </c>
      <c r="O23" s="160" t="n">
        <v>221.55</v>
      </c>
      <c r="P23" s="160" t="n">
        <v>184.4</v>
      </c>
      <c r="Q23" s="160" t="n">
        <v>228.29</v>
      </c>
    </row>
    <row r="24" s="222" customFormat="true" ht="11.45" hidden="false" customHeight="true" outlineLevel="0" collapsed="false">
      <c r="A24" s="287" t="s">
        <v>225</v>
      </c>
      <c r="B24" s="172" t="n">
        <v>246.82</v>
      </c>
      <c r="C24" s="172" t="n">
        <v>5.54</v>
      </c>
      <c r="D24" s="172" t="n">
        <v>5.78</v>
      </c>
      <c r="E24" s="172" t="n">
        <v>265.33</v>
      </c>
      <c r="F24" s="172" t="n">
        <v>5.98</v>
      </c>
      <c r="G24" s="172" t="n">
        <v>7.13</v>
      </c>
      <c r="H24" s="172" t="n">
        <v>223.09</v>
      </c>
      <c r="I24" s="172" t="n">
        <v>4.87</v>
      </c>
      <c r="J24" s="172" t="n">
        <v>3.73</v>
      </c>
      <c r="K24" s="170" t="n">
        <v>270.93</v>
      </c>
      <c r="L24" s="172" t="n">
        <v>202.06</v>
      </c>
      <c r="M24" s="170" t="n">
        <v>255.39</v>
      </c>
      <c r="N24" s="172" t="n">
        <v>211.8</v>
      </c>
      <c r="O24" s="172" t="n">
        <v>225.87</v>
      </c>
      <c r="P24" s="172" t="n">
        <v>184.57</v>
      </c>
      <c r="Q24" s="172" t="n">
        <v>228.6</v>
      </c>
    </row>
    <row r="25" s="222" customFormat="true" ht="11.45" hidden="false" customHeight="true" outlineLevel="0" collapsed="false">
      <c r="A25" s="294" t="s">
        <v>226</v>
      </c>
      <c r="B25" s="886" t="n">
        <f aca="false">AVERAGE(B26:B37)</f>
        <v>258.649166666667</v>
      </c>
      <c r="C25" s="886" t="n">
        <f aca="false">C37</f>
        <v>5.52</v>
      </c>
      <c r="D25" s="886" t="n">
        <f aca="false">D37</f>
        <v>5.48</v>
      </c>
      <c r="E25" s="886" t="n">
        <f aca="false">AVERAGE(E26:E37)</f>
        <v>281.324166666667</v>
      </c>
      <c r="F25" s="886" t="n">
        <f aca="false">F37</f>
        <v>5.4</v>
      </c>
      <c r="G25" s="886" t="n">
        <f aca="false">G37</f>
        <v>5.51</v>
      </c>
      <c r="H25" s="886" t="n">
        <f aca="false">AVERAGE(H26:H37)</f>
        <v>229.576666666667</v>
      </c>
      <c r="I25" s="886" t="n">
        <f aca="false">I37</f>
        <v>5.71</v>
      </c>
      <c r="J25" s="886" t="n">
        <f aca="false">J37</f>
        <v>5.42</v>
      </c>
      <c r="K25" s="886" t="n">
        <f aca="false">AVERAGE(K26:K37)</f>
        <v>277.640833333333</v>
      </c>
      <c r="L25" s="886" t="n">
        <f aca="false">AVERAGE(L26:L37)</f>
        <v>206.976666666667</v>
      </c>
      <c r="M25" s="886" t="n">
        <f aca="false">AVERAGE(M26:M37)</f>
        <v>265.249166666667</v>
      </c>
      <c r="N25" s="886" t="n">
        <f aca="false">AVERAGE(N26:N37)</f>
        <v>215.308333333333</v>
      </c>
      <c r="O25" s="886" t="n">
        <f aca="false">AVERAGE(O26:O37)</f>
        <v>235.2275</v>
      </c>
      <c r="P25" s="886" t="n">
        <f aca="false">AVERAGE(P26:P37)</f>
        <v>186.725833333333</v>
      </c>
      <c r="Q25" s="886" t="n">
        <f aca="false">AVERAGE(Q26:Q37)</f>
        <v>239.869166666667</v>
      </c>
    </row>
    <row r="26" s="222" customFormat="true" ht="11.45" hidden="false" customHeight="true" outlineLevel="0" collapsed="false">
      <c r="A26" s="287" t="s">
        <v>726</v>
      </c>
      <c r="B26" s="172" t="n">
        <v>249.65</v>
      </c>
      <c r="C26" s="172" t="n">
        <v>5.51</v>
      </c>
      <c r="D26" s="172" t="n">
        <v>5.78</v>
      </c>
      <c r="E26" s="172" t="n">
        <v>269.91</v>
      </c>
      <c r="F26" s="172" t="n">
        <v>6.18</v>
      </c>
      <c r="G26" s="172" t="n">
        <v>7.06</v>
      </c>
      <c r="H26" s="172" t="n">
        <v>223.66</v>
      </c>
      <c r="I26" s="172" t="n">
        <v>4.49</v>
      </c>
      <c r="J26" s="172" t="n">
        <v>3.82</v>
      </c>
      <c r="K26" s="170" t="n">
        <v>270.94</v>
      </c>
      <c r="L26" s="172" t="n">
        <v>202.11</v>
      </c>
      <c r="M26" s="170" t="n">
        <v>255.79</v>
      </c>
      <c r="N26" s="172" t="n">
        <v>211.96</v>
      </c>
      <c r="O26" s="172" t="n">
        <v>226.6</v>
      </c>
      <c r="P26" s="172" t="n">
        <v>184.71</v>
      </c>
      <c r="Q26" s="172" t="n">
        <v>233.1</v>
      </c>
    </row>
    <row r="27" s="222" customFormat="true" ht="11.45" hidden="false" customHeight="true" outlineLevel="0" collapsed="false">
      <c r="A27" s="291" t="s">
        <v>215</v>
      </c>
      <c r="B27" s="160" t="n">
        <v>253.07</v>
      </c>
      <c r="C27" s="160" t="n">
        <v>5.48</v>
      </c>
      <c r="D27" s="160" t="n">
        <v>5.74</v>
      </c>
      <c r="E27" s="160" t="n">
        <v>275.09</v>
      </c>
      <c r="F27" s="160" t="n">
        <v>5.97</v>
      </c>
      <c r="G27" s="160" t="n">
        <v>6.95</v>
      </c>
      <c r="H27" s="160" t="n">
        <v>224.84</v>
      </c>
      <c r="I27" s="160" t="n">
        <v>4.73</v>
      </c>
      <c r="J27" s="160" t="n">
        <v>3.9</v>
      </c>
      <c r="K27" s="161" t="n">
        <v>272.39</v>
      </c>
      <c r="L27" s="160" t="n">
        <v>202.59</v>
      </c>
      <c r="M27" s="161" t="n">
        <v>257.76</v>
      </c>
      <c r="N27" s="160" t="n">
        <v>213.34</v>
      </c>
      <c r="O27" s="160" t="n">
        <v>229.48</v>
      </c>
      <c r="P27" s="160" t="n">
        <v>184.82</v>
      </c>
      <c r="Q27" s="160" t="n">
        <v>233.94</v>
      </c>
    </row>
    <row r="28" s="222" customFormat="true" ht="11.45" hidden="false" customHeight="true" outlineLevel="0" collapsed="false">
      <c r="A28" s="287" t="s">
        <v>216</v>
      </c>
      <c r="B28" s="172" t="n">
        <v>257.62</v>
      </c>
      <c r="C28" s="172" t="n">
        <v>5.43</v>
      </c>
      <c r="D28" s="172" t="n">
        <v>5.68</v>
      </c>
      <c r="E28" s="172" t="n">
        <v>281.86</v>
      </c>
      <c r="F28" s="172" t="n">
        <v>5.42</v>
      </c>
      <c r="G28" s="172" t="n">
        <v>6.74</v>
      </c>
      <c r="H28" s="172" t="n">
        <v>226.54</v>
      </c>
      <c r="I28" s="172" t="n">
        <v>5.45</v>
      </c>
      <c r="J28" s="172" t="n">
        <v>4.07</v>
      </c>
      <c r="K28" s="170" t="n">
        <v>273.56</v>
      </c>
      <c r="L28" s="172" t="n">
        <v>203.56</v>
      </c>
      <c r="M28" s="170" t="n">
        <v>262.51</v>
      </c>
      <c r="N28" s="172" t="n">
        <v>214.29</v>
      </c>
      <c r="O28" s="172" t="n">
        <v>232.09</v>
      </c>
      <c r="P28" s="172" t="n">
        <v>185.01</v>
      </c>
      <c r="Q28" s="172" t="n">
        <v>236.64</v>
      </c>
    </row>
    <row r="29" s="222" customFormat="true" ht="11.45" hidden="false" customHeight="true" outlineLevel="0" collapsed="false">
      <c r="A29" s="291" t="s">
        <v>217</v>
      </c>
      <c r="B29" s="160" t="n">
        <v>259.13</v>
      </c>
      <c r="C29" s="160" t="n">
        <v>5.4</v>
      </c>
      <c r="D29" s="160" t="n">
        <v>5.63</v>
      </c>
      <c r="E29" s="160" t="n">
        <v>283.44</v>
      </c>
      <c r="F29" s="160" t="n">
        <v>5.08</v>
      </c>
      <c r="G29" s="160" t="n">
        <v>6.52</v>
      </c>
      <c r="H29" s="160" t="n">
        <v>227.96</v>
      </c>
      <c r="I29" s="160" t="n">
        <v>5.9</v>
      </c>
      <c r="J29" s="160" t="n">
        <v>4.26</v>
      </c>
      <c r="K29" s="161" t="n">
        <v>275.01</v>
      </c>
      <c r="L29" s="160" t="n">
        <v>204.49</v>
      </c>
      <c r="M29" s="160" t="n">
        <v>265.5</v>
      </c>
      <c r="N29" s="160" t="n">
        <v>214.82</v>
      </c>
      <c r="O29" s="160" t="n">
        <v>234.21</v>
      </c>
      <c r="P29" s="160" t="n">
        <v>185.29</v>
      </c>
      <c r="Q29" s="160" t="n">
        <v>239.03</v>
      </c>
    </row>
    <row r="30" s="222" customFormat="true" ht="11.45" hidden="false" customHeight="true" outlineLevel="0" collapsed="false">
      <c r="A30" s="287" t="s">
        <v>218</v>
      </c>
      <c r="B30" s="172" t="n">
        <v>258</v>
      </c>
      <c r="C30" s="172" t="n">
        <v>5.37</v>
      </c>
      <c r="D30" s="172" t="n">
        <v>5.58</v>
      </c>
      <c r="E30" s="172" t="n">
        <v>281.24</v>
      </c>
      <c r="F30" s="172" t="n">
        <v>5.29</v>
      </c>
      <c r="G30" s="172" t="n">
        <v>6.37</v>
      </c>
      <c r="H30" s="172" t="n">
        <v>228.21</v>
      </c>
      <c r="I30" s="172" t="n">
        <v>5.49</v>
      </c>
      <c r="J30" s="172" t="n">
        <v>4.38</v>
      </c>
      <c r="K30" s="170" t="n">
        <v>275.46</v>
      </c>
      <c r="L30" s="172" t="n">
        <v>204.77</v>
      </c>
      <c r="M30" s="172" t="n">
        <v>265.68</v>
      </c>
      <c r="N30" s="172" t="n">
        <v>214.91</v>
      </c>
      <c r="O30" s="172" t="n">
        <v>234.47</v>
      </c>
      <c r="P30" s="172" t="n">
        <v>185.35</v>
      </c>
      <c r="Q30" s="172" t="n">
        <v>239.18</v>
      </c>
    </row>
    <row r="31" s="222" customFormat="true" ht="11.45" hidden="false" customHeight="true" outlineLevel="0" collapsed="false">
      <c r="A31" s="291" t="s">
        <v>219</v>
      </c>
      <c r="B31" s="160" t="n">
        <v>258.13</v>
      </c>
      <c r="C31" s="160" t="n">
        <v>5.35</v>
      </c>
      <c r="D31" s="160" t="n">
        <v>5.55</v>
      </c>
      <c r="E31" s="160" t="n">
        <v>281.17</v>
      </c>
      <c r="F31" s="160" t="n">
        <v>5.28</v>
      </c>
      <c r="G31" s="160" t="n">
        <v>6.21084498896631</v>
      </c>
      <c r="H31" s="160" t="n">
        <v>228.6</v>
      </c>
      <c r="I31" s="160" t="n">
        <v>5.45</v>
      </c>
      <c r="J31" s="160" t="n">
        <v>4.51134560735347</v>
      </c>
      <c r="K31" s="161" t="n">
        <v>275.85</v>
      </c>
      <c r="L31" s="160" t="n">
        <v>205.26</v>
      </c>
      <c r="M31" s="160" t="n">
        <v>265.97</v>
      </c>
      <c r="N31" s="160" t="n">
        <v>215.17</v>
      </c>
      <c r="O31" s="160" t="n">
        <v>235.17</v>
      </c>
      <c r="P31" s="160" t="n">
        <v>185.41</v>
      </c>
      <c r="Q31" s="160" t="n">
        <v>239.33</v>
      </c>
    </row>
    <row r="32" s="222" customFormat="true" ht="11.45" hidden="false" customHeight="true" outlineLevel="0" collapsed="false">
      <c r="A32" s="287" t="s">
        <v>220</v>
      </c>
      <c r="B32" s="172" t="n">
        <v>261.58</v>
      </c>
      <c r="C32" s="172" t="n">
        <v>5.42</v>
      </c>
      <c r="D32" s="172" t="n">
        <v>5.51</v>
      </c>
      <c r="E32" s="172" t="n">
        <v>285.5</v>
      </c>
      <c r="F32" s="172" t="n">
        <v>5.33</v>
      </c>
      <c r="G32" s="172" t="n">
        <v>6.02</v>
      </c>
      <c r="H32" s="172" t="n">
        <v>230.91</v>
      </c>
      <c r="I32" s="172" t="n">
        <v>5.57</v>
      </c>
      <c r="J32" s="172" t="n">
        <v>4.71</v>
      </c>
      <c r="K32" s="170" t="n">
        <v>277.56</v>
      </c>
      <c r="L32" s="172" t="n">
        <v>209.66</v>
      </c>
      <c r="M32" s="172" t="n">
        <v>266.24</v>
      </c>
      <c r="N32" s="172" t="n">
        <v>216.04</v>
      </c>
      <c r="O32" s="172" t="n">
        <v>235.83</v>
      </c>
      <c r="P32" s="172" t="n">
        <v>188.11</v>
      </c>
      <c r="Q32" s="172" t="n">
        <v>240.53</v>
      </c>
    </row>
    <row r="33" s="222" customFormat="true" ht="11.45" hidden="false" customHeight="true" outlineLevel="0" collapsed="false">
      <c r="A33" s="291" t="s">
        <v>221</v>
      </c>
      <c r="B33" s="160" t="n">
        <v>261.36</v>
      </c>
      <c r="C33" s="160" t="n">
        <v>5.47</v>
      </c>
      <c r="D33" s="160" t="n">
        <v>5.49</v>
      </c>
      <c r="E33" s="160" t="n">
        <v>284.96</v>
      </c>
      <c r="F33" s="160" t="n">
        <v>5.44</v>
      </c>
      <c r="G33" s="160" t="n">
        <v>5.87</v>
      </c>
      <c r="H33" s="160" t="n">
        <v>231.1</v>
      </c>
      <c r="I33" s="160" t="n">
        <v>5.51</v>
      </c>
      <c r="J33" s="160" t="n">
        <v>4.89</v>
      </c>
      <c r="K33" s="161" t="n">
        <v>277.68</v>
      </c>
      <c r="L33" s="160" t="n">
        <v>209.72</v>
      </c>
      <c r="M33" s="160" t="n">
        <v>266.35</v>
      </c>
      <c r="N33" s="160" t="n">
        <v>216.08</v>
      </c>
      <c r="O33" s="160" t="n">
        <v>236.23</v>
      </c>
      <c r="P33" s="160" t="n">
        <v>188.14</v>
      </c>
      <c r="Q33" s="160" t="n">
        <v>241.42</v>
      </c>
    </row>
    <row r="34" s="222" customFormat="true" ht="11.45" hidden="false" customHeight="true" outlineLevel="0" collapsed="false">
      <c r="A34" s="287" t="s">
        <v>222</v>
      </c>
      <c r="B34" s="172" t="n">
        <v>262.45</v>
      </c>
      <c r="C34" s="172" t="n">
        <v>5.55</v>
      </c>
      <c r="D34" s="172" t="n">
        <v>5.48</v>
      </c>
      <c r="E34" s="172" t="n">
        <v>286.78</v>
      </c>
      <c r="F34" s="172" t="n">
        <v>5.72</v>
      </c>
      <c r="G34" s="172" t="n">
        <v>5.76</v>
      </c>
      <c r="H34" s="172" t="n">
        <v>231.25</v>
      </c>
      <c r="I34" s="172" t="n">
        <v>5.29</v>
      </c>
      <c r="J34" s="172" t="n">
        <v>5.03</v>
      </c>
      <c r="K34" s="170" t="n">
        <v>277.74</v>
      </c>
      <c r="L34" s="172" t="n">
        <v>209.77</v>
      </c>
      <c r="M34" s="172" t="n">
        <v>266.57</v>
      </c>
      <c r="N34" s="172" t="n">
        <v>216.18</v>
      </c>
      <c r="O34" s="172" t="n">
        <v>236.9</v>
      </c>
      <c r="P34" s="172" t="n">
        <v>188.16</v>
      </c>
      <c r="Q34" s="172" t="n">
        <v>241.46</v>
      </c>
    </row>
    <row r="35" s="222" customFormat="true" ht="11.45" hidden="false" customHeight="true" outlineLevel="0" collapsed="false">
      <c r="A35" s="291" t="s">
        <v>223</v>
      </c>
      <c r="B35" s="160" t="n">
        <v>262.73</v>
      </c>
      <c r="C35" s="160" t="n">
        <v>5.58</v>
      </c>
      <c r="D35" s="160" t="n">
        <v>5.47</v>
      </c>
      <c r="E35" s="160" t="n">
        <v>286.46</v>
      </c>
      <c r="F35" s="160" t="n">
        <v>5.54</v>
      </c>
      <c r="G35" s="160" t="n">
        <v>5.64</v>
      </c>
      <c r="H35" s="160" t="n">
        <v>232.31</v>
      </c>
      <c r="I35" s="160" t="n">
        <v>5.64</v>
      </c>
      <c r="J35" s="160" t="n">
        <v>5.21</v>
      </c>
      <c r="K35" s="161" t="n">
        <v>281.42</v>
      </c>
      <c r="L35" s="160" t="n">
        <v>209.84</v>
      </c>
      <c r="M35" s="160" t="n">
        <v>267.59</v>
      </c>
      <c r="N35" s="160" t="n">
        <v>216.39</v>
      </c>
      <c r="O35" s="160" t="n">
        <v>238.13</v>
      </c>
      <c r="P35" s="160" t="n">
        <v>188.47</v>
      </c>
      <c r="Q35" s="160" t="n">
        <v>243.07</v>
      </c>
    </row>
    <row r="36" s="222" customFormat="true" ht="11.45" hidden="false" customHeight="true" outlineLevel="0" collapsed="false">
      <c r="A36" s="287" t="s">
        <v>224</v>
      </c>
      <c r="B36" s="172" t="n">
        <v>259.63</v>
      </c>
      <c r="C36" s="172" t="n">
        <v>5.63</v>
      </c>
      <c r="D36" s="172" t="n">
        <v>5.48</v>
      </c>
      <c r="E36" s="172" t="n">
        <v>279.83</v>
      </c>
      <c r="F36" s="172" t="n">
        <v>5.49</v>
      </c>
      <c r="G36" s="172" t="n">
        <v>5.55</v>
      </c>
      <c r="H36" s="172" t="n">
        <v>233.72</v>
      </c>
      <c r="I36" s="172" t="n">
        <v>5.84</v>
      </c>
      <c r="J36" s="172" t="n">
        <v>5.36</v>
      </c>
      <c r="K36" s="170" t="n">
        <v>287.06</v>
      </c>
      <c r="L36" s="172" t="n">
        <v>210.16</v>
      </c>
      <c r="M36" s="172" t="n">
        <v>267.89</v>
      </c>
      <c r="N36" s="172" t="n">
        <v>216.51</v>
      </c>
      <c r="O36" s="172" t="n">
        <v>240.86</v>
      </c>
      <c r="P36" s="172" t="n">
        <v>188.54</v>
      </c>
      <c r="Q36" s="172" t="n">
        <v>243.18</v>
      </c>
    </row>
    <row r="37" s="222" customFormat="true" ht="11.45" hidden="false" customHeight="true" outlineLevel="0" collapsed="false">
      <c r="A37" s="291" t="s">
        <v>225</v>
      </c>
      <c r="B37" s="160" t="n">
        <v>260.44</v>
      </c>
      <c r="C37" s="160" t="n">
        <v>5.52</v>
      </c>
      <c r="D37" s="160" t="n">
        <v>5.48</v>
      </c>
      <c r="E37" s="160" t="n">
        <v>279.65</v>
      </c>
      <c r="F37" s="160" t="n">
        <v>5.4</v>
      </c>
      <c r="G37" s="160" t="n">
        <v>5.51</v>
      </c>
      <c r="H37" s="160" t="n">
        <v>235.82</v>
      </c>
      <c r="I37" s="160" t="n">
        <v>5.71</v>
      </c>
      <c r="J37" s="160" t="n">
        <v>5.42</v>
      </c>
      <c r="K37" s="161" t="n">
        <v>287.02</v>
      </c>
      <c r="L37" s="160" t="n">
        <v>211.79</v>
      </c>
      <c r="M37" s="160" t="n">
        <v>275.14</v>
      </c>
      <c r="N37" s="160" t="n">
        <v>218.01</v>
      </c>
      <c r="O37" s="160" t="n">
        <v>242.76</v>
      </c>
      <c r="P37" s="160" t="n">
        <v>188.7</v>
      </c>
      <c r="Q37" s="160" t="n">
        <v>247.55</v>
      </c>
    </row>
    <row r="38" s="222" customFormat="true" ht="11.45" hidden="false" customHeight="true" outlineLevel="0" collapsed="false">
      <c r="A38" s="888" t="s">
        <v>227</v>
      </c>
      <c r="B38" s="887" t="n">
        <f aca="false">AVERAGE(B39:B50)</f>
        <v>273.256666666667</v>
      </c>
      <c r="C38" s="887" t="n">
        <f aca="false">C50</f>
        <v>6.02</v>
      </c>
      <c r="D38" s="887" t="n">
        <f aca="false">D50</f>
        <v>5.64761146855941</v>
      </c>
      <c r="E38" s="887" t="n">
        <f aca="false">AVERAGE(E39:E50)</f>
        <v>296.8575</v>
      </c>
      <c r="F38" s="887" t="n">
        <f aca="false">F50</f>
        <v>6.54</v>
      </c>
      <c r="G38" s="887" t="n">
        <f aca="false">G50</f>
        <v>5.52150692113782</v>
      </c>
      <c r="H38" s="887" t="n">
        <f aca="false">AVERAGE(H39:H50)</f>
        <v>242.996666666667</v>
      </c>
      <c r="I38" s="887" t="n">
        <f aca="false">I50</f>
        <v>5.22</v>
      </c>
      <c r="J38" s="887" t="n">
        <f aca="false">J50</f>
        <v>5.84554179431711</v>
      </c>
      <c r="K38" s="887" t="n">
        <f aca="false">AVERAGE(K39:K50)</f>
        <v>290.003333333333</v>
      </c>
      <c r="L38" s="887" t="n">
        <f aca="false">AVERAGE(L39:L50)</f>
        <v>220.700833333333</v>
      </c>
      <c r="M38" s="887" t="n">
        <f aca="false">AVERAGE(M39:M50)</f>
        <v>282.670833333333</v>
      </c>
      <c r="N38" s="887" t="n">
        <f aca="false">AVERAGE(N39:N50)</f>
        <v>230.071666666667</v>
      </c>
      <c r="O38" s="887" t="n">
        <f aca="false">AVERAGE(O39:O50)</f>
        <v>248.48</v>
      </c>
      <c r="P38" s="887" t="n">
        <f aca="false">AVERAGE(P39:P50)</f>
        <v>190.13</v>
      </c>
      <c r="Q38" s="887" t="n">
        <f aca="false">AVERAGE(Q39:Q50)</f>
        <v>259.270833333333</v>
      </c>
    </row>
    <row r="39" s="222" customFormat="true" ht="11.45" hidden="false" customHeight="true" outlineLevel="0" collapsed="false">
      <c r="A39" s="889" t="s">
        <v>214</v>
      </c>
      <c r="B39" s="160" t="n">
        <v>263.69</v>
      </c>
      <c r="C39" s="160" t="n">
        <v>5.62</v>
      </c>
      <c r="D39" s="160" t="n">
        <v>5.48</v>
      </c>
      <c r="E39" s="160" t="n">
        <v>284.54</v>
      </c>
      <c r="F39" s="160" t="n">
        <v>5.42</v>
      </c>
      <c r="G39" s="160" t="n">
        <v>5.45</v>
      </c>
      <c r="H39" s="160" t="n">
        <v>236.95</v>
      </c>
      <c r="I39" s="160" t="n">
        <v>5.94</v>
      </c>
      <c r="J39" s="160" t="n">
        <v>5.54</v>
      </c>
      <c r="K39" s="161" t="n">
        <v>287.36</v>
      </c>
      <c r="L39" s="160" t="n">
        <v>214.54</v>
      </c>
      <c r="M39" s="160" t="n">
        <v>275.53</v>
      </c>
      <c r="N39" s="160" t="n">
        <v>218.09</v>
      </c>
      <c r="O39" s="160" t="n">
        <v>243.26</v>
      </c>
      <c r="P39" s="160" t="n">
        <v>188.78</v>
      </c>
      <c r="Q39" s="160" t="n">
        <v>247.86</v>
      </c>
    </row>
    <row r="40" s="222" customFormat="true" ht="11.45" hidden="false" customHeight="true" outlineLevel="0" collapsed="false">
      <c r="A40" s="890" t="s">
        <v>215</v>
      </c>
      <c r="B40" s="172" t="n">
        <v>266.96</v>
      </c>
      <c r="C40" s="172" t="n">
        <v>5.49</v>
      </c>
      <c r="D40" s="172" t="n">
        <v>5.48</v>
      </c>
      <c r="E40" s="172" t="n">
        <v>289.6</v>
      </c>
      <c r="F40" s="172" t="n">
        <v>5.27</v>
      </c>
      <c r="G40" s="172" t="n">
        <v>5.39</v>
      </c>
      <c r="H40" s="172" t="n">
        <v>237.93</v>
      </c>
      <c r="I40" s="172" t="n">
        <v>5.82</v>
      </c>
      <c r="J40" s="172" t="n">
        <v>5.63</v>
      </c>
      <c r="K40" s="170" t="n">
        <v>287.98</v>
      </c>
      <c r="L40" s="172" t="n">
        <v>214.85</v>
      </c>
      <c r="M40" s="172" t="n">
        <v>276.33</v>
      </c>
      <c r="N40" s="172" t="n">
        <v>222.04</v>
      </c>
      <c r="O40" s="172" t="n">
        <v>244.13</v>
      </c>
      <c r="P40" s="172" t="n">
        <v>188.97</v>
      </c>
      <c r="Q40" s="172" t="n">
        <v>250.59</v>
      </c>
    </row>
    <row r="41" s="222" customFormat="true" ht="11.45" hidden="false" customHeight="true" outlineLevel="0" collapsed="false">
      <c r="A41" s="291" t="s">
        <v>216</v>
      </c>
      <c r="B41" s="160" t="n">
        <v>271.9</v>
      </c>
      <c r="C41" s="160" t="n">
        <v>5.54</v>
      </c>
      <c r="D41" s="160" t="n">
        <v>5.49</v>
      </c>
      <c r="E41" s="160" t="n">
        <v>296.81</v>
      </c>
      <c r="F41" s="160" t="n">
        <v>5.3</v>
      </c>
      <c r="G41" s="160" t="n">
        <v>5.38</v>
      </c>
      <c r="H41" s="160" t="n">
        <v>239.96</v>
      </c>
      <c r="I41" s="160" t="n">
        <v>5.92</v>
      </c>
      <c r="J41" s="160" t="n">
        <v>5.67</v>
      </c>
      <c r="K41" s="160" t="n">
        <v>288.8</v>
      </c>
      <c r="L41" s="160" t="n">
        <v>215.08</v>
      </c>
      <c r="M41" s="160" t="n">
        <v>280.53</v>
      </c>
      <c r="N41" s="160" t="n">
        <v>226.8</v>
      </c>
      <c r="O41" s="160" t="n">
        <v>247.26</v>
      </c>
      <c r="P41" s="160" t="n">
        <v>189.24</v>
      </c>
      <c r="Q41" s="160" t="n">
        <v>256.99</v>
      </c>
    </row>
    <row r="42" s="222" customFormat="true" ht="11.45" hidden="false" customHeight="true" outlineLevel="0" collapsed="false">
      <c r="A42" s="287" t="s">
        <v>217</v>
      </c>
      <c r="B42" s="172" t="n">
        <v>273.3</v>
      </c>
      <c r="C42" s="172" t="n">
        <v>5.47</v>
      </c>
      <c r="D42" s="172" t="n">
        <v>5.50041563592298</v>
      </c>
      <c r="E42" s="172" t="n">
        <v>298.99</v>
      </c>
      <c r="F42" s="172" t="n">
        <v>5.49</v>
      </c>
      <c r="G42" s="172" t="n">
        <v>5.4150749451527</v>
      </c>
      <c r="H42" s="172" t="n">
        <v>240.38</v>
      </c>
      <c r="I42" s="172" t="n">
        <v>5.45</v>
      </c>
      <c r="J42" s="172" t="n">
        <v>5.63681863510639</v>
      </c>
      <c r="K42" s="172" t="n">
        <v>288.89</v>
      </c>
      <c r="L42" s="172" t="n">
        <v>215.96</v>
      </c>
      <c r="M42" s="172" t="n">
        <v>280.64</v>
      </c>
      <c r="N42" s="172" t="n">
        <v>226.96</v>
      </c>
      <c r="O42" s="172" t="n">
        <v>247.48</v>
      </c>
      <c r="P42" s="172" t="n">
        <v>189.72</v>
      </c>
      <c r="Q42" s="172" t="n">
        <v>257.01</v>
      </c>
    </row>
    <row r="43" s="222" customFormat="true" ht="11.45" hidden="false" customHeight="true" outlineLevel="0" collapsed="false">
      <c r="A43" s="291" t="s">
        <v>218</v>
      </c>
      <c r="B43" s="160" t="n">
        <v>273.6</v>
      </c>
      <c r="C43" s="160" t="n">
        <v>6.05</v>
      </c>
      <c r="D43" s="160" t="n">
        <v>5.55780838673652</v>
      </c>
      <c r="E43" s="160" t="n">
        <v>299.26</v>
      </c>
      <c r="F43" s="160" t="n">
        <v>6.41</v>
      </c>
      <c r="G43" s="160" t="n">
        <v>5.51022091598714</v>
      </c>
      <c r="H43" s="160" t="n">
        <v>240.7</v>
      </c>
      <c r="I43" s="160" t="n">
        <v>5.47</v>
      </c>
      <c r="J43" s="160" t="n">
        <v>5.63458375636419</v>
      </c>
      <c r="K43" s="160" t="n">
        <v>288.95</v>
      </c>
      <c r="L43" s="160" t="n">
        <v>216.26</v>
      </c>
      <c r="M43" s="160" t="n">
        <v>281.39</v>
      </c>
      <c r="N43" s="160" t="n">
        <v>227.23</v>
      </c>
      <c r="O43" s="160" t="n">
        <v>247.72</v>
      </c>
      <c r="P43" s="160" t="n">
        <v>189.79</v>
      </c>
      <c r="Q43" s="160" t="n">
        <v>257.85</v>
      </c>
    </row>
    <row r="44" s="222" customFormat="true" ht="11.45" hidden="false" customHeight="true" outlineLevel="0" collapsed="false">
      <c r="A44" s="287" t="s">
        <v>219</v>
      </c>
      <c r="B44" s="172" t="n">
        <v>272.97</v>
      </c>
      <c r="C44" s="172" t="n">
        <v>5.75</v>
      </c>
      <c r="D44" s="172" t="n">
        <v>5.59129749872587</v>
      </c>
      <c r="E44" s="172" t="n">
        <v>297.69</v>
      </c>
      <c r="F44" s="172" t="n">
        <v>5.88</v>
      </c>
      <c r="G44" s="172" t="n">
        <v>5.55988197000579</v>
      </c>
      <c r="H44" s="172" t="n">
        <v>241.28</v>
      </c>
      <c r="I44" s="172" t="n">
        <v>5.55</v>
      </c>
      <c r="J44" s="172" t="n">
        <v>5.64221346939995</v>
      </c>
      <c r="K44" s="172" t="n">
        <v>289.48</v>
      </c>
      <c r="L44" s="172" t="n">
        <v>216.33</v>
      </c>
      <c r="M44" s="172" t="n">
        <v>283.57</v>
      </c>
      <c r="N44" s="172" t="n">
        <v>227.56</v>
      </c>
      <c r="O44" s="172" t="n">
        <v>248.24</v>
      </c>
      <c r="P44" s="172" t="n">
        <v>189.91</v>
      </c>
      <c r="Q44" s="172" t="n">
        <v>259.31</v>
      </c>
    </row>
    <row r="45" s="222" customFormat="true" ht="11.45" hidden="false" customHeight="true" outlineLevel="0" collapsed="false">
      <c r="A45" s="291" t="s">
        <v>220</v>
      </c>
      <c r="B45" s="184" t="n">
        <v>276.16</v>
      </c>
      <c r="C45" s="184" t="n">
        <v>5.57</v>
      </c>
      <c r="D45" s="187" t="n">
        <v>5.60375077015332</v>
      </c>
      <c r="E45" s="160" t="n">
        <v>300.11</v>
      </c>
      <c r="F45" s="160" t="n">
        <v>5.12</v>
      </c>
      <c r="G45" s="160" t="n">
        <v>5.5403952449459</v>
      </c>
      <c r="H45" s="160" t="n">
        <v>245.46</v>
      </c>
      <c r="I45" s="160" t="n">
        <v>6.3</v>
      </c>
      <c r="J45" s="160" t="n">
        <v>5.70469549461241</v>
      </c>
      <c r="K45" s="160" t="n">
        <v>290.95</v>
      </c>
      <c r="L45" s="160" t="n">
        <v>224.99</v>
      </c>
      <c r="M45" s="160" t="n">
        <v>285.35</v>
      </c>
      <c r="N45" s="160" t="n">
        <v>232.8</v>
      </c>
      <c r="O45" s="160" t="n">
        <v>248.96</v>
      </c>
      <c r="P45" s="160" t="n">
        <v>190.66</v>
      </c>
      <c r="Q45" s="160" t="n">
        <v>262</v>
      </c>
    </row>
    <row r="46" s="222" customFormat="true" ht="11.45" hidden="false" customHeight="true" outlineLevel="0" collapsed="false">
      <c r="A46" s="305" t="s">
        <v>221</v>
      </c>
      <c r="B46" s="288" t="n">
        <v>275.63</v>
      </c>
      <c r="C46" s="288" t="n">
        <v>5.46</v>
      </c>
      <c r="D46" s="193" t="n">
        <v>5.6024614092749</v>
      </c>
      <c r="E46" s="193" t="n">
        <v>299.13</v>
      </c>
      <c r="F46" s="193" t="n">
        <v>4.97</v>
      </c>
      <c r="G46" s="193" t="n">
        <v>5.49953866472084</v>
      </c>
      <c r="H46" s="193" t="n">
        <v>245.49</v>
      </c>
      <c r="I46" s="193" t="n">
        <v>6.23</v>
      </c>
      <c r="J46" s="193" t="n">
        <v>5.76539212207241</v>
      </c>
      <c r="K46" s="193" t="n">
        <v>291</v>
      </c>
      <c r="L46" s="193" t="n">
        <v>225.06</v>
      </c>
      <c r="M46" s="193" t="n">
        <v>284.83</v>
      </c>
      <c r="N46" s="193" t="n">
        <v>232.88</v>
      </c>
      <c r="O46" s="193" t="n">
        <v>249.14</v>
      </c>
      <c r="P46" s="193" t="n">
        <v>190.69</v>
      </c>
      <c r="Q46" s="193" t="n">
        <v>262.23</v>
      </c>
    </row>
    <row r="47" s="222" customFormat="true" ht="11.45" hidden="false" customHeight="true" outlineLevel="0" collapsed="false">
      <c r="A47" s="304" t="s">
        <v>222</v>
      </c>
      <c r="B47" s="184" t="n">
        <v>276.83</v>
      </c>
      <c r="C47" s="184" t="n">
        <v>5.48</v>
      </c>
      <c r="D47" s="187" t="n">
        <v>5.59615472528621</v>
      </c>
      <c r="E47" s="187" t="n">
        <v>300.74</v>
      </c>
      <c r="F47" s="187" t="n">
        <v>4.87</v>
      </c>
      <c r="G47" s="187" t="n">
        <v>5.4274198147042</v>
      </c>
      <c r="H47" s="187" t="n">
        <v>246.17</v>
      </c>
      <c r="I47" s="187" t="n">
        <v>6.45</v>
      </c>
      <c r="J47" s="187" t="n">
        <v>5.86258552977854</v>
      </c>
      <c r="K47" s="187" t="n">
        <v>291.44</v>
      </c>
      <c r="L47" s="187" t="n">
        <v>225.93</v>
      </c>
      <c r="M47" s="187" t="n">
        <v>285.51</v>
      </c>
      <c r="N47" s="187" t="n">
        <v>233.28</v>
      </c>
      <c r="O47" s="187" t="n">
        <v>249.97</v>
      </c>
      <c r="P47" s="187" t="n">
        <v>190.92</v>
      </c>
      <c r="Q47" s="187" t="n">
        <v>263.15</v>
      </c>
    </row>
    <row r="48" s="222" customFormat="true" ht="11.45" hidden="false" customHeight="true" outlineLevel="0" collapsed="false">
      <c r="A48" s="507" t="s">
        <v>223</v>
      </c>
      <c r="B48" s="288" t="n">
        <v>278.39</v>
      </c>
      <c r="C48" s="170" t="n">
        <v>5.96</v>
      </c>
      <c r="D48" s="172" t="n">
        <v>5.6287666512804</v>
      </c>
      <c r="E48" s="193" t="n">
        <v>303.39</v>
      </c>
      <c r="F48" s="193" t="n">
        <v>5.91</v>
      </c>
      <c r="G48" s="193" t="n">
        <v>5.45949967284234</v>
      </c>
      <c r="H48" s="193" t="n">
        <v>246.34</v>
      </c>
      <c r="I48" s="193" t="n">
        <v>6.04</v>
      </c>
      <c r="J48" s="193" t="n">
        <v>5.89528450518448</v>
      </c>
      <c r="K48" s="193" t="n">
        <v>291.49</v>
      </c>
      <c r="L48" s="193" t="n">
        <v>226.04</v>
      </c>
      <c r="M48" s="193" t="n">
        <v>285.79</v>
      </c>
      <c r="N48" s="193" t="n">
        <v>233.7</v>
      </c>
      <c r="O48" s="193" t="n">
        <v>250.22</v>
      </c>
      <c r="P48" s="193" t="n">
        <v>190.96</v>
      </c>
      <c r="Q48" s="193" t="n">
        <v>263.41</v>
      </c>
    </row>
    <row r="49" s="222" customFormat="true" ht="11.45" hidden="false" customHeight="true" outlineLevel="0" collapsed="false">
      <c r="A49" s="506" t="s">
        <v>224</v>
      </c>
      <c r="B49" s="184" t="n">
        <v>273.53</v>
      </c>
      <c r="C49" s="184" t="n">
        <v>5.35</v>
      </c>
      <c r="D49" s="187" t="n">
        <v>5.60584045537949</v>
      </c>
      <c r="E49" s="187" t="n">
        <v>294.08</v>
      </c>
      <c r="F49" s="187" t="n">
        <v>5.09</v>
      </c>
      <c r="G49" s="187" t="n">
        <v>5.42663100872511</v>
      </c>
      <c r="H49" s="187" t="n">
        <v>247.17</v>
      </c>
      <c r="I49" s="187" t="n">
        <v>5.75</v>
      </c>
      <c r="J49" s="187" t="n">
        <v>5.88799463202774</v>
      </c>
      <c r="K49" s="187" t="n">
        <v>291.72</v>
      </c>
      <c r="L49" s="187" t="n">
        <v>226.3</v>
      </c>
      <c r="M49" s="187" t="n">
        <v>285.8</v>
      </c>
      <c r="N49" s="187" t="n">
        <v>239.36</v>
      </c>
      <c r="O49" s="187" t="n">
        <v>252.04</v>
      </c>
      <c r="P49" s="187" t="n">
        <v>190.96</v>
      </c>
      <c r="Q49" s="187" t="n">
        <v>263.66</v>
      </c>
    </row>
    <row r="50" s="222" customFormat="true" ht="11.45" hidden="false" customHeight="true" outlineLevel="0" collapsed="false">
      <c r="A50" s="507" t="s">
        <v>225</v>
      </c>
      <c r="B50" s="288" t="n">
        <v>276.12</v>
      </c>
      <c r="C50" s="288" t="n">
        <v>6.02</v>
      </c>
      <c r="D50" s="193" t="n">
        <v>5.64761146855941</v>
      </c>
      <c r="E50" s="193" t="n">
        <v>297.95</v>
      </c>
      <c r="F50" s="193" t="n">
        <v>6.54</v>
      </c>
      <c r="G50" s="193" t="n">
        <v>5.52150692113782</v>
      </c>
      <c r="H50" s="193" t="n">
        <v>248.13</v>
      </c>
      <c r="I50" s="193" t="n">
        <v>5.22</v>
      </c>
      <c r="J50" s="193" t="n">
        <v>5.84554179431711</v>
      </c>
      <c r="K50" s="193" t="n">
        <v>291.98</v>
      </c>
      <c r="L50" s="193" t="n">
        <v>227.07</v>
      </c>
      <c r="M50" s="193" t="n">
        <v>286.78</v>
      </c>
      <c r="N50" s="193" t="n">
        <v>240.16</v>
      </c>
      <c r="O50" s="193" t="n">
        <v>253.34</v>
      </c>
      <c r="P50" s="193" t="n">
        <v>190.96</v>
      </c>
      <c r="Q50" s="193" t="n">
        <v>267.19</v>
      </c>
    </row>
    <row r="51" s="222" customFormat="true" ht="11.45" hidden="false" customHeight="true" outlineLevel="0" collapsed="false">
      <c r="A51" s="677" t="s">
        <v>284</v>
      </c>
      <c r="B51" s="184"/>
      <c r="C51" s="184"/>
      <c r="D51" s="187"/>
      <c r="E51" s="187"/>
      <c r="F51" s="187"/>
      <c r="G51" s="187"/>
      <c r="H51" s="187"/>
      <c r="I51" s="187"/>
      <c r="J51" s="187"/>
      <c r="K51" s="187"/>
      <c r="L51" s="187"/>
      <c r="M51" s="187"/>
      <c r="N51" s="187"/>
      <c r="O51" s="187"/>
      <c r="P51" s="187"/>
      <c r="Q51" s="187"/>
    </row>
    <row r="52" s="222" customFormat="true" ht="11.45" hidden="false" customHeight="true" outlineLevel="0" collapsed="false">
      <c r="A52" s="891" t="s">
        <v>214</v>
      </c>
      <c r="B52" s="846" t="n">
        <v>278.27</v>
      </c>
      <c r="C52" s="846" t="n">
        <v>5.53</v>
      </c>
      <c r="D52" s="308" t="n">
        <v>5.63949926711846</v>
      </c>
      <c r="E52" s="308" t="n">
        <v>300.75</v>
      </c>
      <c r="F52" s="308" t="n">
        <v>5.7</v>
      </c>
      <c r="G52" s="308" t="n">
        <v>5.54428229298158</v>
      </c>
      <c r="H52" s="308" t="n">
        <v>249.46</v>
      </c>
      <c r="I52" s="308" t="n">
        <v>5.28</v>
      </c>
      <c r="J52" s="308" t="n">
        <v>5.78930066721817</v>
      </c>
      <c r="K52" s="308" t="n">
        <v>292.2</v>
      </c>
      <c r="L52" s="308" t="n">
        <v>227.57</v>
      </c>
      <c r="M52" s="308" t="n">
        <v>288.73</v>
      </c>
      <c r="N52" s="308" t="n">
        <v>240.64</v>
      </c>
      <c r="O52" s="308" t="n">
        <v>257.25</v>
      </c>
      <c r="P52" s="308" t="n">
        <v>190.98</v>
      </c>
      <c r="Q52" s="308" t="n">
        <v>271.37</v>
      </c>
    </row>
    <row r="53" s="222" customFormat="true" ht="11.25" hidden="false" customHeight="true" outlineLevel="0" collapsed="false">
      <c r="A53" s="291"/>
      <c r="B53" s="160"/>
      <c r="C53" s="160"/>
      <c r="D53" s="160"/>
      <c r="E53" s="160"/>
      <c r="F53" s="160"/>
      <c r="G53" s="160"/>
      <c r="H53" s="160"/>
      <c r="I53" s="160"/>
      <c r="J53" s="160"/>
      <c r="K53" s="160"/>
      <c r="L53" s="160"/>
      <c r="M53" s="160"/>
      <c r="N53" s="160"/>
      <c r="O53" s="160"/>
      <c r="P53" s="160"/>
      <c r="Q53" s="160"/>
    </row>
    <row r="54" customFormat="false" ht="11.25" hidden="false" customHeight="false" outlineLevel="0" collapsed="false">
      <c r="A54" s="515" t="s">
        <v>727</v>
      </c>
      <c r="B54" s="892"/>
      <c r="C54" s="892"/>
      <c r="D54" s="892"/>
      <c r="E54" s="892"/>
      <c r="F54" s="892"/>
      <c r="G54" s="160"/>
      <c r="H54" s="893" t="s">
        <v>728</v>
      </c>
      <c r="I54" s="893"/>
      <c r="J54" s="893"/>
      <c r="K54" s="160"/>
      <c r="L54" s="160"/>
      <c r="M54" s="160"/>
      <c r="N54" s="160"/>
      <c r="O54" s="160"/>
      <c r="P54" s="160"/>
      <c r="Q54" s="160"/>
    </row>
    <row r="55" customFormat="false" ht="11.25" hidden="false" customHeight="true" outlineLevel="0" collapsed="false">
      <c r="A55" s="894" t="s">
        <v>729</v>
      </c>
      <c r="B55" s="894"/>
      <c r="C55" s="894"/>
      <c r="D55" s="894"/>
      <c r="E55" s="893"/>
      <c r="F55" s="893"/>
      <c r="G55" s="893"/>
      <c r="H55" s="893"/>
      <c r="I55" s="893"/>
    </row>
    <row r="56" customFormat="false" ht="11.25" hidden="false" customHeight="false" outlineLevel="0" collapsed="false">
      <c r="A56" s="893"/>
      <c r="B56" s="893"/>
      <c r="C56" s="893"/>
      <c r="D56" s="893"/>
      <c r="E56" s="375"/>
      <c r="F56" s="375"/>
      <c r="G56" s="334"/>
      <c r="H56" s="375"/>
      <c r="I56" s="895"/>
      <c r="J56" s="334"/>
      <c r="K56" s="839"/>
      <c r="L56" s="839"/>
      <c r="M56" s="839"/>
      <c r="N56" s="839"/>
    </row>
    <row r="57" customFormat="false" ht="11.25" hidden="false" customHeight="false" outlineLevel="0" collapsed="false">
      <c r="B57" s="258"/>
      <c r="C57" s="258"/>
      <c r="D57" s="258"/>
      <c r="E57" s="258"/>
      <c r="F57" s="258"/>
      <c r="H57" s="258"/>
      <c r="I57" s="187"/>
    </row>
    <row r="58" customFormat="false" ht="11.25" hidden="false" customHeight="false" outlineLevel="0" collapsed="false">
      <c r="B58" s="258"/>
      <c r="C58" s="187"/>
      <c r="D58" s="258"/>
      <c r="E58" s="258"/>
      <c r="F58" s="187"/>
      <c r="G58" s="258"/>
      <c r="H58" s="258"/>
      <c r="I58" s="187"/>
      <c r="J58" s="258"/>
    </row>
    <row r="59" customFormat="false" ht="11.25" hidden="false" customHeight="false" outlineLevel="0" collapsed="false">
      <c r="A59" s="291"/>
      <c r="B59" s="187"/>
      <c r="C59" s="187"/>
      <c r="D59" s="187"/>
      <c r="F59" s="187"/>
      <c r="H59" s="258"/>
      <c r="I59" s="187"/>
      <c r="L59" s="187"/>
      <c r="M59" s="187"/>
      <c r="N59" s="187"/>
      <c r="O59" s="187"/>
      <c r="P59" s="187"/>
      <c r="Q59" s="187"/>
    </row>
    <row r="60" customFormat="false" ht="11.25" hidden="false" customHeight="false" outlineLevel="0" collapsed="false">
      <c r="B60" s="258"/>
      <c r="C60" s="258"/>
      <c r="D60" s="258"/>
      <c r="E60" s="258"/>
      <c r="F60" s="258"/>
      <c r="G60" s="334"/>
      <c r="H60" s="258"/>
      <c r="I60" s="258"/>
      <c r="J60" s="334"/>
    </row>
    <row r="61" customFormat="false" ht="11.25" hidden="false" customHeight="false" outlineLevel="0" collapsed="false">
      <c r="H61" s="258"/>
    </row>
    <row r="62" customFormat="false" ht="11.25" hidden="false" customHeight="false" outlineLevel="0" collapsed="false">
      <c r="H62" s="258"/>
    </row>
    <row r="63" customFormat="false" ht="11.25" hidden="false" customHeight="false" outlineLevel="0" collapsed="false">
      <c r="C63" s="334"/>
      <c r="F63" s="258"/>
      <c r="I63" s="258"/>
    </row>
  </sheetData>
  <mergeCells count="29">
    <mergeCell ref="D1:J1"/>
    <mergeCell ref="K1:O1"/>
    <mergeCell ref="P1:Q1"/>
    <mergeCell ref="G2:J2"/>
    <mergeCell ref="A3:A5"/>
    <mergeCell ref="C3:D3"/>
    <mergeCell ref="F3:G3"/>
    <mergeCell ref="I3:J3"/>
    <mergeCell ref="K3:Q3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C6:D6"/>
    <mergeCell ref="F6:G6"/>
    <mergeCell ref="I6:J6"/>
    <mergeCell ref="A55:D55"/>
  </mergeCells>
  <printOptions headings="false" gridLines="false" gridLinesSet="true" horizontalCentered="false" verticalCentered="false"/>
  <pageMargins left="0.629861111111111" right="0.39375" top="0.511805555555555" bottom="0.511805555555555" header="0.511805555555555" footer="0.511805555555555"/>
  <pageSetup paperSize="1" scale="100" firstPageNumber="42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>&amp;C&amp;"Times New Roman,Regular"&amp;8&amp;P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1" ySplit="5" topLeftCell="C36" activePane="bottomRight" state="frozen"/>
      <selection pane="topLeft" activeCell="A1" activeCellId="0" sqref="A1"/>
      <selection pane="topRight" activeCell="C1" activeCellId="0" sqref="C1"/>
      <selection pane="bottomLeft" activeCell="A36" activeCellId="0" sqref="A36"/>
      <selection pane="bottomRight" activeCell="E62" activeCellId="0" sqref="E62"/>
    </sheetView>
  </sheetViews>
  <sheetFormatPr defaultColWidth="9.15625" defaultRowHeight="12.75" zeroHeight="false" outlineLevelRow="0" outlineLevelCol="0"/>
  <cols>
    <col collapsed="false" customWidth="true" hidden="false" outlineLevel="0" max="1" min="1" style="264" width="11.42"/>
    <col collapsed="false" customWidth="true" hidden="false" outlineLevel="0" max="2" min="2" style="264" width="16.14"/>
    <col collapsed="false" customWidth="true" hidden="false" outlineLevel="0" max="3" min="3" style="264" width="16"/>
    <col collapsed="false" customWidth="true" hidden="false" outlineLevel="0" max="4" min="4" style="264" width="14.86"/>
    <col collapsed="false" customWidth="true" hidden="false" outlineLevel="0" max="5" min="5" style="264" width="15.15"/>
    <col collapsed="false" customWidth="true" hidden="false" outlineLevel="0" max="6" min="6" style="264" width="19.42"/>
    <col collapsed="false" customWidth="true" hidden="false" outlineLevel="0" max="7" min="7" style="264" width="20.99"/>
    <col collapsed="false" customWidth="true" hidden="false" outlineLevel="0" max="8" min="8" style="264" width="19.42"/>
    <col collapsed="false" customWidth="true" hidden="false" outlineLevel="0" max="9" min="9" style="264" width="15"/>
    <col collapsed="false" customWidth="true" hidden="false" outlineLevel="0" max="10" min="10" style="264" width="11.57"/>
    <col collapsed="false" customWidth="true" hidden="false" outlineLevel="0" max="11" min="11" style="264" width="11.42"/>
    <col collapsed="false" customWidth="false" hidden="false" outlineLevel="0" max="1024" min="12" style="264" width="9.14"/>
  </cols>
  <sheetData>
    <row r="1" s="108" customFormat="true" ht="19.9" hidden="false" customHeight="true" outlineLevel="0" collapsed="false">
      <c r="A1" s="109" t="s">
        <v>730</v>
      </c>
      <c r="B1" s="109"/>
      <c r="C1" s="109"/>
      <c r="D1" s="109"/>
      <c r="E1" s="109"/>
      <c r="F1" s="117" t="s">
        <v>731</v>
      </c>
      <c r="G1" s="117"/>
      <c r="H1" s="896"/>
      <c r="I1" s="109" t="s">
        <v>732</v>
      </c>
    </row>
    <row r="2" s="897" customFormat="true" ht="24" hidden="false" customHeight="true" outlineLevel="0" collapsed="false">
      <c r="A2" s="654" t="s">
        <v>260</v>
      </c>
      <c r="B2" s="269" t="s">
        <v>733</v>
      </c>
      <c r="C2" s="269"/>
      <c r="D2" s="269" t="s">
        <v>734</v>
      </c>
      <c r="E2" s="269"/>
      <c r="F2" s="131" t="s">
        <v>735</v>
      </c>
      <c r="G2" s="136" t="s">
        <v>736</v>
      </c>
      <c r="H2" s="136"/>
      <c r="I2" s="385" t="s">
        <v>260</v>
      </c>
    </row>
    <row r="3" s="897" customFormat="true" ht="12.75" hidden="false" customHeight="true" outlineLevel="0" collapsed="false">
      <c r="A3" s="654"/>
      <c r="B3" s="131" t="s">
        <v>737</v>
      </c>
      <c r="C3" s="131" t="s">
        <v>738</v>
      </c>
      <c r="D3" s="131" t="s">
        <v>739</v>
      </c>
      <c r="E3" s="131" t="s">
        <v>740</v>
      </c>
      <c r="F3" s="131"/>
      <c r="G3" s="131" t="s">
        <v>741</v>
      </c>
      <c r="H3" s="131" t="s">
        <v>742</v>
      </c>
      <c r="I3" s="385"/>
    </row>
    <row r="4" s="897" customFormat="true" ht="12.75" hidden="false" customHeight="false" outlineLevel="0" collapsed="false">
      <c r="A4" s="654"/>
      <c r="B4" s="131"/>
      <c r="C4" s="131"/>
      <c r="D4" s="131"/>
      <c r="E4" s="131"/>
      <c r="F4" s="131"/>
      <c r="G4" s="131"/>
      <c r="H4" s="131"/>
      <c r="I4" s="385"/>
    </row>
    <row r="5" s="897" customFormat="true" ht="12.75" hidden="false" customHeight="true" outlineLevel="0" collapsed="false">
      <c r="A5" s="654"/>
      <c r="B5" s="131"/>
      <c r="C5" s="131"/>
      <c r="D5" s="131"/>
      <c r="E5" s="131"/>
      <c r="F5" s="131"/>
      <c r="G5" s="131"/>
      <c r="H5" s="131"/>
      <c r="I5" s="385"/>
    </row>
    <row r="6" s="107" customFormat="true" ht="9.75" hidden="false" customHeight="true" outlineLevel="0" collapsed="false">
      <c r="A6" s="898" t="n">
        <v>2009</v>
      </c>
      <c r="B6" s="899" t="n">
        <v>3756.33333333333</v>
      </c>
      <c r="C6" s="899" t="n">
        <v>7758.33333333333</v>
      </c>
      <c r="D6" s="158" t="n">
        <v>35.2041666666667</v>
      </c>
      <c r="E6" s="899" t="n">
        <v>23980.8333333333</v>
      </c>
      <c r="F6" s="158" t="n">
        <v>128.697970631957</v>
      </c>
      <c r="G6" s="899" t="n">
        <v>586.666666666667</v>
      </c>
      <c r="H6" s="899" t="n">
        <v>90.25</v>
      </c>
      <c r="I6" s="900" t="n">
        <v>2009</v>
      </c>
    </row>
    <row r="7" s="107" customFormat="true" ht="9.75" hidden="false" customHeight="true" outlineLevel="0" collapsed="false">
      <c r="A7" s="669" t="n">
        <v>2010</v>
      </c>
      <c r="B7" s="901" t="n">
        <v>6190.91666666667</v>
      </c>
      <c r="C7" s="901" t="n">
        <v>13941.4166666667</v>
      </c>
      <c r="D7" s="902" t="n">
        <v>35.1666666666667</v>
      </c>
      <c r="E7" s="901" t="n">
        <v>31114.1666666667</v>
      </c>
      <c r="F7" s="902" t="n">
        <v>142.053333333333</v>
      </c>
      <c r="G7" s="901" t="n">
        <v>912.5</v>
      </c>
      <c r="H7" s="901" t="n">
        <v>101.583333333333</v>
      </c>
      <c r="I7" s="356" t="n">
        <v>2010</v>
      </c>
    </row>
    <row r="8" s="222" customFormat="true" ht="9.75" hidden="false" customHeight="true" outlineLevel="0" collapsed="false">
      <c r="A8" s="668" t="n">
        <v>2011</v>
      </c>
      <c r="B8" s="903" t="n">
        <v>5937.5</v>
      </c>
      <c r="C8" s="903" t="n">
        <v>13850</v>
      </c>
      <c r="D8" s="904" t="n">
        <v>37.5416666666667</v>
      </c>
      <c r="E8" s="903" t="n">
        <v>26950</v>
      </c>
      <c r="F8" s="904" t="n">
        <v>166.135</v>
      </c>
      <c r="G8" s="903" t="n">
        <v>1087.91666666667</v>
      </c>
      <c r="H8" s="903" t="n">
        <v>156.333333333333</v>
      </c>
      <c r="I8" s="359" t="n">
        <v>2011</v>
      </c>
    </row>
    <row r="9" s="222" customFormat="true" ht="9.75" hidden="false" customHeight="true" outlineLevel="0" collapsed="false">
      <c r="A9" s="662" t="n">
        <v>2012</v>
      </c>
      <c r="B9" s="901" t="n">
        <v>5833.33333333333</v>
      </c>
      <c r="C9" s="901" t="n">
        <v>13600</v>
      </c>
      <c r="D9" s="902" t="n">
        <v>32.875</v>
      </c>
      <c r="E9" s="901" t="n">
        <v>54033.3333333333</v>
      </c>
      <c r="F9" s="902" t="n">
        <v>172.944166666667</v>
      </c>
      <c r="G9" s="901" t="n">
        <v>1053.125</v>
      </c>
      <c r="H9" s="901" t="n">
        <v>112.777777777778</v>
      </c>
      <c r="I9" s="356" t="n">
        <v>2012</v>
      </c>
    </row>
    <row r="10" s="280" customFormat="true" ht="9.75" hidden="false" customHeight="true" outlineLevel="0" collapsed="false">
      <c r="A10" s="898" t="n">
        <v>2013</v>
      </c>
      <c r="B10" s="903" t="n">
        <v>5375</v>
      </c>
      <c r="C10" s="903" t="n">
        <v>12500</v>
      </c>
      <c r="D10" s="904" t="n">
        <v>37.0416666666667</v>
      </c>
      <c r="E10" s="903" t="n">
        <v>51868.1818181818</v>
      </c>
      <c r="F10" s="904" t="n">
        <v>199.831666666667</v>
      </c>
      <c r="G10" s="903" t="n">
        <v>680</v>
      </c>
      <c r="H10" s="903" t="n">
        <v>79.8333333333333</v>
      </c>
      <c r="I10" s="905" t="n">
        <v>2013</v>
      </c>
    </row>
    <row r="11" s="280" customFormat="true" ht="9.75" hidden="false" customHeight="true" outlineLevel="0" collapsed="false">
      <c r="A11" s="669" t="n">
        <v>2014</v>
      </c>
      <c r="B11" s="901" t="n">
        <v>5375</v>
      </c>
      <c r="C11" s="901" t="n">
        <v>12500</v>
      </c>
      <c r="D11" s="902" t="n">
        <v>40</v>
      </c>
      <c r="E11" s="901" t="n">
        <v>48600</v>
      </c>
      <c r="F11" s="902" t="n">
        <v>185.971666666667</v>
      </c>
      <c r="G11" s="901" t="n">
        <v>1078.75</v>
      </c>
      <c r="H11" s="901" t="n">
        <v>109.333333333333</v>
      </c>
      <c r="I11" s="906" t="n">
        <v>2014</v>
      </c>
    </row>
    <row r="12" s="280" customFormat="true" ht="9.75" hidden="false" customHeight="true" outlineLevel="0" collapsed="false">
      <c r="A12" s="907" t="n">
        <v>2015</v>
      </c>
      <c r="B12" s="903" t="n">
        <v>5770.83333333333</v>
      </c>
      <c r="C12" s="903" t="n">
        <v>13650</v>
      </c>
      <c r="D12" s="904" t="n">
        <v>37.6666666666667</v>
      </c>
      <c r="E12" s="903" t="n">
        <v>44166.6666666667</v>
      </c>
      <c r="F12" s="908" t="n">
        <v>166.076666666667</v>
      </c>
      <c r="G12" s="803" t="n">
        <v>1287.5</v>
      </c>
      <c r="H12" s="803" t="n">
        <v>96.4166666666667</v>
      </c>
      <c r="I12" s="909" t="n">
        <v>2015</v>
      </c>
    </row>
    <row r="13" s="155" customFormat="true" ht="9.75" hidden="false" customHeight="true" outlineLevel="0" collapsed="false">
      <c r="A13" s="667" t="n">
        <v>2016</v>
      </c>
      <c r="B13" s="910" t="n">
        <v>6375</v>
      </c>
      <c r="C13" s="910" t="n">
        <v>15100</v>
      </c>
      <c r="D13" s="911" t="n">
        <v>38.4166666666667</v>
      </c>
      <c r="E13" s="912" t="n">
        <v>44000</v>
      </c>
      <c r="F13" s="911" t="n">
        <v>161.28</v>
      </c>
      <c r="G13" s="912" t="n">
        <v>1009.16666666667</v>
      </c>
      <c r="H13" s="912" t="n">
        <v>87</v>
      </c>
      <c r="I13" s="913" t="n">
        <v>2016</v>
      </c>
    </row>
    <row r="14" s="155" customFormat="true" ht="9.75" hidden="false" customHeight="true" outlineLevel="0" collapsed="false">
      <c r="A14" s="914" t="n">
        <v>2017</v>
      </c>
      <c r="B14" s="915" t="n">
        <f aca="false">AVERAGE(B15:B26)</f>
        <v>6375</v>
      </c>
      <c r="C14" s="915" t="n">
        <f aca="false">AVERAGE(C15:C26)</f>
        <v>15100</v>
      </c>
      <c r="D14" s="916" t="n">
        <f aca="false">AVERAGE(D15:D21)</f>
        <v>43.4285714285714</v>
      </c>
      <c r="E14" s="917" t="n">
        <f aca="false">AVERAGE(E15:E22)</f>
        <v>44056.25</v>
      </c>
      <c r="F14" s="916" t="n">
        <f aca="false">AVERAGE(F15:F26)</f>
        <v>164.67</v>
      </c>
      <c r="G14" s="917" t="n">
        <f aca="false">AVERAGE(G15:G21)</f>
        <v>895.714285714286</v>
      </c>
      <c r="H14" s="917" t="n">
        <f aca="false">AVERAGE(H15:H21)</f>
        <v>74.2857142857143</v>
      </c>
      <c r="I14" s="918" t="n">
        <v>2017</v>
      </c>
    </row>
    <row r="15" s="155" customFormat="true" ht="9.75" hidden="false" customHeight="true" outlineLevel="0" collapsed="false">
      <c r="A15" s="669" t="s">
        <v>220</v>
      </c>
      <c r="B15" s="919" t="n">
        <v>6375</v>
      </c>
      <c r="C15" s="919" t="n">
        <v>15100</v>
      </c>
      <c r="D15" s="183" t="n">
        <v>38</v>
      </c>
      <c r="E15" s="901" t="n">
        <v>44000</v>
      </c>
      <c r="F15" s="920" t="n">
        <v>190.53</v>
      </c>
      <c r="G15" s="919" t="n">
        <v>860</v>
      </c>
      <c r="H15" s="919" t="n">
        <v>51</v>
      </c>
      <c r="I15" s="906" t="s">
        <v>220</v>
      </c>
    </row>
    <row r="16" s="155" customFormat="true" ht="9.75" hidden="false" customHeight="true" outlineLevel="0" collapsed="false">
      <c r="A16" s="668" t="s">
        <v>221</v>
      </c>
      <c r="B16" s="921" t="n">
        <v>6375</v>
      </c>
      <c r="C16" s="921" t="n">
        <v>15100</v>
      </c>
      <c r="D16" s="908" t="n">
        <v>40</v>
      </c>
      <c r="E16" s="903" t="n">
        <v>44000</v>
      </c>
      <c r="F16" s="922" t="n">
        <v>170.6</v>
      </c>
      <c r="G16" s="921" t="n">
        <v>880</v>
      </c>
      <c r="H16" s="921" t="n">
        <v>60</v>
      </c>
      <c r="I16" s="909" t="s">
        <v>221</v>
      </c>
    </row>
    <row r="17" s="155" customFormat="true" ht="9.75" hidden="false" customHeight="true" outlineLevel="0" collapsed="false">
      <c r="A17" s="669" t="s">
        <v>222</v>
      </c>
      <c r="B17" s="919" t="n">
        <v>6375</v>
      </c>
      <c r="C17" s="919" t="n">
        <v>15100</v>
      </c>
      <c r="D17" s="183" t="n">
        <v>42</v>
      </c>
      <c r="E17" s="901" t="n">
        <v>43950</v>
      </c>
      <c r="F17" s="920" t="n">
        <v>188.33</v>
      </c>
      <c r="G17" s="919" t="n">
        <v>900</v>
      </c>
      <c r="H17" s="919" t="n">
        <v>80</v>
      </c>
      <c r="I17" s="906" t="s">
        <v>222</v>
      </c>
    </row>
    <row r="18" s="155" customFormat="true" ht="9.75" hidden="false" customHeight="true" outlineLevel="0" collapsed="false">
      <c r="A18" s="668" t="s">
        <v>223</v>
      </c>
      <c r="B18" s="921" t="n">
        <v>6375</v>
      </c>
      <c r="C18" s="921" t="n">
        <v>15100</v>
      </c>
      <c r="D18" s="908" t="n">
        <v>44</v>
      </c>
      <c r="E18" s="903" t="n">
        <v>44100</v>
      </c>
      <c r="F18" s="922" t="n">
        <v>158.11</v>
      </c>
      <c r="G18" s="921" t="n">
        <v>990</v>
      </c>
      <c r="H18" s="921" t="n">
        <v>78</v>
      </c>
      <c r="I18" s="909" t="s">
        <v>223</v>
      </c>
    </row>
    <row r="19" s="155" customFormat="true" ht="9.75" hidden="false" customHeight="true" outlineLevel="0" collapsed="false">
      <c r="A19" s="669" t="s">
        <v>224</v>
      </c>
      <c r="B19" s="919" t="n">
        <v>6375</v>
      </c>
      <c r="C19" s="919" t="n">
        <v>15100</v>
      </c>
      <c r="D19" s="183" t="n">
        <v>45</v>
      </c>
      <c r="E19" s="901" t="n">
        <v>44000</v>
      </c>
      <c r="F19" s="920" t="n">
        <v>140.7</v>
      </c>
      <c r="G19" s="919" t="n">
        <v>970</v>
      </c>
      <c r="H19" s="919" t="n">
        <v>73</v>
      </c>
      <c r="I19" s="906" t="s">
        <v>224</v>
      </c>
    </row>
    <row r="20" s="161" customFormat="true" ht="9.75" hidden="false" customHeight="true" outlineLevel="0" collapsed="false">
      <c r="A20" s="668" t="s">
        <v>225</v>
      </c>
      <c r="B20" s="921" t="n">
        <v>6375</v>
      </c>
      <c r="C20" s="921" t="n">
        <v>15100</v>
      </c>
      <c r="D20" s="908" t="n">
        <v>48</v>
      </c>
      <c r="E20" s="903" t="n">
        <v>44000</v>
      </c>
      <c r="F20" s="922" t="n">
        <v>152.85</v>
      </c>
      <c r="G20" s="921" t="n">
        <v>840</v>
      </c>
      <c r="H20" s="921" t="n">
        <v>90</v>
      </c>
      <c r="I20" s="909" t="s">
        <v>225</v>
      </c>
    </row>
    <row r="21" s="155" customFormat="true" ht="9.75" hidden="false" customHeight="true" outlineLevel="0" collapsed="false">
      <c r="A21" s="669" t="s">
        <v>214</v>
      </c>
      <c r="B21" s="919" t="n">
        <v>6375</v>
      </c>
      <c r="C21" s="919" t="n">
        <v>15100</v>
      </c>
      <c r="D21" s="183" t="n">
        <v>47</v>
      </c>
      <c r="E21" s="901" t="n">
        <v>44200</v>
      </c>
      <c r="F21" s="920" t="n">
        <v>161.63</v>
      </c>
      <c r="G21" s="919" t="n">
        <v>830</v>
      </c>
      <c r="H21" s="919" t="n">
        <v>88</v>
      </c>
      <c r="I21" s="906" t="s">
        <v>214</v>
      </c>
    </row>
    <row r="22" s="155" customFormat="true" ht="9.75" hidden="false" customHeight="true" outlineLevel="0" collapsed="false">
      <c r="A22" s="668" t="s">
        <v>215</v>
      </c>
      <c r="B22" s="921" t="n">
        <v>6375</v>
      </c>
      <c r="C22" s="921" t="n">
        <v>15100</v>
      </c>
      <c r="D22" s="908" t="s">
        <v>204</v>
      </c>
      <c r="E22" s="903" t="n">
        <v>44200</v>
      </c>
      <c r="F22" s="922" t="n">
        <v>151.88</v>
      </c>
      <c r="G22" s="921" t="s">
        <v>204</v>
      </c>
      <c r="H22" s="921" t="s">
        <v>204</v>
      </c>
      <c r="I22" s="909" t="s">
        <v>215</v>
      </c>
    </row>
    <row r="23" s="155" customFormat="true" ht="9.75" hidden="false" customHeight="true" outlineLevel="0" collapsed="false">
      <c r="A23" s="669" t="s">
        <v>216</v>
      </c>
      <c r="B23" s="919" t="n">
        <v>6375</v>
      </c>
      <c r="C23" s="919" t="n">
        <v>15100</v>
      </c>
      <c r="D23" s="183" t="s">
        <v>204</v>
      </c>
      <c r="E23" s="901" t="n">
        <v>44180</v>
      </c>
      <c r="F23" s="920" t="n">
        <v>154.64</v>
      </c>
      <c r="G23" s="919" t="s">
        <v>204</v>
      </c>
      <c r="H23" s="919" t="s">
        <v>204</v>
      </c>
      <c r="I23" s="906" t="s">
        <v>216</v>
      </c>
    </row>
    <row r="24" s="161" customFormat="true" ht="9.75" hidden="false" customHeight="true" outlineLevel="0" collapsed="false">
      <c r="A24" s="668" t="s">
        <v>217</v>
      </c>
      <c r="B24" s="921" t="n">
        <v>6375</v>
      </c>
      <c r="C24" s="921" t="n">
        <v>15100</v>
      </c>
      <c r="D24" s="908" t="s">
        <v>204</v>
      </c>
      <c r="E24" s="903" t="n">
        <v>39450</v>
      </c>
      <c r="F24" s="922" t="n">
        <v>161.5</v>
      </c>
      <c r="G24" s="921" t="s">
        <v>204</v>
      </c>
      <c r="H24" s="921" t="s">
        <v>204</v>
      </c>
      <c r="I24" s="909" t="s">
        <v>217</v>
      </c>
    </row>
    <row r="25" s="155" customFormat="true" ht="9.75" hidden="false" customHeight="true" outlineLevel="0" collapsed="false">
      <c r="A25" s="669" t="s">
        <v>218</v>
      </c>
      <c r="B25" s="919" t="n">
        <v>6375</v>
      </c>
      <c r="C25" s="919" t="n">
        <v>15100</v>
      </c>
      <c r="D25" s="183" t="s">
        <v>204</v>
      </c>
      <c r="E25" s="901" t="n">
        <v>41000</v>
      </c>
      <c r="F25" s="920" t="n">
        <v>172.56</v>
      </c>
      <c r="G25" s="919" t="s">
        <v>204</v>
      </c>
      <c r="H25" s="919" t="s">
        <v>204</v>
      </c>
      <c r="I25" s="906" t="s">
        <v>218</v>
      </c>
    </row>
    <row r="26" s="155" customFormat="true" ht="9.75" hidden="false" customHeight="true" outlineLevel="0" collapsed="false">
      <c r="A26" s="668" t="s">
        <v>219</v>
      </c>
      <c r="B26" s="921" t="n">
        <v>6375</v>
      </c>
      <c r="C26" s="921" t="n">
        <v>15100</v>
      </c>
      <c r="D26" s="908" t="s">
        <v>204</v>
      </c>
      <c r="E26" s="903" t="n">
        <v>41000</v>
      </c>
      <c r="F26" s="922" t="n">
        <v>172.71</v>
      </c>
      <c r="G26" s="921" t="s">
        <v>204</v>
      </c>
      <c r="H26" s="921" t="s">
        <v>204</v>
      </c>
      <c r="I26" s="909" t="s">
        <v>219</v>
      </c>
    </row>
    <row r="27" s="155" customFormat="true" ht="9.75" hidden="false" customHeight="true" outlineLevel="0" collapsed="false">
      <c r="A27" s="667" t="n">
        <v>2018</v>
      </c>
      <c r="B27" s="910" t="n">
        <f aca="false">AVERAGE(B28:B39)</f>
        <v>6375</v>
      </c>
      <c r="C27" s="910" t="n">
        <f aca="false">AVERAGE(C28:C39)</f>
        <v>15100</v>
      </c>
      <c r="D27" s="911" t="s">
        <v>204</v>
      </c>
      <c r="E27" s="912" t="n">
        <f aca="false">AVERAGE(E28:E39)</f>
        <v>41401.6666666667</v>
      </c>
      <c r="F27" s="911" t="n">
        <f aca="false">AVERAGE(F28:F39)</f>
        <v>171.8775</v>
      </c>
      <c r="G27" s="912" t="s">
        <v>204</v>
      </c>
      <c r="H27" s="912" t="s">
        <v>204</v>
      </c>
      <c r="I27" s="913" t="n">
        <v>2018</v>
      </c>
    </row>
    <row r="28" s="155" customFormat="true" ht="9.75" hidden="false" customHeight="true" outlineLevel="0" collapsed="false">
      <c r="A28" s="668" t="s">
        <v>220</v>
      </c>
      <c r="B28" s="921" t="n">
        <v>6375</v>
      </c>
      <c r="C28" s="921" t="n">
        <v>15100</v>
      </c>
      <c r="D28" s="908" t="s">
        <v>204</v>
      </c>
      <c r="E28" s="903" t="n">
        <v>41000</v>
      </c>
      <c r="F28" s="922" t="n">
        <v>186.97</v>
      </c>
      <c r="G28" s="921" t="s">
        <v>204</v>
      </c>
      <c r="H28" s="921" t="s">
        <v>204</v>
      </c>
      <c r="I28" s="909" t="s">
        <v>220</v>
      </c>
    </row>
    <row r="29" s="155" customFormat="true" ht="9.75" hidden="false" customHeight="true" outlineLevel="0" collapsed="false">
      <c r="A29" s="669" t="s">
        <v>221</v>
      </c>
      <c r="B29" s="919" t="n">
        <v>6375</v>
      </c>
      <c r="C29" s="919" t="n">
        <v>15100</v>
      </c>
      <c r="D29" s="183" t="s">
        <v>204</v>
      </c>
      <c r="E29" s="901" t="n">
        <v>41000</v>
      </c>
      <c r="F29" s="920" t="n">
        <v>159.93</v>
      </c>
      <c r="G29" s="919" t="s">
        <v>204</v>
      </c>
      <c r="H29" s="919" t="s">
        <v>204</v>
      </c>
      <c r="I29" s="906" t="s">
        <v>221</v>
      </c>
    </row>
    <row r="30" s="161" customFormat="true" ht="9.75" hidden="false" customHeight="true" outlineLevel="0" collapsed="false">
      <c r="A30" s="668" t="s">
        <v>222</v>
      </c>
      <c r="B30" s="921" t="n">
        <v>6375</v>
      </c>
      <c r="C30" s="921" t="n">
        <v>15100</v>
      </c>
      <c r="D30" s="908" t="s">
        <v>204</v>
      </c>
      <c r="E30" s="903" t="n">
        <v>40950</v>
      </c>
      <c r="F30" s="922" t="n">
        <v>159.56</v>
      </c>
      <c r="G30" s="921" t="s">
        <v>204</v>
      </c>
      <c r="H30" s="921" t="s">
        <v>204</v>
      </c>
      <c r="I30" s="909" t="s">
        <v>222</v>
      </c>
    </row>
    <row r="31" s="161" customFormat="true" ht="9.75" hidden="false" customHeight="true" outlineLevel="0" collapsed="false">
      <c r="A31" s="669" t="s">
        <v>223</v>
      </c>
      <c r="B31" s="919" t="n">
        <v>6375</v>
      </c>
      <c r="C31" s="919" t="n">
        <v>15100</v>
      </c>
      <c r="D31" s="183" t="s">
        <v>204</v>
      </c>
      <c r="E31" s="901" t="n">
        <v>41000</v>
      </c>
      <c r="F31" s="920" t="n">
        <v>168.75</v>
      </c>
      <c r="G31" s="919" t="s">
        <v>204</v>
      </c>
      <c r="H31" s="919" t="s">
        <v>204</v>
      </c>
      <c r="I31" s="906" t="s">
        <v>223</v>
      </c>
    </row>
    <row r="32" s="161" customFormat="true" ht="9.75" hidden="false" customHeight="true" outlineLevel="0" collapsed="false">
      <c r="A32" s="668" t="s">
        <v>224</v>
      </c>
      <c r="B32" s="921" t="n">
        <v>6375</v>
      </c>
      <c r="C32" s="921" t="n">
        <v>15100</v>
      </c>
      <c r="D32" s="908" t="s">
        <v>204</v>
      </c>
      <c r="E32" s="903" t="n">
        <v>41000</v>
      </c>
      <c r="F32" s="922" t="n">
        <v>165.41</v>
      </c>
      <c r="G32" s="921" t="s">
        <v>204</v>
      </c>
      <c r="H32" s="921" t="s">
        <v>204</v>
      </c>
      <c r="I32" s="909" t="s">
        <v>224</v>
      </c>
    </row>
    <row r="33" s="161" customFormat="true" ht="9.75" hidden="false" customHeight="true" outlineLevel="0" collapsed="false">
      <c r="A33" s="669" t="s">
        <v>225</v>
      </c>
      <c r="B33" s="919" t="n">
        <v>6375</v>
      </c>
      <c r="C33" s="919" t="n">
        <v>15100</v>
      </c>
      <c r="D33" s="183" t="s">
        <v>204</v>
      </c>
      <c r="E33" s="901" t="n">
        <v>41000</v>
      </c>
      <c r="F33" s="920" t="n">
        <v>140.85</v>
      </c>
      <c r="G33" s="919" t="s">
        <v>204</v>
      </c>
      <c r="H33" s="919" t="s">
        <v>204</v>
      </c>
      <c r="I33" s="906" t="s">
        <v>225</v>
      </c>
    </row>
    <row r="34" s="161" customFormat="true" ht="9.75" hidden="false" customHeight="true" outlineLevel="0" collapsed="false">
      <c r="A34" s="668" t="s">
        <v>214</v>
      </c>
      <c r="B34" s="921" t="n">
        <v>6375</v>
      </c>
      <c r="C34" s="921" t="n">
        <v>15100</v>
      </c>
      <c r="D34" s="908" t="s">
        <v>204</v>
      </c>
      <c r="E34" s="903" t="n">
        <v>41800</v>
      </c>
      <c r="F34" s="922" t="n">
        <v>179.7</v>
      </c>
      <c r="G34" s="921" t="s">
        <v>204</v>
      </c>
      <c r="H34" s="921" t="s">
        <v>204</v>
      </c>
      <c r="I34" s="909" t="s">
        <v>214</v>
      </c>
    </row>
    <row r="35" s="319" customFormat="true" ht="9.75" hidden="false" customHeight="true" outlineLevel="0" collapsed="false">
      <c r="A35" s="669" t="s">
        <v>215</v>
      </c>
      <c r="B35" s="919" t="n">
        <v>6375</v>
      </c>
      <c r="C35" s="919" t="n">
        <v>15100</v>
      </c>
      <c r="D35" s="183" t="s">
        <v>204</v>
      </c>
      <c r="E35" s="901" t="n">
        <v>41800</v>
      </c>
      <c r="F35" s="920" t="n">
        <v>180.4</v>
      </c>
      <c r="G35" s="919" t="s">
        <v>204</v>
      </c>
      <c r="H35" s="919" t="s">
        <v>204</v>
      </c>
      <c r="I35" s="906" t="s">
        <v>215</v>
      </c>
    </row>
    <row r="36" s="319" customFormat="true" ht="9.75" hidden="false" customHeight="true" outlineLevel="0" collapsed="false">
      <c r="A36" s="668" t="s">
        <v>216</v>
      </c>
      <c r="B36" s="921" t="n">
        <v>6375</v>
      </c>
      <c r="C36" s="921" t="n">
        <v>15100</v>
      </c>
      <c r="D36" s="908" t="s">
        <v>204</v>
      </c>
      <c r="E36" s="903" t="n">
        <v>41820</v>
      </c>
      <c r="F36" s="922" t="n">
        <v>184.89</v>
      </c>
      <c r="G36" s="921" t="s">
        <v>204</v>
      </c>
      <c r="H36" s="921" t="s">
        <v>204</v>
      </c>
      <c r="I36" s="909" t="s">
        <v>216</v>
      </c>
    </row>
    <row r="37" s="319" customFormat="true" ht="9.75" hidden="false" customHeight="true" outlineLevel="0" collapsed="false">
      <c r="A37" s="669" t="s">
        <v>217</v>
      </c>
      <c r="B37" s="919" t="n">
        <v>6375</v>
      </c>
      <c r="C37" s="919" t="n">
        <v>15100</v>
      </c>
      <c r="D37" s="183" t="s">
        <v>204</v>
      </c>
      <c r="E37" s="901" t="n">
        <v>41800</v>
      </c>
      <c r="F37" s="920" t="n">
        <v>182.89</v>
      </c>
      <c r="G37" s="919" t="s">
        <v>204</v>
      </c>
      <c r="H37" s="919" t="s">
        <v>204</v>
      </c>
      <c r="I37" s="906" t="s">
        <v>217</v>
      </c>
    </row>
    <row r="38" s="319" customFormat="true" ht="9.75" hidden="false" customHeight="true" outlineLevel="0" collapsed="false">
      <c r="A38" s="668" t="s">
        <v>218</v>
      </c>
      <c r="B38" s="921" t="n">
        <v>6375</v>
      </c>
      <c r="C38" s="921" t="n">
        <v>15100</v>
      </c>
      <c r="D38" s="921" t="s">
        <v>204</v>
      </c>
      <c r="E38" s="921" t="n">
        <v>41820</v>
      </c>
      <c r="F38" s="922" t="n">
        <v>203.57</v>
      </c>
      <c r="G38" s="922" t="s">
        <v>204</v>
      </c>
      <c r="H38" s="922" t="s">
        <v>204</v>
      </c>
      <c r="I38" s="909" t="s">
        <v>218</v>
      </c>
    </row>
    <row r="39" s="319" customFormat="true" ht="9.75" hidden="false" customHeight="true" outlineLevel="0" collapsed="false">
      <c r="A39" s="669" t="s">
        <v>219</v>
      </c>
      <c r="B39" s="919" t="n">
        <v>6375</v>
      </c>
      <c r="C39" s="919" t="n">
        <v>15100</v>
      </c>
      <c r="D39" s="919" t="s">
        <v>204</v>
      </c>
      <c r="E39" s="919" t="n">
        <v>41830</v>
      </c>
      <c r="F39" s="920" t="n">
        <v>149.61</v>
      </c>
      <c r="G39" s="920" t="s">
        <v>204</v>
      </c>
      <c r="H39" s="920" t="s">
        <v>204</v>
      </c>
      <c r="I39" s="906" t="s">
        <v>219</v>
      </c>
    </row>
    <row r="40" s="367" customFormat="true" ht="9.75" hidden="false" customHeight="true" outlineLevel="0" collapsed="false">
      <c r="A40" s="923" t="n">
        <v>2019</v>
      </c>
      <c r="B40" s="916" t="n">
        <f aca="false">AVERAGE(B41:B52)</f>
        <v>6385.41666666667</v>
      </c>
      <c r="C40" s="917" t="n">
        <f aca="false">AVERAGE(C41:C52)</f>
        <v>15125</v>
      </c>
      <c r="D40" s="916" t="s">
        <v>204</v>
      </c>
      <c r="E40" s="917" t="n">
        <f aca="false">AVERAGE(E41:E52)</f>
        <v>41603.75</v>
      </c>
      <c r="F40" s="916" t="n">
        <f aca="false">AVERAGE(F41:F52)</f>
        <v>172.48</v>
      </c>
      <c r="G40" s="917" t="s">
        <v>204</v>
      </c>
      <c r="H40" s="917" t="s">
        <v>204</v>
      </c>
      <c r="I40" s="924" t="n">
        <v>2019</v>
      </c>
    </row>
    <row r="41" s="367" customFormat="true" ht="9.75" hidden="false" customHeight="true" outlineLevel="0" collapsed="false">
      <c r="A41" s="669" t="s">
        <v>220</v>
      </c>
      <c r="B41" s="919" t="n">
        <v>6375</v>
      </c>
      <c r="C41" s="919" t="n">
        <v>15100</v>
      </c>
      <c r="D41" s="919" t="s">
        <v>204</v>
      </c>
      <c r="E41" s="919" t="n">
        <v>41800</v>
      </c>
      <c r="F41" s="920" t="n">
        <v>213.4</v>
      </c>
      <c r="G41" s="920" t="s">
        <v>204</v>
      </c>
      <c r="H41" s="920" t="s">
        <v>204</v>
      </c>
      <c r="I41" s="906" t="s">
        <v>220</v>
      </c>
    </row>
    <row r="42" s="367" customFormat="true" ht="9.75" hidden="false" customHeight="true" outlineLevel="0" collapsed="false">
      <c r="A42" s="668" t="s">
        <v>221</v>
      </c>
      <c r="B42" s="921" t="n">
        <v>6375</v>
      </c>
      <c r="C42" s="921" t="n">
        <v>15100</v>
      </c>
      <c r="D42" s="921" t="s">
        <v>204</v>
      </c>
      <c r="E42" s="921" t="n">
        <v>41800</v>
      </c>
      <c r="F42" s="922" t="n">
        <v>137.62</v>
      </c>
      <c r="G42" s="922" t="s">
        <v>204</v>
      </c>
      <c r="H42" s="922" t="s">
        <v>204</v>
      </c>
      <c r="I42" s="909" t="s">
        <v>221</v>
      </c>
    </row>
    <row r="43" s="367" customFormat="true" ht="9.75" hidden="false" customHeight="true" outlineLevel="0" collapsed="false">
      <c r="A43" s="669" t="s">
        <v>222</v>
      </c>
      <c r="B43" s="919" t="n">
        <v>6375</v>
      </c>
      <c r="C43" s="919" t="n">
        <v>15100</v>
      </c>
      <c r="D43" s="919" t="s">
        <v>204</v>
      </c>
      <c r="E43" s="919" t="n">
        <v>41820</v>
      </c>
      <c r="F43" s="920" t="n">
        <v>168.7</v>
      </c>
      <c r="G43" s="920" t="s">
        <v>204</v>
      </c>
      <c r="H43" s="920" t="s">
        <v>204</v>
      </c>
      <c r="I43" s="906" t="s">
        <v>222</v>
      </c>
    </row>
    <row r="44" s="367" customFormat="true" ht="9.75" hidden="false" customHeight="true" outlineLevel="0" collapsed="false">
      <c r="A44" s="668" t="s">
        <v>223</v>
      </c>
      <c r="B44" s="921" t="n">
        <v>6375</v>
      </c>
      <c r="C44" s="921" t="n">
        <v>15100</v>
      </c>
      <c r="D44" s="921" t="s">
        <v>204</v>
      </c>
      <c r="E44" s="921" t="n">
        <v>41830</v>
      </c>
      <c r="F44" s="922" t="n">
        <v>167</v>
      </c>
      <c r="G44" s="922" t="s">
        <v>204</v>
      </c>
      <c r="H44" s="922" t="s">
        <v>204</v>
      </c>
      <c r="I44" s="909" t="s">
        <v>223</v>
      </c>
    </row>
    <row r="45" s="367" customFormat="true" ht="9.75" hidden="false" customHeight="true" outlineLevel="0" collapsed="false">
      <c r="A45" s="669" t="s">
        <v>224</v>
      </c>
      <c r="B45" s="919" t="n">
        <v>6375</v>
      </c>
      <c r="C45" s="919" t="n">
        <v>15100</v>
      </c>
      <c r="D45" s="919" t="s">
        <v>204</v>
      </c>
      <c r="E45" s="919" t="n">
        <v>41800</v>
      </c>
      <c r="F45" s="920" t="n">
        <v>163.56</v>
      </c>
      <c r="G45" s="920" t="s">
        <v>204</v>
      </c>
      <c r="H45" s="920" t="s">
        <v>204</v>
      </c>
      <c r="I45" s="906" t="s">
        <v>224</v>
      </c>
    </row>
    <row r="46" s="367" customFormat="true" ht="9.75" hidden="false" customHeight="true" outlineLevel="0" collapsed="false">
      <c r="A46" s="668" t="s">
        <v>225</v>
      </c>
      <c r="B46" s="921" t="n">
        <v>6375</v>
      </c>
      <c r="C46" s="921" t="n">
        <v>15100</v>
      </c>
      <c r="D46" s="921" t="s">
        <v>204</v>
      </c>
      <c r="E46" s="921" t="n">
        <v>41800</v>
      </c>
      <c r="F46" s="922" t="n">
        <v>155.88</v>
      </c>
      <c r="G46" s="922" t="s">
        <v>204</v>
      </c>
      <c r="H46" s="922" t="s">
        <v>204</v>
      </c>
      <c r="I46" s="909" t="s">
        <v>225</v>
      </c>
    </row>
    <row r="47" s="367" customFormat="true" ht="9.75" hidden="false" customHeight="true" outlineLevel="0" collapsed="false">
      <c r="A47" s="669" t="s">
        <v>214</v>
      </c>
      <c r="B47" s="919" t="n">
        <v>6375</v>
      </c>
      <c r="C47" s="919" t="n">
        <v>15100</v>
      </c>
      <c r="D47" s="919" t="s">
        <v>204</v>
      </c>
      <c r="E47" s="919" t="n">
        <v>40980</v>
      </c>
      <c r="F47" s="920" t="n">
        <v>144.6</v>
      </c>
      <c r="G47" s="920" t="s">
        <v>204</v>
      </c>
      <c r="H47" s="920" t="s">
        <v>204</v>
      </c>
      <c r="I47" s="906" t="s">
        <v>214</v>
      </c>
    </row>
    <row r="48" s="367" customFormat="true" ht="9.75" hidden="false" customHeight="true" outlineLevel="0" collapsed="false">
      <c r="A48" s="668" t="s">
        <v>215</v>
      </c>
      <c r="B48" s="921" t="n">
        <v>6375</v>
      </c>
      <c r="C48" s="921" t="n">
        <v>15100</v>
      </c>
      <c r="D48" s="921" t="s">
        <v>204</v>
      </c>
      <c r="E48" s="921" t="n">
        <v>41000</v>
      </c>
      <c r="F48" s="922" t="n">
        <v>195</v>
      </c>
      <c r="G48" s="922" t="s">
        <v>204</v>
      </c>
      <c r="H48" s="922" t="s">
        <v>204</v>
      </c>
      <c r="I48" s="909" t="s">
        <v>215</v>
      </c>
    </row>
    <row r="49" s="367" customFormat="true" ht="9.75" hidden="false" customHeight="true" outlineLevel="0" collapsed="false">
      <c r="A49" s="669" t="s">
        <v>216</v>
      </c>
      <c r="B49" s="919" t="n">
        <v>6375</v>
      </c>
      <c r="C49" s="919" t="n">
        <v>15100</v>
      </c>
      <c r="D49" s="919" t="s">
        <v>204</v>
      </c>
      <c r="E49" s="919" t="s">
        <v>204</v>
      </c>
      <c r="F49" s="920" t="n">
        <v>190</v>
      </c>
      <c r="G49" s="920" t="s">
        <v>204</v>
      </c>
      <c r="H49" s="920" t="s">
        <v>204</v>
      </c>
      <c r="I49" s="906" t="s">
        <v>216</v>
      </c>
    </row>
    <row r="50" s="367" customFormat="true" ht="9.75" hidden="false" customHeight="true" outlineLevel="0" collapsed="false">
      <c r="A50" s="668" t="s">
        <v>217</v>
      </c>
      <c r="B50" s="921" t="n">
        <v>6375</v>
      </c>
      <c r="C50" s="921" t="n">
        <v>15100</v>
      </c>
      <c r="D50" s="921" t="s">
        <v>204</v>
      </c>
      <c r="E50" s="921" t="s">
        <v>204</v>
      </c>
      <c r="F50" s="922" t="n">
        <v>183</v>
      </c>
      <c r="G50" s="922" t="s">
        <v>204</v>
      </c>
      <c r="H50" s="922" t="s">
        <v>204</v>
      </c>
      <c r="I50" s="909" t="s">
        <v>217</v>
      </c>
    </row>
    <row r="51" s="367" customFormat="true" ht="9.75" hidden="false" customHeight="true" outlineLevel="0" collapsed="false">
      <c r="A51" s="669" t="s">
        <v>218</v>
      </c>
      <c r="B51" s="919" t="n">
        <v>6375</v>
      </c>
      <c r="C51" s="919" t="n">
        <v>15100</v>
      </c>
      <c r="D51" s="919" t="s">
        <v>204</v>
      </c>
      <c r="E51" s="919" t="s">
        <v>204</v>
      </c>
      <c r="F51" s="920" t="n">
        <v>169</v>
      </c>
      <c r="G51" s="920" t="s">
        <v>204</v>
      </c>
      <c r="H51" s="920" t="s">
        <v>204</v>
      </c>
      <c r="I51" s="906" t="s">
        <v>218</v>
      </c>
    </row>
    <row r="52" s="367" customFormat="true" ht="9.75" hidden="false" customHeight="true" outlineLevel="0" collapsed="false">
      <c r="A52" s="668" t="s">
        <v>219</v>
      </c>
      <c r="B52" s="921" t="n">
        <v>6500</v>
      </c>
      <c r="C52" s="921" t="n">
        <v>15400</v>
      </c>
      <c r="D52" s="921" t="s">
        <v>204</v>
      </c>
      <c r="E52" s="921" t="s">
        <v>204</v>
      </c>
      <c r="F52" s="922" t="n">
        <v>182</v>
      </c>
      <c r="G52" s="922" t="s">
        <v>204</v>
      </c>
      <c r="H52" s="922" t="s">
        <v>204</v>
      </c>
      <c r="I52" s="909" t="s">
        <v>219</v>
      </c>
    </row>
    <row r="53" s="367" customFormat="true" ht="9.75" hidden="false" customHeight="true" outlineLevel="0" collapsed="false">
      <c r="A53" s="667" t="n">
        <v>2020</v>
      </c>
      <c r="B53" s="919"/>
      <c r="C53" s="919"/>
      <c r="D53" s="919"/>
      <c r="E53" s="919"/>
      <c r="F53" s="920"/>
      <c r="G53" s="920"/>
      <c r="H53" s="920"/>
      <c r="I53" s="913" t="n">
        <v>2020</v>
      </c>
    </row>
    <row r="54" s="367" customFormat="true" ht="9.75" hidden="false" customHeight="true" outlineLevel="0" collapsed="false">
      <c r="A54" s="668" t="s">
        <v>220</v>
      </c>
      <c r="B54" s="921" t="n">
        <v>6500</v>
      </c>
      <c r="C54" s="921" t="n">
        <v>15400</v>
      </c>
      <c r="D54" s="921" t="s">
        <v>204</v>
      </c>
      <c r="E54" s="921" t="s">
        <v>204</v>
      </c>
      <c r="F54" s="922" t="n">
        <v>183.77</v>
      </c>
      <c r="G54" s="922" t="s">
        <v>204</v>
      </c>
      <c r="H54" s="922" t="s">
        <v>204</v>
      </c>
      <c r="I54" s="909" t="s">
        <v>220</v>
      </c>
    </row>
    <row r="55" s="367" customFormat="true" ht="9.75" hidden="false" customHeight="true" outlineLevel="0" collapsed="false">
      <c r="A55" s="669" t="s">
        <v>221</v>
      </c>
      <c r="B55" s="919" t="n">
        <v>6500</v>
      </c>
      <c r="C55" s="919" t="n">
        <v>15400</v>
      </c>
      <c r="D55" s="919" t="s">
        <v>204</v>
      </c>
      <c r="E55" s="919" t="s">
        <v>204</v>
      </c>
      <c r="F55" s="920" t="n">
        <v>178.41</v>
      </c>
      <c r="G55" s="920" t="s">
        <v>204</v>
      </c>
      <c r="H55" s="920" t="s">
        <v>204</v>
      </c>
      <c r="I55" s="906" t="s">
        <v>221</v>
      </c>
    </row>
    <row r="56" s="367" customFormat="true" ht="9.75" hidden="false" customHeight="true" outlineLevel="0" collapsed="false">
      <c r="A56" s="668" t="s">
        <v>222</v>
      </c>
      <c r="B56" s="921" t="s">
        <v>204</v>
      </c>
      <c r="C56" s="921" t="s">
        <v>204</v>
      </c>
      <c r="D56" s="921" t="s">
        <v>204</v>
      </c>
      <c r="E56" s="921" t="s">
        <v>204</v>
      </c>
      <c r="F56" s="922" t="n">
        <v>184.96</v>
      </c>
      <c r="G56" s="922" t="s">
        <v>204</v>
      </c>
      <c r="H56" s="922" t="s">
        <v>204</v>
      </c>
      <c r="I56" s="909" t="s">
        <v>222</v>
      </c>
    </row>
    <row r="57" s="367" customFormat="true" ht="9.75" hidden="false" customHeight="true" outlineLevel="0" collapsed="false">
      <c r="A57" s="669" t="s">
        <v>223</v>
      </c>
      <c r="B57" s="919" t="s">
        <v>204</v>
      </c>
      <c r="C57" s="919" t="s">
        <v>204</v>
      </c>
      <c r="D57" s="919" t="s">
        <v>204</v>
      </c>
      <c r="E57" s="919" t="s">
        <v>204</v>
      </c>
      <c r="F57" s="920" t="n">
        <v>180.11</v>
      </c>
      <c r="G57" s="920" t="s">
        <v>204</v>
      </c>
      <c r="H57" s="920" t="s">
        <v>204</v>
      </c>
      <c r="I57" s="906" t="s">
        <v>223</v>
      </c>
    </row>
    <row r="58" s="367" customFormat="true" ht="9.75" hidden="false" customHeight="true" outlineLevel="0" collapsed="false">
      <c r="A58" s="811" t="s">
        <v>224</v>
      </c>
      <c r="B58" s="925" t="s">
        <v>204</v>
      </c>
      <c r="C58" s="925" t="s">
        <v>204</v>
      </c>
      <c r="D58" s="925" t="s">
        <v>204</v>
      </c>
      <c r="E58" s="925" t="s">
        <v>204</v>
      </c>
      <c r="F58" s="926" t="n">
        <v>179.09</v>
      </c>
      <c r="G58" s="926" t="s">
        <v>204</v>
      </c>
      <c r="H58" s="926" t="s">
        <v>204</v>
      </c>
      <c r="I58" s="927" t="s">
        <v>224</v>
      </c>
    </row>
    <row r="59" s="319" customFormat="true" ht="11.1" hidden="false" customHeight="true" outlineLevel="0" collapsed="false">
      <c r="A59" s="848" t="s">
        <v>743</v>
      </c>
      <c r="B59" s="318" t="s">
        <v>744</v>
      </c>
      <c r="C59" s="324"/>
      <c r="D59" s="324"/>
      <c r="F59" s="324" t="s">
        <v>745</v>
      </c>
      <c r="G59" s="324"/>
      <c r="H59" s="318"/>
      <c r="I59" s="318"/>
    </row>
    <row r="60" s="319" customFormat="true" ht="11.1" hidden="false" customHeight="true" outlineLevel="0" collapsed="false">
      <c r="A60" s="322"/>
      <c r="B60" s="819" t="s">
        <v>746</v>
      </c>
      <c r="C60" s="318"/>
      <c r="D60" s="318"/>
      <c r="E60" s="318"/>
      <c r="F60" s="324" t="s">
        <v>747</v>
      </c>
      <c r="G60" s="324"/>
      <c r="H60" s="318"/>
      <c r="I60" s="318"/>
    </row>
    <row r="61" s="319" customFormat="true" ht="11.1" hidden="false" customHeight="true" outlineLevel="0" collapsed="false">
      <c r="C61" s="819"/>
      <c r="D61" s="318"/>
      <c r="F61" s="324" t="s">
        <v>748</v>
      </c>
      <c r="G61" s="318"/>
      <c r="H61" s="318"/>
      <c r="I61" s="318"/>
    </row>
    <row r="62" customFormat="false" ht="11.1" hidden="false" customHeight="true" outlineLevel="0" collapsed="false">
      <c r="A62" s="319"/>
      <c r="B62" s="928"/>
      <c r="C62" s="319"/>
      <c r="D62" s="319"/>
      <c r="E62" s="319"/>
      <c r="F62" s="319"/>
      <c r="G62" s="319"/>
      <c r="H62" s="319"/>
      <c r="I62" s="319"/>
    </row>
    <row r="63" customFormat="false" ht="12" hidden="false" customHeight="true" outlineLevel="0" collapsed="false"/>
    <row r="64" customFormat="false" ht="11.25" hidden="false" customHeight="true" outlineLevel="0" collapsed="false"/>
    <row r="65" customFormat="false" ht="12" hidden="false" customHeight="true" outlineLevel="0" collapsed="false"/>
    <row r="66" customFormat="false" ht="12.6" hidden="false" customHeight="true" outlineLevel="0" collapsed="false"/>
    <row r="67" customFormat="false" ht="12" hidden="false" customHeight="true" outlineLevel="0" collapsed="false"/>
  </sheetData>
  <mergeCells count="17">
    <mergeCell ref="A1:E1"/>
    <mergeCell ref="F1:G1"/>
    <mergeCell ref="A2:A5"/>
    <mergeCell ref="B2:C2"/>
    <mergeCell ref="D2:E2"/>
    <mergeCell ref="F2:F5"/>
    <mergeCell ref="G2:H2"/>
    <mergeCell ref="I2:I5"/>
    <mergeCell ref="B3:B5"/>
    <mergeCell ref="C3:C5"/>
    <mergeCell ref="D3:D5"/>
    <mergeCell ref="E3:E5"/>
    <mergeCell ref="G3:G5"/>
    <mergeCell ref="H3:H5"/>
    <mergeCell ref="C59:D59"/>
    <mergeCell ref="F59:G59"/>
    <mergeCell ref="F60:G60"/>
  </mergeCells>
  <printOptions headings="false" gridLines="false" gridLinesSet="true" horizontalCentered="false" verticalCentered="false"/>
  <pageMargins left="0.629861111111111" right="0.511805555555555" top="0.511805555555555" bottom="0.511805555555555" header="0.511805555555555" footer="0.39375"/>
  <pageSetup paperSize="1" scale="100" firstPageNumber="44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>&amp;C&amp;"Times New Roman,Regular"&amp;8&amp;P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81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A5" activeCellId="0" sqref="A5"/>
    </sheetView>
  </sheetViews>
  <sheetFormatPr defaultColWidth="9.15625" defaultRowHeight="12.75" zeroHeight="false" outlineLevelRow="0" outlineLevelCol="0"/>
  <cols>
    <col collapsed="false" customWidth="true" hidden="false" outlineLevel="0" max="1" min="1" style="264" width="7.86"/>
    <col collapsed="false" customWidth="true" hidden="false" outlineLevel="0" max="2" min="2" style="264" width="7.71"/>
    <col collapsed="false" customWidth="true" hidden="false" outlineLevel="0" max="3" min="3" style="264" width="6.71"/>
    <col collapsed="false" customWidth="true" hidden="false" outlineLevel="0" max="4" min="4" style="264" width="6.42"/>
    <col collapsed="false" customWidth="true" hidden="false" outlineLevel="0" max="5" min="5" style="264" width="6.71"/>
    <col collapsed="false" customWidth="true" hidden="false" outlineLevel="0" max="6" min="6" style="264" width="7.29"/>
    <col collapsed="false" customWidth="true" hidden="false" outlineLevel="0" max="7" min="7" style="264" width="7"/>
    <col collapsed="false" customWidth="true" hidden="false" outlineLevel="0" max="8" min="8" style="264" width="7.29"/>
    <col collapsed="false" customWidth="true" hidden="false" outlineLevel="0" max="9" min="9" style="264" width="6.71"/>
    <col collapsed="false" customWidth="true" hidden="false" outlineLevel="0" max="10" min="10" style="264" width="8.71"/>
    <col collapsed="false" customWidth="true" hidden="false" outlineLevel="0" max="11" min="11" style="264" width="6.28"/>
    <col collapsed="false" customWidth="true" hidden="false" outlineLevel="0" max="12" min="12" style="264" width="7.71"/>
    <col collapsed="false" customWidth="true" hidden="false" outlineLevel="0" max="13" min="13" style="264" width="7"/>
    <col collapsed="false" customWidth="true" hidden="false" outlineLevel="0" max="14" min="14" style="264" width="6.28"/>
    <col collapsed="false" customWidth="true" hidden="false" outlineLevel="0" max="15" min="15" style="264" width="6.57"/>
    <col collapsed="false" customWidth="true" hidden="false" outlineLevel="0" max="16" min="16" style="264" width="7.15"/>
    <col collapsed="false" customWidth="true" hidden="false" outlineLevel="0" max="17" min="17" style="264" width="7.29"/>
    <col collapsed="false" customWidth="true" hidden="false" outlineLevel="0" max="18" min="18" style="264" width="7.42"/>
    <col collapsed="false" customWidth="true" hidden="false" outlineLevel="0" max="19" min="19" style="264" width="7.15"/>
    <col collapsed="false" customWidth="true" hidden="false" outlineLevel="0" max="20" min="20" style="264" width="6.57"/>
    <col collapsed="false" customWidth="true" hidden="false" outlineLevel="0" max="21" min="21" style="264" width="6.86"/>
    <col collapsed="false" customWidth="true" hidden="false" outlineLevel="0" max="22" min="22" style="264" width="7.15"/>
    <col collapsed="false" customWidth="false" hidden="false" outlineLevel="0" max="23" min="23" style="264" width="9.14"/>
    <col collapsed="false" customWidth="true" hidden="false" outlineLevel="0" max="24" min="24" style="264" width="15.86"/>
    <col collapsed="false" customWidth="false" hidden="false" outlineLevel="0" max="1024" min="25" style="264" width="9.14"/>
  </cols>
  <sheetData>
    <row r="1" s="829" customFormat="true" ht="17.25" hidden="false" customHeight="true" outlineLevel="0" collapsed="false">
      <c r="A1" s="827" t="s">
        <v>749</v>
      </c>
      <c r="B1" s="827"/>
      <c r="C1" s="827"/>
      <c r="D1" s="827"/>
      <c r="E1" s="827"/>
      <c r="F1" s="827"/>
      <c r="G1" s="827"/>
      <c r="H1" s="827"/>
      <c r="I1" s="827"/>
      <c r="J1" s="827"/>
      <c r="K1" s="827"/>
      <c r="L1" s="828" t="s">
        <v>750</v>
      </c>
      <c r="M1" s="828"/>
      <c r="N1" s="828"/>
      <c r="O1" s="828"/>
      <c r="P1" s="828"/>
      <c r="Q1" s="828"/>
      <c r="R1" s="828"/>
      <c r="S1" s="828"/>
      <c r="T1" s="828"/>
      <c r="U1" s="827" t="s">
        <v>751</v>
      </c>
      <c r="V1" s="827"/>
      <c r="W1" s="871"/>
    </row>
    <row r="2" s="747" customFormat="true" ht="12.75" hidden="false" customHeight="true" outlineLevel="0" collapsed="false">
      <c r="A2" s="872"/>
      <c r="B2" s="872"/>
      <c r="C2" s="872"/>
      <c r="D2" s="872"/>
      <c r="E2" s="872"/>
      <c r="F2" s="872"/>
      <c r="G2" s="872"/>
      <c r="I2" s="872"/>
      <c r="L2" s="872"/>
      <c r="M2" s="872"/>
      <c r="N2" s="872"/>
      <c r="O2" s="872"/>
      <c r="P2" s="872"/>
      <c r="Q2" s="872"/>
      <c r="R2" s="872"/>
      <c r="T2" s="929"/>
      <c r="U2" s="873" t="s">
        <v>110</v>
      </c>
      <c r="V2" s="873"/>
      <c r="W2" s="929"/>
    </row>
    <row r="3" s="931" customFormat="true" ht="71.25" hidden="false" customHeight="true" outlineLevel="0" collapsed="false">
      <c r="A3" s="834" t="s">
        <v>260</v>
      </c>
      <c r="B3" s="749" t="s">
        <v>752</v>
      </c>
      <c r="C3" s="749" t="s">
        <v>753</v>
      </c>
      <c r="D3" s="749" t="s">
        <v>754</v>
      </c>
      <c r="E3" s="749" t="s">
        <v>755</v>
      </c>
      <c r="F3" s="749" t="s">
        <v>756</v>
      </c>
      <c r="G3" s="749" t="s">
        <v>757</v>
      </c>
      <c r="H3" s="749" t="s">
        <v>758</v>
      </c>
      <c r="I3" s="749" t="s">
        <v>759</v>
      </c>
      <c r="J3" s="749" t="s">
        <v>760</v>
      </c>
      <c r="K3" s="749" t="s">
        <v>761</v>
      </c>
      <c r="L3" s="749" t="s">
        <v>762</v>
      </c>
      <c r="M3" s="749" t="s">
        <v>763</v>
      </c>
      <c r="N3" s="749" t="s">
        <v>764</v>
      </c>
      <c r="O3" s="749" t="s">
        <v>765</v>
      </c>
      <c r="P3" s="749" t="s">
        <v>766</v>
      </c>
      <c r="Q3" s="749" t="s">
        <v>767</v>
      </c>
      <c r="R3" s="749" t="s">
        <v>768</v>
      </c>
      <c r="S3" s="749" t="s">
        <v>769</v>
      </c>
      <c r="T3" s="749" t="s">
        <v>770</v>
      </c>
      <c r="U3" s="751" t="s">
        <v>771</v>
      </c>
      <c r="V3" s="749" t="s">
        <v>260</v>
      </c>
      <c r="W3" s="930"/>
      <c r="X3" s="930"/>
    </row>
    <row r="4" s="935" customFormat="true" ht="12.75" hidden="false" customHeight="false" outlineLevel="0" collapsed="false">
      <c r="A4" s="834"/>
      <c r="B4" s="932" t="n">
        <v>1</v>
      </c>
      <c r="C4" s="932" t="n">
        <v>2</v>
      </c>
      <c r="D4" s="932" t="n">
        <v>3</v>
      </c>
      <c r="E4" s="932" t="n">
        <v>4</v>
      </c>
      <c r="F4" s="932" t="n">
        <v>5</v>
      </c>
      <c r="G4" s="932" t="n">
        <v>6</v>
      </c>
      <c r="H4" s="932" t="n">
        <v>7</v>
      </c>
      <c r="I4" s="932" t="n">
        <v>8</v>
      </c>
      <c r="J4" s="932" t="n">
        <v>9</v>
      </c>
      <c r="K4" s="932" t="n">
        <v>10</v>
      </c>
      <c r="L4" s="932" t="n">
        <v>11</v>
      </c>
      <c r="M4" s="932" t="n">
        <v>12</v>
      </c>
      <c r="N4" s="932" t="n">
        <v>13</v>
      </c>
      <c r="O4" s="932" t="n">
        <v>14</v>
      </c>
      <c r="P4" s="932" t="n">
        <v>15</v>
      </c>
      <c r="Q4" s="932" t="n">
        <v>16</v>
      </c>
      <c r="R4" s="932" t="n">
        <v>17</v>
      </c>
      <c r="S4" s="932" t="n">
        <v>18</v>
      </c>
      <c r="T4" s="932" t="n">
        <v>19</v>
      </c>
      <c r="U4" s="932" t="n">
        <v>20</v>
      </c>
      <c r="V4" s="749"/>
      <c r="W4" s="933"/>
      <c r="X4" s="934"/>
    </row>
    <row r="5" customFormat="false" ht="9.75" hidden="false" customHeight="true" outlineLevel="0" collapsed="false">
      <c r="A5" s="377" t="s">
        <v>653</v>
      </c>
      <c r="B5" s="936" t="n">
        <v>45631</v>
      </c>
      <c r="C5" s="936" t="n">
        <v>13406</v>
      </c>
      <c r="D5" s="936" t="n">
        <v>2640</v>
      </c>
      <c r="E5" s="936" t="n">
        <v>38234</v>
      </c>
      <c r="F5" s="936" t="n">
        <v>3346</v>
      </c>
      <c r="G5" s="936" t="n">
        <v>19334</v>
      </c>
      <c r="H5" s="936" t="n">
        <v>32479</v>
      </c>
      <c r="I5" s="936" t="n">
        <v>1590</v>
      </c>
      <c r="J5" s="936" t="n">
        <v>22129</v>
      </c>
      <c r="K5" s="936" t="n">
        <v>3911</v>
      </c>
      <c r="L5" s="936" t="n">
        <v>22365</v>
      </c>
      <c r="M5" s="936" t="n">
        <v>6695</v>
      </c>
      <c r="N5" s="936" t="n">
        <v>5852</v>
      </c>
      <c r="O5" s="936" t="n">
        <v>5722</v>
      </c>
      <c r="P5" s="936" t="n">
        <v>21665</v>
      </c>
      <c r="Q5" s="936" t="n">
        <f aca="false">SUM(B5:P5)</f>
        <v>244999</v>
      </c>
      <c r="R5" s="936" t="n">
        <v>8547</v>
      </c>
      <c r="S5" s="936" t="n">
        <v>253546</v>
      </c>
      <c r="T5" s="936" t="n">
        <v>8841</v>
      </c>
      <c r="U5" s="936" t="n">
        <f aca="false">S5+T5</f>
        <v>262387</v>
      </c>
      <c r="V5" s="900" t="s">
        <v>653</v>
      </c>
    </row>
    <row r="6" customFormat="false" ht="9.75" hidden="false" customHeight="true" outlineLevel="0" collapsed="false">
      <c r="A6" s="215"/>
      <c r="B6" s="937" t="n">
        <f aca="false">(B5/$S5)*100</f>
        <v>17.9971287261483</v>
      </c>
      <c r="C6" s="937" t="n">
        <f aca="false">(C5/$S5)*100</f>
        <v>5.28740346919297</v>
      </c>
      <c r="D6" s="937" t="n">
        <f aca="false">(D5/$S5)*100</f>
        <v>1.04123117698564</v>
      </c>
      <c r="E6" s="937" t="n">
        <f aca="false">(E5/$S5)*100</f>
        <v>15.0797094018442</v>
      </c>
      <c r="F6" s="937" t="n">
        <f aca="false">(F5/$S5)*100</f>
        <v>1.31968163567952</v>
      </c>
      <c r="G6" s="937" t="n">
        <f aca="false">(G5/$S5)*100</f>
        <v>7.62544074842435</v>
      </c>
      <c r="H6" s="937" t="n">
        <f aca="false">(H5/$S5)*100</f>
        <v>12.8099043171653</v>
      </c>
      <c r="I6" s="937" t="n">
        <f aca="false">(I5/$S5)*100</f>
        <v>0.627105140684531</v>
      </c>
      <c r="J6" s="937" t="n">
        <f aca="false">(J5/$S5)*100</f>
        <v>8.727804816483</v>
      </c>
      <c r="K6" s="937" t="n">
        <f aca="false">(K5/$S5)*100</f>
        <v>1.5425208837844</v>
      </c>
      <c r="L6" s="937" t="n">
        <f aca="false">(L5/$S5)*100</f>
        <v>8.82088457321354</v>
      </c>
      <c r="M6" s="937" t="n">
        <f aca="false">(M5/$S5)*100</f>
        <v>2.64054648860562</v>
      </c>
      <c r="N6" s="937" t="n">
        <f aca="false">(N5/$S5)*100</f>
        <v>2.30806244231816</v>
      </c>
      <c r="O6" s="937" t="n">
        <f aca="false">(O5/$S5)*100</f>
        <v>2.25678969496659</v>
      </c>
      <c r="P6" s="937" t="n">
        <f aca="false">(P5/$S5)*100</f>
        <v>8.5448005490128</v>
      </c>
      <c r="Q6" s="937" t="n">
        <f aca="false">(Q5/$S5)*100</f>
        <v>96.629014064509</v>
      </c>
      <c r="R6" s="937" t="n">
        <f aca="false">(R5/$S5)*100</f>
        <v>3.370985935491</v>
      </c>
      <c r="S6" s="937" t="n">
        <f aca="false">(S5/$S5)*100</f>
        <v>100</v>
      </c>
      <c r="T6" s="938"/>
      <c r="U6" s="938"/>
      <c r="V6" s="365"/>
    </row>
    <row r="7" customFormat="false" ht="9.75" hidden="false" customHeight="true" outlineLevel="0" collapsed="false">
      <c r="A7" s="377" t="s">
        <v>654</v>
      </c>
      <c r="B7" s="936" t="n">
        <v>46003</v>
      </c>
      <c r="C7" s="936" t="n">
        <v>13897</v>
      </c>
      <c r="D7" s="936" t="n">
        <v>2997</v>
      </c>
      <c r="E7" s="936" t="n">
        <v>41805</v>
      </c>
      <c r="F7" s="936" t="n">
        <v>3640</v>
      </c>
      <c r="G7" s="936" t="n">
        <v>21159</v>
      </c>
      <c r="H7" s="936" t="n">
        <v>35312</v>
      </c>
      <c r="I7" s="936" t="n">
        <v>1740</v>
      </c>
      <c r="J7" s="936" t="n">
        <v>25524</v>
      </c>
      <c r="K7" s="936" t="n">
        <v>4207</v>
      </c>
      <c r="L7" s="936" t="n">
        <v>23995</v>
      </c>
      <c r="M7" s="936" t="n">
        <v>7117</v>
      </c>
      <c r="N7" s="936" t="n">
        <v>6352</v>
      </c>
      <c r="O7" s="936" t="n">
        <v>6079</v>
      </c>
      <c r="P7" s="936" t="n">
        <v>23698</v>
      </c>
      <c r="Q7" s="936" t="n">
        <f aca="false">SUM(B7:P7)</f>
        <v>263525</v>
      </c>
      <c r="R7" s="936" t="n">
        <v>9676</v>
      </c>
      <c r="S7" s="936" t="n">
        <v>273201</v>
      </c>
      <c r="T7" s="936" t="n">
        <v>12543</v>
      </c>
      <c r="U7" s="936" t="n">
        <f aca="false">S7+T7</f>
        <v>285744</v>
      </c>
      <c r="V7" s="900" t="s">
        <v>654</v>
      </c>
    </row>
    <row r="8" customFormat="false" ht="9.75" hidden="false" customHeight="true" outlineLevel="0" collapsed="false">
      <c r="A8" s="215"/>
      <c r="B8" s="937" t="n">
        <f aca="false">(B7/$S7)*100</f>
        <v>16.8385181606217</v>
      </c>
      <c r="C8" s="937" t="n">
        <f aca="false">(C7/$S7)*100</f>
        <v>5.0867310148938</v>
      </c>
      <c r="D8" s="937" t="n">
        <f aca="false">(D7/$S7)*100</f>
        <v>1.09699452051786</v>
      </c>
      <c r="E8" s="937" t="n">
        <f aca="false">(E7/$S7)*100</f>
        <v>15.3019205639804</v>
      </c>
      <c r="F8" s="937" t="n">
        <f aca="false">(F7/$S7)*100</f>
        <v>1.33235237059894</v>
      </c>
      <c r="G8" s="937" t="n">
        <f aca="false">(G7/$S7)*100</f>
        <v>7.74484720041288</v>
      </c>
      <c r="H8" s="937" t="n">
        <f aca="false">(H7/$S7)*100</f>
        <v>12.9252821182939</v>
      </c>
      <c r="I8" s="937" t="n">
        <f aca="false">(I7/$S7)*100</f>
        <v>0.636893715615975</v>
      </c>
      <c r="J8" s="937" t="n">
        <f aca="false">(J7/$S7)*100</f>
        <v>9.34257195251847</v>
      </c>
      <c r="K8" s="937" t="n">
        <f aca="false">(K7/$S7)*100</f>
        <v>1.53989187448069</v>
      </c>
      <c r="L8" s="937" t="n">
        <f aca="false">(L7/$S7)*100</f>
        <v>8.78291075069271</v>
      </c>
      <c r="M8" s="937" t="n">
        <f aca="false">(M7/$S7)*100</f>
        <v>2.60504170921776</v>
      </c>
      <c r="N8" s="937" t="n">
        <f aca="false">(N7/$S7)*100</f>
        <v>2.32502809286935</v>
      </c>
      <c r="O8" s="937" t="n">
        <f aca="false">(O7/$S7)*100</f>
        <v>2.22510166507443</v>
      </c>
      <c r="P8" s="937" t="n">
        <f aca="false">(P7/$S7)*100</f>
        <v>8.67419958199275</v>
      </c>
      <c r="Q8" s="937" t="n">
        <f aca="false">(Q7/$S7)*100</f>
        <v>96.4582852917815</v>
      </c>
      <c r="R8" s="937" t="n">
        <f aca="false">(R7/$S7)*100</f>
        <v>3.54171470821849</v>
      </c>
      <c r="S8" s="937" t="n">
        <f aca="false">(S7/$S7)*100</f>
        <v>100</v>
      </c>
      <c r="T8" s="938"/>
      <c r="U8" s="938"/>
      <c r="V8" s="365"/>
    </row>
    <row r="9" customFormat="false" ht="9.75" hidden="false" customHeight="true" outlineLevel="0" collapsed="false">
      <c r="A9" s="377" t="s">
        <v>655</v>
      </c>
      <c r="B9" s="936" t="n">
        <v>48798</v>
      </c>
      <c r="C9" s="936" t="n">
        <v>14259</v>
      </c>
      <c r="D9" s="936" t="n">
        <v>3309</v>
      </c>
      <c r="E9" s="936" t="n">
        <v>45813</v>
      </c>
      <c r="F9" s="936" t="n">
        <v>3989</v>
      </c>
      <c r="G9" s="936" t="n">
        <v>23016</v>
      </c>
      <c r="H9" s="936" t="n">
        <v>39103</v>
      </c>
      <c r="I9" s="936" t="n">
        <v>1944</v>
      </c>
      <c r="J9" s="936" t="n">
        <v>31112</v>
      </c>
      <c r="K9" s="936" t="n">
        <v>4718</v>
      </c>
      <c r="L9" s="936" t="n">
        <v>25678</v>
      </c>
      <c r="M9" s="936" t="n">
        <v>7783</v>
      </c>
      <c r="N9" s="936" t="n">
        <v>7064</v>
      </c>
      <c r="O9" s="936" t="n">
        <v>6602</v>
      </c>
      <c r="P9" s="936" t="n">
        <v>26685</v>
      </c>
      <c r="Q9" s="936" t="n">
        <f aca="false">SUM(B9:P9)</f>
        <v>289873</v>
      </c>
      <c r="R9" s="936" t="n">
        <v>10707</v>
      </c>
      <c r="S9" s="936" t="n">
        <v>300580</v>
      </c>
      <c r="T9" s="936" t="n">
        <v>16583</v>
      </c>
      <c r="U9" s="936" t="n">
        <f aca="false">S9+T9</f>
        <v>317163</v>
      </c>
      <c r="V9" s="900" t="s">
        <v>655</v>
      </c>
    </row>
    <row r="10" customFormat="false" ht="9.75" hidden="false" customHeight="true" outlineLevel="0" collapsed="false">
      <c r="A10" s="215"/>
      <c r="B10" s="937" t="n">
        <f aca="false">(B9/$S9)*100</f>
        <v>16.234613081376</v>
      </c>
      <c r="C10" s="937" t="n">
        <f aca="false">(C9/$S9)*100</f>
        <v>4.74382859804378</v>
      </c>
      <c r="D10" s="937" t="n">
        <f aca="false">(D9/$S9)*100</f>
        <v>1.10087164814692</v>
      </c>
      <c r="E10" s="937" t="n">
        <f aca="false">(E9/$S9)*100</f>
        <v>15.2415330361301</v>
      </c>
      <c r="F10" s="937" t="n">
        <f aca="false">(F9/$S9)*100</f>
        <v>1.32710093818617</v>
      </c>
      <c r="G10" s="937" t="n">
        <f aca="false">(G9/$S9)*100</f>
        <v>7.65719608756404</v>
      </c>
      <c r="H10" s="937" t="n">
        <f aca="false">(H9/$S9)*100</f>
        <v>13.0091822476545</v>
      </c>
      <c r="I10" s="937" t="n">
        <f aca="false">(I9/$S9)*100</f>
        <v>0.646749617406348</v>
      </c>
      <c r="J10" s="937" t="n">
        <f aca="false">(J9/$S9)*100</f>
        <v>10.3506553995608</v>
      </c>
      <c r="K10" s="937" t="n">
        <f aca="false">(K9/$S9)*100</f>
        <v>1.56963204471355</v>
      </c>
      <c r="L10" s="937" t="n">
        <f aca="false">(L9/$S9)*100</f>
        <v>8.54281722004125</v>
      </c>
      <c r="M10" s="937" t="n">
        <f aca="false">(M9/$S9)*100</f>
        <v>2.58932730055227</v>
      </c>
      <c r="N10" s="937" t="n">
        <f aca="false">(N9/$S9)*100</f>
        <v>2.35012309534899</v>
      </c>
      <c r="O10" s="937" t="n">
        <f aca="false">(O9/$S9)*100</f>
        <v>2.19642025417526</v>
      </c>
      <c r="P10" s="937" t="n">
        <f aca="false">(P9/$S9)*100</f>
        <v>8.8778361833788</v>
      </c>
      <c r="Q10" s="937" t="n">
        <f aca="false">(Q9/$S9)*100</f>
        <v>96.4378867522789</v>
      </c>
      <c r="R10" s="937" t="n">
        <f aca="false">(R9/$S9)*100</f>
        <v>3.56211324772107</v>
      </c>
      <c r="S10" s="937" t="n">
        <f aca="false">(S9/$S9)*100</f>
        <v>100</v>
      </c>
      <c r="T10" s="938"/>
      <c r="U10" s="938"/>
      <c r="V10" s="365"/>
    </row>
    <row r="11" customFormat="false" ht="9.75" hidden="false" customHeight="true" outlineLevel="0" collapsed="false">
      <c r="A11" s="377" t="s">
        <v>656</v>
      </c>
      <c r="B11" s="936" t="n">
        <v>52419</v>
      </c>
      <c r="C11" s="936" t="n">
        <v>14783</v>
      </c>
      <c r="D11" s="936" t="n">
        <v>3644</v>
      </c>
      <c r="E11" s="936" t="n">
        <v>51527</v>
      </c>
      <c r="F11" s="936" t="n">
        <v>4425</v>
      </c>
      <c r="G11" s="936" t="n">
        <v>25397</v>
      </c>
      <c r="H11" s="936" t="n">
        <v>44103</v>
      </c>
      <c r="I11" s="936" t="n">
        <v>2202</v>
      </c>
      <c r="J11" s="936" t="n">
        <v>34444</v>
      </c>
      <c r="K11" s="936" t="n">
        <v>5197</v>
      </c>
      <c r="L11" s="936" t="n">
        <v>27601</v>
      </c>
      <c r="M11" s="936" t="n">
        <v>8624</v>
      </c>
      <c r="N11" s="936" t="n">
        <v>7873</v>
      </c>
      <c r="O11" s="936" t="n">
        <v>7197</v>
      </c>
      <c r="P11" s="936" t="n">
        <v>30028</v>
      </c>
      <c r="Q11" s="936" t="n">
        <f aca="false">SUM(B11:P11)</f>
        <v>319464</v>
      </c>
      <c r="R11" s="936" t="n">
        <v>13510</v>
      </c>
      <c r="S11" s="936" t="n">
        <v>332973</v>
      </c>
      <c r="T11" s="936" t="n">
        <v>17553</v>
      </c>
      <c r="U11" s="936" t="n">
        <f aca="false">S11+T11</f>
        <v>350526</v>
      </c>
      <c r="V11" s="900" t="s">
        <v>656</v>
      </c>
    </row>
    <row r="12" customFormat="false" ht="9.75" hidden="false" customHeight="true" outlineLevel="0" collapsed="false">
      <c r="A12" s="215"/>
      <c r="B12" s="937" t="n">
        <f aca="false">(B11/$S11)*100</f>
        <v>15.7427178780261</v>
      </c>
      <c r="C12" s="937" t="n">
        <f aca="false">(C11/$S11)*100</f>
        <v>4.43969931495947</v>
      </c>
      <c r="D12" s="937" t="n">
        <f aca="false">(D11/$S11)*100</f>
        <v>1.09438302805333</v>
      </c>
      <c r="E12" s="937" t="n">
        <f aca="false">(E11/$S11)*100</f>
        <v>15.4748282893808</v>
      </c>
      <c r="F12" s="937" t="n">
        <f aca="false">(F11/$S11)*100</f>
        <v>1.32893658044346</v>
      </c>
      <c r="G12" s="937" t="n">
        <f aca="false">(G11/$S11)*100</f>
        <v>7.62734516011809</v>
      </c>
      <c r="H12" s="937" t="n">
        <f aca="false">(H11/$S11)*100</f>
        <v>13.2452180807453</v>
      </c>
      <c r="I12" s="937" t="n">
        <f aca="false">(I11/$S11)*100</f>
        <v>0.661314881386779</v>
      </c>
      <c r="J12" s="937" t="n">
        <f aca="false">(J11/$S11)*100</f>
        <v>10.3443822772417</v>
      </c>
      <c r="K12" s="937" t="n">
        <f aca="false">(K11/$S11)*100</f>
        <v>1.56078721097506</v>
      </c>
      <c r="L12" s="937" t="n">
        <f aca="false">(L11/$S11)*100</f>
        <v>8.28926069080676</v>
      </c>
      <c r="M12" s="937" t="n">
        <f aca="false">(M11/$S11)*100</f>
        <v>2.58999978977274</v>
      </c>
      <c r="N12" s="937" t="n">
        <f aca="false">(N11/$S11)*100</f>
        <v>2.36445597691104</v>
      </c>
      <c r="O12" s="937" t="n">
        <f aca="false">(O11/$S11)*100</f>
        <v>2.16143651287041</v>
      </c>
      <c r="P12" s="937" t="n">
        <f aca="false">(P11/$S11)*100</f>
        <v>9.01814861865677</v>
      </c>
      <c r="Q12" s="937" t="n">
        <f aca="false">(Q11/$S11)*100</f>
        <v>95.9429142903479</v>
      </c>
      <c r="R12" s="937" t="n">
        <f aca="false">(R11/$S11)*100</f>
        <v>4.05738603430308</v>
      </c>
      <c r="S12" s="937" t="n">
        <f aca="false">(S11/$S11)*100</f>
        <v>100</v>
      </c>
      <c r="T12" s="938"/>
      <c r="U12" s="938"/>
      <c r="V12" s="365"/>
    </row>
    <row r="13" customFormat="false" ht="9.75" hidden="false" customHeight="true" outlineLevel="0" collapsed="false">
      <c r="A13" s="852" t="s">
        <v>657</v>
      </c>
      <c r="B13" s="936" t="n">
        <v>56167</v>
      </c>
      <c r="C13" s="936" t="n">
        <v>15456</v>
      </c>
      <c r="D13" s="936" t="n">
        <v>4041</v>
      </c>
      <c r="E13" s="936" t="n">
        <v>58795</v>
      </c>
      <c r="F13" s="936" t="n">
        <v>4909</v>
      </c>
      <c r="G13" s="936" t="n">
        <v>29061</v>
      </c>
      <c r="H13" s="936" t="n">
        <v>50278</v>
      </c>
      <c r="I13" s="936" t="n">
        <v>2512</v>
      </c>
      <c r="J13" s="936" t="n">
        <v>38289</v>
      </c>
      <c r="K13" s="936" t="n">
        <v>5934</v>
      </c>
      <c r="L13" s="936" t="n">
        <v>29744</v>
      </c>
      <c r="M13" s="936" t="n">
        <v>9638</v>
      </c>
      <c r="N13" s="936" t="n">
        <v>8788</v>
      </c>
      <c r="O13" s="936" t="n">
        <v>8104</v>
      </c>
      <c r="P13" s="936" t="n">
        <v>33876</v>
      </c>
      <c r="Q13" s="936" t="n">
        <f aca="false">SUM(B13:P13)</f>
        <v>355592</v>
      </c>
      <c r="R13" s="936" t="n">
        <v>15113</v>
      </c>
      <c r="S13" s="936" t="n">
        <v>370707</v>
      </c>
      <c r="T13" s="936" t="n">
        <v>18928</v>
      </c>
      <c r="U13" s="936" t="n">
        <f aca="false">S13+T13</f>
        <v>389635</v>
      </c>
      <c r="V13" s="939" t="s">
        <v>657</v>
      </c>
    </row>
    <row r="14" customFormat="false" ht="9.75" hidden="false" customHeight="true" outlineLevel="0" collapsed="false">
      <c r="A14" s="215"/>
      <c r="B14" s="937" t="n">
        <f aca="false">(B13/$S13)*100</f>
        <v>15.1513189661916</v>
      </c>
      <c r="C14" s="937" t="n">
        <f aca="false">(C13/$S13)*100</f>
        <v>4.16933049551263</v>
      </c>
      <c r="D14" s="937" t="n">
        <f aca="false">(D13/$S13)*100</f>
        <v>1.09007922699059</v>
      </c>
      <c r="E14" s="937" t="n">
        <f aca="false">(E13/$S13)*100</f>
        <v>15.8602346327423</v>
      </c>
      <c r="F14" s="937" t="n">
        <f aca="false">(F13/$S13)*100</f>
        <v>1.32422641061539</v>
      </c>
      <c r="G14" s="937" t="n">
        <f aca="false">(G13/$S13)*100</f>
        <v>7.83934481949356</v>
      </c>
      <c r="H14" s="937" t="n">
        <f aca="false">(H13/$S13)*100</f>
        <v>13.5627328321289</v>
      </c>
      <c r="I14" s="937" t="n">
        <f aca="false">(I13/$S13)*100</f>
        <v>0.67762410744874</v>
      </c>
      <c r="J14" s="937" t="n">
        <f aca="false">(J13/$S13)*100</f>
        <v>10.3286422970162</v>
      </c>
      <c r="K14" s="937" t="n">
        <f aca="false">(K13/$S13)*100</f>
        <v>1.60072510095574</v>
      </c>
      <c r="L14" s="937" t="n">
        <f aca="false">(L13/$S13)*100</f>
        <v>8.02358736144718</v>
      </c>
      <c r="M14" s="937" t="n">
        <f aca="false">(M13/$S13)*100</f>
        <v>2.59989695365882</v>
      </c>
      <c r="N14" s="937" t="n">
        <f aca="false">(N13/$S13)*100</f>
        <v>2.37060535679121</v>
      </c>
      <c r="O14" s="937" t="n">
        <f aca="false">(O13/$S13)*100</f>
        <v>2.18609306001775</v>
      </c>
      <c r="P14" s="937" t="n">
        <f aca="false">(P13/$S13)*100</f>
        <v>9.1382142770436</v>
      </c>
      <c r="Q14" s="937" t="n">
        <f aca="false">(Q13/$S13)*100</f>
        <v>95.9226558980543</v>
      </c>
      <c r="R14" s="937" t="n">
        <f aca="false">(R13/$S13)*100</f>
        <v>4.07680459230605</v>
      </c>
      <c r="S14" s="937" t="n">
        <f aca="false">(S13/$S13)*100</f>
        <v>100</v>
      </c>
      <c r="T14" s="938"/>
      <c r="U14" s="938"/>
      <c r="V14" s="365"/>
    </row>
    <row r="15" customFormat="false" ht="9.75" hidden="false" customHeight="true" outlineLevel="0" collapsed="false">
      <c r="A15" s="377" t="s">
        <v>658</v>
      </c>
      <c r="B15" s="936" t="n">
        <v>62223</v>
      </c>
      <c r="C15" s="936" t="n">
        <v>16317</v>
      </c>
      <c r="D15" s="936" t="n">
        <v>4643</v>
      </c>
      <c r="E15" s="936" t="n">
        <v>68923</v>
      </c>
      <c r="F15" s="936" t="n">
        <v>5392</v>
      </c>
      <c r="G15" s="936" t="n">
        <v>32797</v>
      </c>
      <c r="H15" s="936" t="n">
        <v>56984</v>
      </c>
      <c r="I15" s="936" t="n">
        <v>2853</v>
      </c>
      <c r="J15" s="936" t="n">
        <v>43206</v>
      </c>
      <c r="K15" s="936" t="n">
        <v>6684</v>
      </c>
      <c r="L15" s="936" t="n">
        <v>32157</v>
      </c>
      <c r="M15" s="936" t="n">
        <v>11036</v>
      </c>
      <c r="N15" s="936" t="n">
        <v>9935</v>
      </c>
      <c r="O15" s="936" t="n">
        <v>9022</v>
      </c>
      <c r="P15" s="936" t="n">
        <v>38283</v>
      </c>
      <c r="Q15" s="936" t="n">
        <f aca="false">SUM(B15:P15)</f>
        <v>400455</v>
      </c>
      <c r="R15" s="936" t="n">
        <v>15274</v>
      </c>
      <c r="S15" s="936" t="n">
        <v>415728</v>
      </c>
      <c r="T15" s="936" t="n">
        <v>27208</v>
      </c>
      <c r="U15" s="936" t="n">
        <v>442935</v>
      </c>
      <c r="V15" s="900" t="s">
        <v>658</v>
      </c>
    </row>
    <row r="16" customFormat="false" ht="9.75" hidden="false" customHeight="true" outlineLevel="0" collapsed="false">
      <c r="A16" s="215"/>
      <c r="B16" s="937" t="n">
        <f aca="false">(B15/$S15)*100</f>
        <v>14.9672381942039</v>
      </c>
      <c r="C16" s="937" t="n">
        <f aca="false">(C15/$S15)*100</f>
        <v>3.92492206442674</v>
      </c>
      <c r="D16" s="937" t="n">
        <f aca="false">(D15/$S15)*100</f>
        <v>1.11683600815918</v>
      </c>
      <c r="E16" s="937" t="n">
        <f aca="false">(E15/$S15)*100</f>
        <v>16.5788688758034</v>
      </c>
      <c r="F16" s="937" t="n">
        <f aca="false">(F15/$S15)*100</f>
        <v>1.29700188584844</v>
      </c>
      <c r="G16" s="937" t="n">
        <f aca="false">(G15/$S15)*100</f>
        <v>7.88905245737598</v>
      </c>
      <c r="H16" s="937" t="n">
        <f aca="false">(H15/$S15)*100</f>
        <v>13.7070392179502</v>
      </c>
      <c r="I16" s="937" t="n">
        <f aca="false">(I15/$S15)*100</f>
        <v>0.686266020090059</v>
      </c>
      <c r="J16" s="937" t="n">
        <f aca="false">(J15/$S15)*100</f>
        <v>10.3928530192818</v>
      </c>
      <c r="K16" s="937" t="n">
        <f aca="false">(K15/$S15)*100</f>
        <v>1.60778201131509</v>
      </c>
      <c r="L16" s="937" t="n">
        <f aca="false">(L15/$S15)*100</f>
        <v>7.73510564599931</v>
      </c>
      <c r="M16" s="937" t="n">
        <f aca="false">(M15/$S15)*100</f>
        <v>2.65462032867644</v>
      </c>
      <c r="N16" s="937" t="n">
        <f aca="false">(N15/$S15)*100</f>
        <v>2.38978370473002</v>
      </c>
      <c r="O16" s="937" t="n">
        <f aca="false">(O15/$S15)*100</f>
        <v>2.17016895662549</v>
      </c>
      <c r="P16" s="937" t="n">
        <f aca="false">(P15/$S15)*100</f>
        <v>9.20866528114536</v>
      </c>
      <c r="Q16" s="937" t="n">
        <f aca="false">(Q15/$S15)*100</f>
        <v>96.3262036716315</v>
      </c>
      <c r="R16" s="937" t="n">
        <f aca="false">(R15/$S15)*100</f>
        <v>3.67403687026132</v>
      </c>
      <c r="S16" s="937" t="n">
        <f aca="false">(S15/$S15)*100</f>
        <v>100</v>
      </c>
      <c r="T16" s="938"/>
      <c r="U16" s="938"/>
      <c r="V16" s="365"/>
    </row>
    <row r="17" customFormat="false" ht="9.75" hidden="false" customHeight="true" outlineLevel="0" collapsed="false">
      <c r="A17" s="221" t="s">
        <v>558</v>
      </c>
      <c r="B17" s="940" t="s">
        <v>772</v>
      </c>
      <c r="C17" s="940" t="s">
        <v>773</v>
      </c>
      <c r="D17" s="940" t="s">
        <v>774</v>
      </c>
      <c r="E17" s="940" t="s">
        <v>775</v>
      </c>
      <c r="F17" s="940" t="s">
        <v>776</v>
      </c>
      <c r="G17" s="940" t="s">
        <v>777</v>
      </c>
      <c r="H17" s="940" t="s">
        <v>778</v>
      </c>
      <c r="I17" s="940" t="s">
        <v>779</v>
      </c>
      <c r="J17" s="940" t="s">
        <v>780</v>
      </c>
      <c r="K17" s="940" t="s">
        <v>781</v>
      </c>
      <c r="L17" s="940" t="s">
        <v>782</v>
      </c>
      <c r="M17" s="940" t="s">
        <v>783</v>
      </c>
      <c r="N17" s="940" t="s">
        <v>784</v>
      </c>
      <c r="O17" s="940" t="s">
        <v>785</v>
      </c>
      <c r="P17" s="940" t="s">
        <v>786</v>
      </c>
      <c r="Q17" s="936" t="n">
        <f aca="false">P17+O17+N17+M17+L17+K17+J17+I17+H17+G17+F17+E17+D17+C17+B17</f>
        <v>456815</v>
      </c>
      <c r="R17" s="940" t="s">
        <v>787</v>
      </c>
      <c r="S17" s="940" t="s">
        <v>788</v>
      </c>
      <c r="T17" s="940" t="s">
        <v>789</v>
      </c>
      <c r="U17" s="940" t="n">
        <f aca="false">S17+T17</f>
        <v>507753</v>
      </c>
      <c r="V17" s="939" t="s">
        <v>558</v>
      </c>
    </row>
    <row r="18" customFormat="false" ht="9.75" hidden="false" customHeight="true" outlineLevel="0" collapsed="false">
      <c r="A18" s="215"/>
      <c r="B18" s="937" t="n">
        <f aca="false">(B17/$S17)*100</f>
        <v>14.8417806581061</v>
      </c>
      <c r="C18" s="937" t="n">
        <f aca="false">(C17/$S17)*100</f>
        <v>3.76378109410617</v>
      </c>
      <c r="D18" s="937" t="n">
        <f aca="false">(D17/$S17)*100</f>
        <v>1.12640403659861</v>
      </c>
      <c r="E18" s="937" t="n">
        <f aca="false">(E17/$S17)*100</f>
        <v>17.1813654421273</v>
      </c>
      <c r="F18" s="937" t="n">
        <f aca="false">(F17/$S17)*100</f>
        <v>1.18312637440553</v>
      </c>
      <c r="G18" s="937" t="n">
        <f aca="false">(G17/$S17)*100</f>
        <v>7.94599525479547</v>
      </c>
      <c r="H18" s="937" t="n">
        <f aca="false">(H17/$S17)*100</f>
        <v>13.9712620931813</v>
      </c>
      <c r="I18" s="937" t="n">
        <f aca="false">(I17/$S17)*100</f>
        <v>0.696118541219996</v>
      </c>
      <c r="J18" s="937" t="n">
        <f aca="false">(J17/$S17)*100</f>
        <v>10.3514033487344</v>
      </c>
      <c r="K18" s="937" t="n">
        <f aca="false">(K17/$S17)*100</f>
        <v>1.63902158200293</v>
      </c>
      <c r="L18" s="937" t="n">
        <f aca="false">(L17/$S17)*100</f>
        <v>7.3927408106638</v>
      </c>
      <c r="M18" s="937" t="n">
        <f aca="false">(M17/$S17)*100</f>
        <v>2.69706250251335</v>
      </c>
      <c r="N18" s="937" t="n">
        <f aca="false">(N17/$S17)*100</f>
        <v>2.49239645527719</v>
      </c>
      <c r="O18" s="937" t="n">
        <f aca="false">(O17/$S17)*100</f>
        <v>2.18148184991015</v>
      </c>
      <c r="P18" s="937" t="n">
        <f aca="false">(P17/$S17)*100</f>
        <v>9.22118960288014</v>
      </c>
      <c r="Q18" s="937" t="n">
        <f aca="false">(Q17/$S17)*100</f>
        <v>96.6851296465225</v>
      </c>
      <c r="R18" s="937" t="n">
        <f aca="false">(R17/$S17)*100</f>
        <v>3.31508200399173</v>
      </c>
      <c r="S18" s="937" t="n">
        <f aca="false">(S17/$S17)*100</f>
        <v>100</v>
      </c>
      <c r="T18" s="938"/>
      <c r="U18" s="938"/>
      <c r="V18" s="365"/>
    </row>
    <row r="19" customFormat="false" ht="9.75" hidden="false" customHeight="true" outlineLevel="0" collapsed="false">
      <c r="A19" s="221" t="s">
        <v>531</v>
      </c>
      <c r="B19" s="941" t="s">
        <v>790</v>
      </c>
      <c r="C19" s="941" t="s">
        <v>791</v>
      </c>
      <c r="D19" s="941" t="s">
        <v>792</v>
      </c>
      <c r="E19" s="941" t="s">
        <v>793</v>
      </c>
      <c r="F19" s="941" t="s">
        <v>794</v>
      </c>
      <c r="G19" s="941" t="s">
        <v>795</v>
      </c>
      <c r="H19" s="941" t="s">
        <v>796</v>
      </c>
      <c r="I19" s="941" t="s">
        <v>797</v>
      </c>
      <c r="J19" s="941" t="s">
        <v>798</v>
      </c>
      <c r="K19" s="941" t="s">
        <v>799</v>
      </c>
      <c r="L19" s="941" t="s">
        <v>800</v>
      </c>
      <c r="M19" s="941" t="s">
        <v>801</v>
      </c>
      <c r="N19" s="941" t="s">
        <v>802</v>
      </c>
      <c r="O19" s="941" t="s">
        <v>803</v>
      </c>
      <c r="P19" s="941" t="s">
        <v>804</v>
      </c>
      <c r="Q19" s="936" t="n">
        <f aca="false">P19+O19+N19+M19+L19+K19+J19+I19+H19+G19+F19+E19+D19+C19+B19</f>
        <v>525976</v>
      </c>
      <c r="R19" s="940" t="n">
        <f aca="false">S19-Q19</f>
        <v>19846</v>
      </c>
      <c r="S19" s="940" t="s">
        <v>805</v>
      </c>
      <c r="T19" s="940" t="n">
        <v>48390</v>
      </c>
      <c r="U19" s="940" t="n">
        <f aca="false">S19+T19</f>
        <v>594212</v>
      </c>
      <c r="V19" s="939" t="s">
        <v>531</v>
      </c>
    </row>
    <row r="20" customFormat="false" ht="9.75" hidden="false" customHeight="true" outlineLevel="0" collapsed="false">
      <c r="A20" s="215"/>
      <c r="B20" s="937" t="n">
        <f aca="false">(B19/$S19)*100</f>
        <v>14.6938012758738</v>
      </c>
      <c r="C20" s="937" t="n">
        <f aca="false">(C19/$S19)*100</f>
        <v>3.62572413717292</v>
      </c>
      <c r="D20" s="937" t="n">
        <f aca="false">(D19/$S19)*100</f>
        <v>1.1271073720004</v>
      </c>
      <c r="E20" s="937" t="n">
        <f aca="false">(E19/$S19)*100</f>
        <v>17.2035938456127</v>
      </c>
      <c r="F20" s="937" t="n">
        <f aca="false">(F19/$S19)*100</f>
        <v>1.11208415930468</v>
      </c>
      <c r="G20" s="937" t="n">
        <f aca="false">(G19/$S19)*100</f>
        <v>8.03448743363221</v>
      </c>
      <c r="H20" s="937" t="n">
        <f aca="false">(H19/$S19)*100</f>
        <v>14.3306792324238</v>
      </c>
      <c r="I20" s="937" t="n">
        <f aca="false">(I19/$S19)*100</f>
        <v>0.712503343580874</v>
      </c>
      <c r="J20" s="937" t="n">
        <f aca="false">(J19/$S19)*100</f>
        <v>10.4259264009146</v>
      </c>
      <c r="K20" s="937" t="n">
        <f aca="false">(K19/$S19)*100</f>
        <v>1.64064475231852</v>
      </c>
      <c r="L20" s="937" t="n">
        <f aca="false">(L19/$S19)*100</f>
        <v>6.97260278992052</v>
      </c>
      <c r="M20" s="937" t="n">
        <f aca="false">(M19/$S19)*100</f>
        <v>2.64316938489105</v>
      </c>
      <c r="N20" s="937" t="n">
        <f aca="false">(N19/$S19)*100</f>
        <v>2.47919651461465</v>
      </c>
      <c r="O20" s="937" t="n">
        <f aca="false">(O19/$S19)*100</f>
        <v>2.16535793720297</v>
      </c>
      <c r="P20" s="937" t="n">
        <f aca="false">(P19/$S19)*100</f>
        <v>9.19713752835173</v>
      </c>
      <c r="Q20" s="937" t="n">
        <f aca="false">(Q19/$S19)*100</f>
        <v>96.3640161078154</v>
      </c>
      <c r="R20" s="937" t="n">
        <f aca="false">(R19/$S19)*100</f>
        <v>3.63598389218463</v>
      </c>
      <c r="S20" s="937" t="n">
        <f aca="false">(S19/$S19)*100</f>
        <v>100</v>
      </c>
      <c r="T20" s="938"/>
      <c r="U20" s="938"/>
      <c r="V20" s="365"/>
    </row>
    <row r="21" customFormat="false" ht="9.75" hidden="false" customHeight="true" outlineLevel="0" collapsed="false">
      <c r="A21" s="221" t="s">
        <v>532</v>
      </c>
      <c r="B21" s="940" t="n">
        <v>89426</v>
      </c>
      <c r="C21" s="940" t="n">
        <v>21807</v>
      </c>
      <c r="D21" s="940" t="n">
        <v>7091</v>
      </c>
      <c r="E21" s="940" t="n">
        <v>106445</v>
      </c>
      <c r="F21" s="940" t="n">
        <v>6542</v>
      </c>
      <c r="G21" s="940" t="n">
        <v>50125</v>
      </c>
      <c r="H21" s="940" t="n">
        <v>88277</v>
      </c>
      <c r="I21" s="940" t="n">
        <v>4460</v>
      </c>
      <c r="J21" s="940" t="n">
        <v>64280</v>
      </c>
      <c r="K21" s="940" t="n">
        <v>10245</v>
      </c>
      <c r="L21" s="940" t="n">
        <v>41616</v>
      </c>
      <c r="M21" s="940" t="n">
        <v>16361</v>
      </c>
      <c r="N21" s="940" t="n">
        <v>15494</v>
      </c>
      <c r="O21" s="940" t="n">
        <v>13391</v>
      </c>
      <c r="P21" s="940" t="n">
        <v>58364</v>
      </c>
      <c r="Q21" s="936" t="n">
        <f aca="false">SUM(B21:P21)</f>
        <v>593924</v>
      </c>
      <c r="R21" s="940" t="n">
        <v>20871</v>
      </c>
      <c r="S21" s="940" t="n">
        <f aca="false">Q21+R21</f>
        <v>614795</v>
      </c>
      <c r="T21" s="940" t="n">
        <v>55901</v>
      </c>
      <c r="U21" s="940" t="n">
        <f aca="false">S21+T21</f>
        <v>670696</v>
      </c>
      <c r="V21" s="939" t="s">
        <v>532</v>
      </c>
    </row>
    <row r="22" customFormat="false" ht="9.75" hidden="false" customHeight="true" outlineLevel="0" collapsed="false">
      <c r="A22" s="215"/>
      <c r="B22" s="937" t="n">
        <f aca="false">(B21/S21)*100</f>
        <v>14.5456615619841</v>
      </c>
      <c r="C22" s="937" t="n">
        <f aca="false">(C21/S21)*100</f>
        <v>3.54703600387121</v>
      </c>
      <c r="D22" s="937" t="n">
        <f aca="false">(D21/S21)*100</f>
        <v>1.15339259427939</v>
      </c>
      <c r="E22" s="937" t="n">
        <f aca="false">(E21/S21)*100</f>
        <v>17.3139013817614</v>
      </c>
      <c r="F22" s="937" t="n">
        <f aca="false">(F21/S21)*100</f>
        <v>1.0640945355769</v>
      </c>
      <c r="G22" s="937" t="n">
        <f aca="false">(G21/S21)*100</f>
        <v>8.15312421213575</v>
      </c>
      <c r="H22" s="937" t="n">
        <f aca="false">(H21/S21)*100</f>
        <v>14.3587699965029</v>
      </c>
      <c r="I22" s="937" t="n">
        <f aca="false">(I21/S21)*100</f>
        <v>0.725445067054872</v>
      </c>
      <c r="J22" s="937" t="n">
        <f aca="false">(J21/S21)*100</f>
        <v>10.4555176928895</v>
      </c>
      <c r="K22" s="937" t="n">
        <f aca="false">(K21/S21)*100</f>
        <v>1.666409128246</v>
      </c>
      <c r="L22" s="937" t="n">
        <f aca="false">(L21/S21)*100</f>
        <v>6.76908563016941</v>
      </c>
      <c r="M22" s="937" t="n">
        <f aca="false">(M21/S21)*100</f>
        <v>2.66121227401004</v>
      </c>
      <c r="N22" s="937" t="n">
        <f aca="false">(N21/S21)*100</f>
        <v>2.52018965671484</v>
      </c>
      <c r="O22" s="937" t="n">
        <f aca="false">(O21/S21)*100</f>
        <v>2.17812441545556</v>
      </c>
      <c r="P22" s="937" t="n">
        <f aca="false">(P21/S21)*100</f>
        <v>9.49324571605169</v>
      </c>
      <c r="Q22" s="937" t="n">
        <f aca="false">(Q21/S21)*100</f>
        <v>96.6052098667035</v>
      </c>
      <c r="R22" s="937" t="n">
        <f aca="false">(R21/S21)*100</f>
        <v>3.39479013329646</v>
      </c>
      <c r="S22" s="937" t="n">
        <f aca="false">(S21/S21)*100</f>
        <v>100</v>
      </c>
      <c r="T22" s="938"/>
      <c r="U22" s="938"/>
      <c r="V22" s="365"/>
    </row>
    <row r="23" customFormat="false" ht="9.75" hidden="false" customHeight="true" outlineLevel="0" collapsed="false">
      <c r="A23" s="107" t="s">
        <v>203</v>
      </c>
      <c r="B23" s="942" t="s">
        <v>806</v>
      </c>
      <c r="C23" s="942" t="s">
        <v>807</v>
      </c>
      <c r="D23" s="942" t="s">
        <v>808</v>
      </c>
      <c r="E23" s="942" t="s">
        <v>809</v>
      </c>
      <c r="F23" s="942" t="s">
        <v>810</v>
      </c>
      <c r="G23" s="942" t="s">
        <v>811</v>
      </c>
      <c r="H23" s="942" t="s">
        <v>812</v>
      </c>
      <c r="I23" s="942" t="s">
        <v>813</v>
      </c>
      <c r="J23" s="942" t="s">
        <v>814</v>
      </c>
      <c r="K23" s="942" t="s">
        <v>815</v>
      </c>
      <c r="L23" s="943" t="n">
        <v>45683</v>
      </c>
      <c r="M23" s="943" t="n">
        <v>18757</v>
      </c>
      <c r="N23" s="943" t="n">
        <v>17908</v>
      </c>
      <c r="O23" s="943" t="n">
        <v>15142</v>
      </c>
      <c r="P23" s="943" t="n">
        <v>68465</v>
      </c>
      <c r="Q23" s="936" t="n">
        <f aca="false">P23+O23+N23+M23+L23+K23+J23+I23+H23+G23+F23+E23+D23+C23+B23</f>
        <v>671466</v>
      </c>
      <c r="R23" s="943" t="n">
        <v>22858</v>
      </c>
      <c r="S23" s="940" t="n">
        <f aca="false">Q23+R23</f>
        <v>694324</v>
      </c>
      <c r="T23" s="942" t="s">
        <v>816</v>
      </c>
      <c r="U23" s="940" t="n">
        <f aca="false">S23+T23</f>
        <v>758928</v>
      </c>
      <c r="V23" s="944" t="s">
        <v>203</v>
      </c>
    </row>
    <row r="24" customFormat="false" ht="9.75" hidden="false" customHeight="true" outlineLevel="0" collapsed="false">
      <c r="A24" s="215"/>
      <c r="B24" s="937" t="n">
        <f aca="false">(B23/S23)*100</f>
        <v>14.487184657307</v>
      </c>
      <c r="C24" s="937" t="n">
        <f aca="false">(C23/S23)*100</f>
        <v>3.48871708309089</v>
      </c>
      <c r="D24" s="937" t="n">
        <f aca="false">(D23/S23)*100</f>
        <v>1.16861868522477</v>
      </c>
      <c r="E24" s="937" t="n">
        <f aca="false">(E23/S23)*100</f>
        <v>17.2985522609041</v>
      </c>
      <c r="F24" s="937" t="n">
        <f aca="false">(F23/S23)*100</f>
        <v>1.03625972888738</v>
      </c>
      <c r="G24" s="937" t="n">
        <f aca="false">(G23/S23)*100</f>
        <v>8.01614231972393</v>
      </c>
      <c r="H24" s="937" t="n">
        <f aca="false">(H23/S23)*100</f>
        <v>14.4449853382571</v>
      </c>
      <c r="I24" s="937" t="n">
        <f aca="false">(I23/S23)*100</f>
        <v>0.741728645416261</v>
      </c>
      <c r="J24" s="937" t="n">
        <f aca="false">(J23/S23)*100</f>
        <v>10.3525155402953</v>
      </c>
      <c r="K24" s="937" t="n">
        <f aca="false">(K23/S23)*100</f>
        <v>1.77150725021748</v>
      </c>
      <c r="L24" s="937" t="n">
        <f aca="false">(L23/S23)*100</f>
        <v>6.57949314729147</v>
      </c>
      <c r="M24" s="937" t="n">
        <f aca="false">(M23/S23)*100</f>
        <v>2.70147654409181</v>
      </c>
      <c r="N24" s="937" t="n">
        <f aca="false">(N23/S23)*100</f>
        <v>2.57919933633289</v>
      </c>
      <c r="O24" s="937" t="n">
        <f aca="false">(O23/S23)*100</f>
        <v>2.1808262425035</v>
      </c>
      <c r="P24" s="937" t="n">
        <f aca="false">(P23/S23)*100</f>
        <v>9.8606702346455</v>
      </c>
      <c r="Q24" s="937" t="n">
        <f aca="false">(Q23/S23)*100</f>
        <v>96.7078770141893</v>
      </c>
      <c r="R24" s="937" t="n">
        <f aca="false">(R23/S23)*100</f>
        <v>3.29212298581066</v>
      </c>
      <c r="S24" s="937" t="n">
        <f aca="false">(S23/S23)*100</f>
        <v>100</v>
      </c>
      <c r="T24" s="945"/>
      <c r="U24" s="945"/>
      <c r="V24" s="215"/>
    </row>
    <row r="25" customFormat="false" ht="9.75" hidden="false" customHeight="true" outlineLevel="0" collapsed="false">
      <c r="A25" s="221" t="s">
        <v>205</v>
      </c>
      <c r="B25" s="940" t="n">
        <v>113582</v>
      </c>
      <c r="C25" s="940" t="n">
        <v>26996</v>
      </c>
      <c r="D25" s="940" t="n">
        <v>9063</v>
      </c>
      <c r="E25" s="940" t="n">
        <v>135550</v>
      </c>
      <c r="F25" s="940" t="n">
        <v>8211</v>
      </c>
      <c r="G25" s="940" t="n">
        <v>63982</v>
      </c>
      <c r="H25" s="940" t="n">
        <v>115959</v>
      </c>
      <c r="I25" s="940" t="n">
        <v>5997</v>
      </c>
      <c r="J25" s="940" t="n">
        <v>85465</v>
      </c>
      <c r="K25" s="940" t="n">
        <v>14484</v>
      </c>
      <c r="L25" s="940" t="n">
        <v>50337</v>
      </c>
      <c r="M25" s="940" t="n">
        <v>22381</v>
      </c>
      <c r="N25" s="940" t="n">
        <v>21308</v>
      </c>
      <c r="O25" s="940" t="n">
        <v>17582</v>
      </c>
      <c r="P25" s="940" t="n">
        <v>77876</v>
      </c>
      <c r="Q25" s="936" t="n">
        <f aca="false">SUM(B25:P25)</f>
        <v>768773</v>
      </c>
      <c r="R25" s="940" t="n">
        <v>27931</v>
      </c>
      <c r="S25" s="940" t="n">
        <f aca="false">Q25+R25</f>
        <v>796704</v>
      </c>
      <c r="T25" s="946" t="s">
        <v>817</v>
      </c>
      <c r="U25" s="940" t="n">
        <f aca="false">S25+T25</f>
        <v>869218</v>
      </c>
      <c r="V25" s="939" t="s">
        <v>205</v>
      </c>
    </row>
    <row r="26" customFormat="false" ht="9.75" hidden="false" customHeight="true" outlineLevel="0" collapsed="false">
      <c r="A26" s="215"/>
      <c r="B26" s="937" t="n">
        <f aca="false">(B25/S25)*100</f>
        <v>14.2564867253083</v>
      </c>
      <c r="C26" s="937" t="n">
        <f aca="false">(C25/S25)*100</f>
        <v>3.38846045708318</v>
      </c>
      <c r="D26" s="937" t="n">
        <f aca="false">(D25/S25)*100</f>
        <v>1.13756175442824</v>
      </c>
      <c r="E26" s="937" t="n">
        <f aca="false">(E25/S25)*100</f>
        <v>17.0138470498454</v>
      </c>
      <c r="F26" s="937" t="n">
        <f aca="false">(F25/S25)*100</f>
        <v>1.0306211591758</v>
      </c>
      <c r="G26" s="937" t="n">
        <f aca="false">(G25/S25)*100</f>
        <v>8.0308370486404</v>
      </c>
      <c r="H26" s="937" t="n">
        <f aca="false">(H25/S25)*100</f>
        <v>14.5548409446921</v>
      </c>
      <c r="I26" s="937" t="n">
        <f aca="false">(I25/S25)*100</f>
        <v>0.752726232076154</v>
      </c>
      <c r="J26" s="937" t="n">
        <f aca="false">(J25/S25)*100</f>
        <v>10.7273215648472</v>
      </c>
      <c r="K26" s="937" t="n">
        <f aca="false">(K25/S25)*100</f>
        <v>1.81799011929148</v>
      </c>
      <c r="L26" s="937" t="n">
        <f aca="false">(L25/S25)*100</f>
        <v>6.31815580190384</v>
      </c>
      <c r="M26" s="937" t="n">
        <f aca="false">(M25/S25)*100</f>
        <v>2.8091988994658</v>
      </c>
      <c r="N26" s="937" t="n">
        <f aca="false">(N25/S25)*100</f>
        <v>2.67451901835562</v>
      </c>
      <c r="O26" s="937" t="n">
        <f aca="false">(O25/S25)*100</f>
        <v>2.20684218982207</v>
      </c>
      <c r="P26" s="937" t="n">
        <f aca="false">(P25/S25)*100</f>
        <v>9.77477206089087</v>
      </c>
      <c r="Q26" s="937" t="n">
        <f aca="false">(Q25/S25)*100</f>
        <v>96.4941810258264</v>
      </c>
      <c r="R26" s="937" t="n">
        <f aca="false">(R25/S25)*100</f>
        <v>3.5058189741736</v>
      </c>
      <c r="S26" s="937" t="n">
        <f aca="false">(S25/S25)*100</f>
        <v>100</v>
      </c>
      <c r="T26" s="947"/>
      <c r="U26" s="938"/>
      <c r="V26" s="215"/>
    </row>
    <row r="27" s="333" customFormat="true" ht="9.75" hidden="false" customHeight="true" outlineLevel="0" collapsed="false">
      <c r="A27" s="207" t="s">
        <v>282</v>
      </c>
      <c r="B27" s="181" t="n">
        <v>125751</v>
      </c>
      <c r="C27" s="181" t="n">
        <v>31003</v>
      </c>
      <c r="D27" s="181" t="n">
        <v>10446</v>
      </c>
      <c r="E27" s="181" t="n">
        <v>155750</v>
      </c>
      <c r="F27" s="181" t="n">
        <v>9595</v>
      </c>
      <c r="G27" s="181" t="n">
        <v>76635</v>
      </c>
      <c r="H27" s="181" t="n">
        <v>130684</v>
      </c>
      <c r="I27" s="181" t="n">
        <v>7137</v>
      </c>
      <c r="J27" s="181" t="n">
        <v>101810</v>
      </c>
      <c r="K27" s="181" t="n">
        <v>17576</v>
      </c>
      <c r="L27" s="181" t="n">
        <v>58949</v>
      </c>
      <c r="M27" s="181" t="n">
        <v>25320</v>
      </c>
      <c r="N27" s="181" t="n">
        <v>24058</v>
      </c>
      <c r="O27" s="181" t="n">
        <v>20574</v>
      </c>
      <c r="P27" s="181" t="n">
        <v>91485</v>
      </c>
      <c r="Q27" s="948" t="n">
        <f aca="false">SUM(B27:P27)</f>
        <v>886773</v>
      </c>
      <c r="R27" s="181" t="n">
        <v>31368</v>
      </c>
      <c r="S27" s="949" t="n">
        <f aca="false">Q27+R27</f>
        <v>918141</v>
      </c>
      <c r="T27" s="181" t="n">
        <v>89302</v>
      </c>
      <c r="U27" s="949" t="n">
        <f aca="false">S27+T27</f>
        <v>1007443</v>
      </c>
      <c r="V27" s="364" t="s">
        <v>282</v>
      </c>
    </row>
    <row r="28" s="950" customFormat="true" ht="9.75" hidden="false" customHeight="true" outlineLevel="0" collapsed="false">
      <c r="A28" s="215"/>
      <c r="B28" s="937" t="n">
        <f aca="false">(B27/S27)*100</f>
        <v>13.6962623387911</v>
      </c>
      <c r="C28" s="937" t="n">
        <f aca="false">(C27/S27)*100</f>
        <v>3.37671446978187</v>
      </c>
      <c r="D28" s="937" t="n">
        <f aca="false">(D27/S27)*100</f>
        <v>1.13773374677746</v>
      </c>
      <c r="E28" s="937" t="n">
        <f aca="false">(E27/S27)*100</f>
        <v>16.9636254126545</v>
      </c>
      <c r="F28" s="937" t="n">
        <f aca="false">(F27/S27)*100</f>
        <v>1.04504645800591</v>
      </c>
      <c r="G28" s="937" t="n">
        <f aca="false">(G27/S27)*100</f>
        <v>8.34675719742392</v>
      </c>
      <c r="H28" s="937" t="n">
        <f aca="false">(H27/S27)*100</f>
        <v>14.2335436496137</v>
      </c>
      <c r="I28" s="937" t="n">
        <f aca="false">(I27/S27)*100</f>
        <v>0.777331586324976</v>
      </c>
      <c r="J28" s="937" t="n">
        <f aca="false">(J27/S27)*100</f>
        <v>11.0887107753602</v>
      </c>
      <c r="K28" s="937" t="n">
        <f aca="false">(K27/S27)*100</f>
        <v>1.91430292297153</v>
      </c>
      <c r="L28" s="937" t="n">
        <f aca="false">(L27/S27)*100</f>
        <v>6.42047354382388</v>
      </c>
      <c r="M28" s="937" t="n">
        <f aca="false">(M27/S27)*100</f>
        <v>2.75774635921934</v>
      </c>
      <c r="N28" s="937" t="n">
        <f aca="false">(N27/S27)*100</f>
        <v>2.62029470419031</v>
      </c>
      <c r="O28" s="937" t="n">
        <f aca="false">(O27/S27)*100</f>
        <v>2.24083229046519</v>
      </c>
      <c r="P28" s="937" t="n">
        <f aca="false">(P27/S27)*100</f>
        <v>9.96415583227413</v>
      </c>
      <c r="Q28" s="937" t="n">
        <f aca="false">(Q27/S27)*100</f>
        <v>96.583531287678</v>
      </c>
      <c r="R28" s="937" t="n">
        <f aca="false">(R27/S27)*100</f>
        <v>3.41646871232196</v>
      </c>
      <c r="S28" s="937" t="n">
        <f aca="false">(S27/S27)*100</f>
        <v>100</v>
      </c>
      <c r="T28" s="945"/>
      <c r="U28" s="945"/>
      <c r="V28" s="215"/>
    </row>
    <row r="29" s="950" customFormat="true" ht="9.75" hidden="false" customHeight="true" outlineLevel="0" collapsed="false">
      <c r="A29" s="207" t="s">
        <v>818</v>
      </c>
      <c r="B29" s="949" t="n">
        <v>70171</v>
      </c>
      <c r="C29" s="949" t="n">
        <v>16814</v>
      </c>
      <c r="D29" s="949" t="n">
        <v>7009</v>
      </c>
      <c r="E29" s="949" t="n">
        <v>73834</v>
      </c>
      <c r="F29" s="949" t="n">
        <v>5553</v>
      </c>
      <c r="G29" s="949" t="n">
        <v>29825</v>
      </c>
      <c r="H29" s="949" t="n">
        <v>62352</v>
      </c>
      <c r="I29" s="949" t="n">
        <v>3467</v>
      </c>
      <c r="J29" s="949" t="n">
        <v>46497</v>
      </c>
      <c r="K29" s="949" t="n">
        <v>14216</v>
      </c>
      <c r="L29" s="949" t="n">
        <v>37935</v>
      </c>
      <c r="M29" s="949" t="n">
        <v>14089</v>
      </c>
      <c r="N29" s="949" t="n">
        <v>9962</v>
      </c>
      <c r="O29" s="949" t="n">
        <v>9288</v>
      </c>
      <c r="P29" s="949" t="n">
        <v>56600</v>
      </c>
      <c r="Q29" s="948" t="n">
        <f aca="false">SUM(B29:P29)</f>
        <v>457612</v>
      </c>
      <c r="R29" s="949" t="n">
        <v>24725</v>
      </c>
      <c r="S29" s="949" t="n">
        <f aca="false">Q29+R29</f>
        <v>482337</v>
      </c>
      <c r="T29" s="949" t="n">
        <v>27208</v>
      </c>
      <c r="U29" s="949" t="n">
        <f aca="false">S29+T29</f>
        <v>509545</v>
      </c>
      <c r="V29" s="364" t="s">
        <v>818</v>
      </c>
    </row>
    <row r="30" s="950" customFormat="true" ht="9.75" hidden="false" customHeight="true" outlineLevel="0" collapsed="false">
      <c r="A30" s="215"/>
      <c r="B30" s="937" t="n">
        <f aca="false">(B29/S29)*100</f>
        <v>14.5481271393238</v>
      </c>
      <c r="C30" s="937" t="n">
        <f aca="false">(C29/S29)*100</f>
        <v>3.48594447450641</v>
      </c>
      <c r="D30" s="937" t="n">
        <f aca="false">(D29/S29)*100</f>
        <v>1.45313339014009</v>
      </c>
      <c r="E30" s="937" t="n">
        <f aca="false">(E29/S29)*100</f>
        <v>15.3075546765021</v>
      </c>
      <c r="F30" s="937" t="n">
        <f aca="false">(F29/S29)*100</f>
        <v>1.1512697553785</v>
      </c>
      <c r="G30" s="937" t="n">
        <f aca="false">(G29/S29)*100</f>
        <v>6.18343606233816</v>
      </c>
      <c r="H30" s="937" t="n">
        <f aca="false">(H29/S29)*100</f>
        <v>12.927061369955</v>
      </c>
      <c r="I30" s="937" t="n">
        <f aca="false">(I29/S29)*100</f>
        <v>0.718792047883534</v>
      </c>
      <c r="J30" s="937" t="n">
        <f aca="false">(J29/S29)*100</f>
        <v>9.63994053949832</v>
      </c>
      <c r="K30" s="937" t="n">
        <f aca="false">(K29/S29)*100</f>
        <v>2.94731691742495</v>
      </c>
      <c r="L30" s="937" t="n">
        <f aca="false">(L29/S29)*100</f>
        <v>7.8648330938742</v>
      </c>
      <c r="M30" s="937" t="n">
        <f aca="false">(M29/S29)*100</f>
        <v>2.9209867789533</v>
      </c>
      <c r="N30" s="937" t="n">
        <f aca="false">(N29/S29)*100</f>
        <v>2.06536094058718</v>
      </c>
      <c r="O30" s="937" t="n">
        <f aca="false">(O29/S29)*100</f>
        <v>1.92562461515496</v>
      </c>
      <c r="P30" s="937" t="n">
        <f aca="false">(P29/S29)*100</f>
        <v>11.7345341535068</v>
      </c>
      <c r="Q30" s="937" t="n">
        <f aca="false">(Q29/S29)*100</f>
        <v>94.8739159550273</v>
      </c>
      <c r="R30" s="937" t="n">
        <f aca="false">(R29/S29)*100</f>
        <v>5.12608404497271</v>
      </c>
      <c r="S30" s="937" t="n">
        <f aca="false">(S29/S29)*100</f>
        <v>100</v>
      </c>
      <c r="T30" s="945"/>
      <c r="U30" s="945"/>
      <c r="V30" s="365"/>
    </row>
    <row r="31" s="950" customFormat="true" ht="9.75" hidden="false" customHeight="true" outlineLevel="0" collapsed="false">
      <c r="A31" s="207" t="s">
        <v>558</v>
      </c>
      <c r="B31" s="949" t="n">
        <v>79010</v>
      </c>
      <c r="C31" s="949" t="n">
        <v>18890</v>
      </c>
      <c r="D31" s="949" t="n">
        <v>7866</v>
      </c>
      <c r="E31" s="949" t="n">
        <v>87606</v>
      </c>
      <c r="F31" s="949" t="n">
        <v>5720</v>
      </c>
      <c r="G31" s="949" t="n">
        <v>33513</v>
      </c>
      <c r="H31" s="949" t="n">
        <v>72971</v>
      </c>
      <c r="I31" s="949" t="n">
        <v>4069</v>
      </c>
      <c r="J31" s="949" t="n">
        <v>53132</v>
      </c>
      <c r="K31" s="949" t="n">
        <v>16265</v>
      </c>
      <c r="L31" s="949" t="n">
        <v>41337</v>
      </c>
      <c r="M31" s="949" t="n">
        <v>17132</v>
      </c>
      <c r="N31" s="949" t="n">
        <v>11853</v>
      </c>
      <c r="O31" s="949" t="n">
        <v>10453</v>
      </c>
      <c r="P31" s="949" t="n">
        <v>63544</v>
      </c>
      <c r="Q31" s="948" t="n">
        <f aca="false">SUM(B31:P31)</f>
        <v>523361</v>
      </c>
      <c r="R31" s="949" t="n">
        <v>26439</v>
      </c>
      <c r="S31" s="949" t="n">
        <f aca="false">Q31+R31</f>
        <v>549800</v>
      </c>
      <c r="T31" s="949" t="n">
        <v>35276</v>
      </c>
      <c r="U31" s="949" t="n">
        <f aca="false">S31+T31</f>
        <v>585076</v>
      </c>
      <c r="V31" s="364" t="s">
        <v>558</v>
      </c>
    </row>
    <row r="32" s="950" customFormat="true" ht="9.75" hidden="false" customHeight="true" outlineLevel="0" collapsed="false">
      <c r="A32" s="215"/>
      <c r="B32" s="937" t="n">
        <f aca="false">(B31/S31)*100</f>
        <v>14.3706802473627</v>
      </c>
      <c r="C32" s="937" t="n">
        <f aca="false">(C31/S31)*100</f>
        <v>3.43579483448527</v>
      </c>
      <c r="D32" s="937" t="n">
        <f aca="false">(D31/S31)*100</f>
        <v>1.43070207348127</v>
      </c>
      <c r="E32" s="937" t="n">
        <f aca="false">(E31/S31)*100</f>
        <v>15.9341578755911</v>
      </c>
      <c r="F32" s="937" t="n">
        <f aca="false">(F31/S31)*100</f>
        <v>1.04037831938887</v>
      </c>
      <c r="G32" s="937" t="n">
        <f aca="false">(G31/S31)*100</f>
        <v>6.09548926882503</v>
      </c>
      <c r="H32" s="937" t="n">
        <f aca="false">(H31/S31)*100</f>
        <v>13.2722808293925</v>
      </c>
      <c r="I32" s="937" t="n">
        <f aca="false">(I31/S31)*100</f>
        <v>0.740087304474354</v>
      </c>
      <c r="J32" s="937" t="n">
        <f aca="false">(J31/S31)*100</f>
        <v>9.66387777373591</v>
      </c>
      <c r="K32" s="937" t="n">
        <f aca="false">(K31/S31)*100</f>
        <v>2.95834849036013</v>
      </c>
      <c r="L32" s="937" t="n">
        <f aca="false">(L31/S31)*100</f>
        <v>7.51855220080029</v>
      </c>
      <c r="M32" s="937" t="n">
        <f aca="false">(M31/S31)*100</f>
        <v>3.1160421971626</v>
      </c>
      <c r="N32" s="937" t="n">
        <f aca="false">(N31/S31)*100</f>
        <v>2.15587486358676</v>
      </c>
      <c r="O32" s="937" t="n">
        <f aca="false">(O31/S31)*100</f>
        <v>1.90123681338669</v>
      </c>
      <c r="P32" s="937" t="n">
        <f aca="false">(P31/S31)*100</f>
        <v>11.5576573299382</v>
      </c>
      <c r="Q32" s="937" t="n">
        <f aca="false">(Q31/S31)*100</f>
        <v>95.1911604219716</v>
      </c>
      <c r="R32" s="937" t="n">
        <f aca="false">(R31/S31)*100</f>
        <v>4.80883957802837</v>
      </c>
      <c r="S32" s="937" t="n">
        <f aca="false">(S31/S31)*100</f>
        <v>100</v>
      </c>
      <c r="T32" s="945"/>
      <c r="U32" s="945"/>
      <c r="V32" s="365"/>
    </row>
    <row r="33" s="950" customFormat="true" ht="9.75" hidden="false" customHeight="true" outlineLevel="0" collapsed="false">
      <c r="A33" s="207" t="s">
        <v>531</v>
      </c>
      <c r="B33" s="949" t="n">
        <v>89986</v>
      </c>
      <c r="C33" s="949" t="n">
        <v>20635</v>
      </c>
      <c r="D33" s="949" t="n">
        <v>9110</v>
      </c>
      <c r="E33" s="949" t="n">
        <v>101371</v>
      </c>
      <c r="F33" s="949" t="n">
        <v>6441</v>
      </c>
      <c r="G33" s="949" t="n">
        <v>38532</v>
      </c>
      <c r="H33" s="949" t="n">
        <v>86149</v>
      </c>
      <c r="I33" s="949" t="n">
        <v>4826</v>
      </c>
      <c r="J33" s="949" t="n">
        <v>59620</v>
      </c>
      <c r="K33" s="949" t="n">
        <v>18702</v>
      </c>
      <c r="L33" s="949" t="n">
        <v>45118</v>
      </c>
      <c r="M33" s="949" t="n">
        <v>19664</v>
      </c>
      <c r="N33" s="949" t="n">
        <v>14332</v>
      </c>
      <c r="O33" s="949" t="n">
        <v>12164</v>
      </c>
      <c r="P33" s="949" t="n">
        <v>72200</v>
      </c>
      <c r="Q33" s="948" t="n">
        <f aca="false">SUM(B33:P33)</f>
        <v>598850</v>
      </c>
      <c r="R33" s="949" t="n">
        <v>29832</v>
      </c>
      <c r="S33" s="949" t="n">
        <f aca="false">Q33+R33</f>
        <v>628682</v>
      </c>
      <c r="T33" s="949" t="n">
        <v>48390</v>
      </c>
      <c r="U33" s="949" t="n">
        <f aca="false">S33+T33</f>
        <v>677072</v>
      </c>
      <c r="V33" s="364" t="s">
        <v>531</v>
      </c>
    </row>
    <row r="34" s="950" customFormat="true" ht="9.75" hidden="false" customHeight="true" outlineLevel="0" collapsed="false">
      <c r="A34" s="215"/>
      <c r="B34" s="937" t="n">
        <f aca="false">(B33/S33)*100</f>
        <v>14.3134366818201</v>
      </c>
      <c r="C34" s="937" t="n">
        <f aca="false">(C33/S33)*100</f>
        <v>3.28226352909738</v>
      </c>
      <c r="D34" s="937" t="n">
        <f aca="false">(D33/S33)*100</f>
        <v>1.44906327841421</v>
      </c>
      <c r="E34" s="937" t="n">
        <f aca="false">(E33/S33)*100</f>
        <v>16.1243681225166</v>
      </c>
      <c r="F34" s="937" t="n">
        <f aca="false">(F33/S33)*100</f>
        <v>1.02452432231239</v>
      </c>
      <c r="G34" s="937" t="n">
        <f aca="false">(G33/S33)*100</f>
        <v>6.12901276002812</v>
      </c>
      <c r="H34" s="937" t="n">
        <f aca="false">(H33/S33)*100</f>
        <v>13.7031122252586</v>
      </c>
      <c r="I34" s="937" t="n">
        <f aca="false">(I33/S33)*100</f>
        <v>0.767637692824035</v>
      </c>
      <c r="J34" s="937" t="n">
        <f aca="false">(J33/S33)*100</f>
        <v>9.48333179572503</v>
      </c>
      <c r="K34" s="937" t="n">
        <f aca="false">(K33/S33)*100</f>
        <v>2.97479488835373</v>
      </c>
      <c r="L34" s="937" t="n">
        <f aca="false">(L33/S33)*100</f>
        <v>7.1766012069695</v>
      </c>
      <c r="M34" s="937" t="n">
        <f aca="false">(M33/S33)*100</f>
        <v>3.12781342554741</v>
      </c>
      <c r="N34" s="937" t="n">
        <f aca="false">(N33/S33)*100</f>
        <v>2.27968989091464</v>
      </c>
      <c r="O34" s="937" t="n">
        <f aca="false">(O33/S33)*100</f>
        <v>1.93484146197919</v>
      </c>
      <c r="P34" s="937" t="n">
        <f aca="false">(P33/S33)*100</f>
        <v>11.4843434359501</v>
      </c>
      <c r="Q34" s="937" t="n">
        <f aca="false">(Q33/S33)*100</f>
        <v>95.254834717711</v>
      </c>
      <c r="R34" s="937" t="n">
        <f aca="false">(R33/S33)*100</f>
        <v>4.74516528228898</v>
      </c>
      <c r="S34" s="937" t="n">
        <f aca="false">(S33/S33)*100</f>
        <v>100</v>
      </c>
      <c r="T34" s="945"/>
      <c r="U34" s="945"/>
      <c r="V34" s="365"/>
    </row>
    <row r="35" s="950" customFormat="true" ht="9.75" hidden="false" customHeight="true" outlineLevel="0" collapsed="false">
      <c r="A35" s="207" t="s">
        <v>532</v>
      </c>
      <c r="B35" s="949" t="n">
        <v>97807</v>
      </c>
      <c r="C35" s="949" t="n">
        <v>22793</v>
      </c>
      <c r="D35" s="949" t="n">
        <v>10963</v>
      </c>
      <c r="E35" s="949" t="n">
        <v>116197</v>
      </c>
      <c r="F35" s="949" t="n">
        <v>7012</v>
      </c>
      <c r="G35" s="949" t="n">
        <v>44180</v>
      </c>
      <c r="H35" s="949" t="n">
        <v>96094</v>
      </c>
      <c r="I35" s="949" t="n">
        <v>5790</v>
      </c>
      <c r="J35" s="949" t="n">
        <v>67185</v>
      </c>
      <c r="K35" s="949" t="n">
        <v>20003</v>
      </c>
      <c r="L35" s="949" t="n">
        <v>49448</v>
      </c>
      <c r="M35" s="949" t="n">
        <v>22464</v>
      </c>
      <c r="N35" s="949" t="n">
        <v>16250</v>
      </c>
      <c r="O35" s="949" t="n">
        <v>13368</v>
      </c>
      <c r="P35" s="949" t="n">
        <v>85366</v>
      </c>
      <c r="Q35" s="948" t="n">
        <f aca="false">SUM(B35:P35)</f>
        <v>674920</v>
      </c>
      <c r="R35" s="949" t="n">
        <v>30152</v>
      </c>
      <c r="S35" s="949" t="n">
        <f aca="false">Q35+R35</f>
        <v>705072</v>
      </c>
      <c r="T35" s="949" t="n">
        <v>55901</v>
      </c>
      <c r="U35" s="949" t="n">
        <f aca="false">S35+T35</f>
        <v>760973</v>
      </c>
      <c r="V35" s="364" t="s">
        <v>532</v>
      </c>
    </row>
    <row r="36" s="950" customFormat="true" ht="9.75" hidden="false" customHeight="true" outlineLevel="0" collapsed="false">
      <c r="A36" s="215"/>
      <c r="B36" s="937" t="n">
        <f aca="false">(B35/S35)*100</f>
        <v>13.8719166269544</v>
      </c>
      <c r="C36" s="937" t="n">
        <f aca="false">(C35/S35)*100</f>
        <v>3.23271949531395</v>
      </c>
      <c r="D36" s="937" t="n">
        <f aca="false">(D35/S35)*100</f>
        <v>1.55487666507818</v>
      </c>
      <c r="E36" s="937" t="n">
        <f aca="false">(E35/S35)*100</f>
        <v>16.48016089137</v>
      </c>
      <c r="F36" s="937" t="n">
        <f aca="false">(F35/S35)*100</f>
        <v>0.994508362266549</v>
      </c>
      <c r="G36" s="937" t="n">
        <f aca="false">(G35/S35)*100</f>
        <v>6.26602673202169</v>
      </c>
      <c r="H36" s="937" t="n">
        <f aca="false">(H35/S35)*100</f>
        <v>13.6289627158645</v>
      </c>
      <c r="I36" s="937" t="n">
        <f aca="false">(I35/S35)*100</f>
        <v>0.821192729253183</v>
      </c>
      <c r="J36" s="937" t="n">
        <f aca="false">(J35/S35)*100</f>
        <v>9.52881407856219</v>
      </c>
      <c r="K36" s="937" t="n">
        <f aca="false">(K35/S35)*100</f>
        <v>2.83701522681372</v>
      </c>
      <c r="L36" s="937" t="n">
        <f aca="false">(L35/S35)*100</f>
        <v>7.01318446910386</v>
      </c>
      <c r="M36" s="937" t="n">
        <f aca="false">(M35/S35)*100</f>
        <v>3.18605759411805</v>
      </c>
      <c r="N36" s="937" t="n">
        <f aca="false">(N35/S35)*100</f>
        <v>2.30472916241178</v>
      </c>
      <c r="O36" s="937" t="n">
        <f aca="false">(O35/S35)*100</f>
        <v>1.89597658111512</v>
      </c>
      <c r="P36" s="937" t="n">
        <f aca="false">(P35/S35)*100</f>
        <v>12.107415980212</v>
      </c>
      <c r="Q36" s="937" t="n">
        <f aca="false">(Q35/S35)*100</f>
        <v>95.7235573104591</v>
      </c>
      <c r="R36" s="937" t="n">
        <f aca="false">(R35/S35)*100</f>
        <v>4.27644268954093</v>
      </c>
      <c r="S36" s="937" t="n">
        <f aca="false">(S35/S35)*100</f>
        <v>100</v>
      </c>
      <c r="T36" s="945"/>
      <c r="U36" s="945"/>
      <c r="V36" s="215"/>
    </row>
    <row r="37" s="333" customFormat="true" ht="9.75" hidden="false" customHeight="true" outlineLevel="0" collapsed="false">
      <c r="A37" s="291" t="s">
        <v>203</v>
      </c>
      <c r="B37" s="181" t="n">
        <v>110990</v>
      </c>
      <c r="C37" s="181" t="n">
        <v>24601</v>
      </c>
      <c r="D37" s="181" t="n">
        <v>12645</v>
      </c>
      <c r="E37" s="181" t="n">
        <v>128573</v>
      </c>
      <c r="F37" s="181" t="n">
        <v>8346</v>
      </c>
      <c r="G37" s="181" t="n">
        <v>49474</v>
      </c>
      <c r="H37" s="181" t="n">
        <v>106606</v>
      </c>
      <c r="I37" s="181" t="n">
        <v>7028</v>
      </c>
      <c r="J37" s="181" t="n">
        <v>80454</v>
      </c>
      <c r="K37" s="181" t="n">
        <v>23448</v>
      </c>
      <c r="L37" s="181" t="n">
        <v>54432</v>
      </c>
      <c r="M37" s="181" t="n">
        <v>25426</v>
      </c>
      <c r="N37" s="181" t="n">
        <v>18257</v>
      </c>
      <c r="O37" s="181" t="n">
        <v>15326</v>
      </c>
      <c r="P37" s="181" t="n">
        <v>95692</v>
      </c>
      <c r="Q37" s="948" t="n">
        <f aca="false">SUM(B37:P37)</f>
        <v>761298</v>
      </c>
      <c r="R37" s="181" t="n">
        <v>36241</v>
      </c>
      <c r="S37" s="949" t="n">
        <f aca="false">Q37+R37</f>
        <v>797539</v>
      </c>
      <c r="T37" s="181" t="n">
        <v>64604</v>
      </c>
      <c r="U37" s="949" t="n">
        <f aca="false">S37+T37</f>
        <v>862143</v>
      </c>
      <c r="V37" s="293" t="s">
        <v>203</v>
      </c>
    </row>
    <row r="38" customFormat="false" ht="9.75" hidden="false" customHeight="true" outlineLevel="0" collapsed="false">
      <c r="A38" s="215"/>
      <c r="B38" s="937" t="n">
        <f aca="false">(B37/S37)*100</f>
        <v>13.9165608202232</v>
      </c>
      <c r="C38" s="937" t="n">
        <f aca="false">(C37/S37)*100</f>
        <v>3.08461404395271</v>
      </c>
      <c r="D38" s="937" t="n">
        <f aca="false">(D37/S37)*100</f>
        <v>1.58550240176342</v>
      </c>
      <c r="E38" s="937" t="n">
        <f aca="false">(E37/S37)*100</f>
        <v>16.1212178965543</v>
      </c>
      <c r="F38" s="937" t="n">
        <f aca="false">(F37/S37)*100</f>
        <v>1.0464692008792</v>
      </c>
      <c r="G38" s="937" t="n">
        <f aca="false">(G37/S37)*100</f>
        <v>6.20333300315094</v>
      </c>
      <c r="H38" s="937" t="n">
        <f aca="false">(H37/S37)*100</f>
        <v>13.3668698333248</v>
      </c>
      <c r="I38" s="937" t="n">
        <f aca="false">(I37/S37)*100</f>
        <v>0.88121082479979</v>
      </c>
      <c r="J38" s="937" t="n">
        <f aca="false">(J37/S37)*100</f>
        <v>10.0877825410419</v>
      </c>
      <c r="K38" s="937" t="n">
        <f aca="false">(K37/S37)*100</f>
        <v>2.94004431131268</v>
      </c>
      <c r="L38" s="937" t="n">
        <f aca="false">(L37/S37)*100</f>
        <v>6.82499539207487</v>
      </c>
      <c r="M38" s="937" t="n">
        <f aca="false">(M37/S37)*100</f>
        <v>3.18805726114961</v>
      </c>
      <c r="N38" s="937" t="n">
        <f aca="false">(N37/S37)*100</f>
        <v>2.28916705013799</v>
      </c>
      <c r="O38" s="937" t="n">
        <f aca="false">(O37/S37)*100</f>
        <v>1.9216615112239</v>
      </c>
      <c r="P38" s="937" t="n">
        <f aca="false">(P37/S37)*100</f>
        <v>11.9984101090981</v>
      </c>
      <c r="Q38" s="937" t="n">
        <f aca="false">(Q37/S37)*100</f>
        <v>95.4558962006874</v>
      </c>
      <c r="R38" s="937" t="n">
        <f aca="false">(R37/S37)*100</f>
        <v>4.54410379931264</v>
      </c>
      <c r="S38" s="937" t="n">
        <f aca="false">(S37/S37)*100</f>
        <v>100</v>
      </c>
      <c r="T38" s="945"/>
      <c r="U38" s="945"/>
      <c r="V38" s="215"/>
    </row>
    <row r="39" customFormat="false" ht="9.75" hidden="false" customHeight="true" outlineLevel="0" collapsed="false">
      <c r="A39" s="207" t="s">
        <v>205</v>
      </c>
      <c r="B39" s="949" t="n">
        <v>125469</v>
      </c>
      <c r="C39" s="949" t="n">
        <v>28482</v>
      </c>
      <c r="D39" s="949" t="n">
        <v>14208</v>
      </c>
      <c r="E39" s="949" t="n">
        <v>146503</v>
      </c>
      <c r="F39" s="949" t="n">
        <v>11589</v>
      </c>
      <c r="G39" s="949" t="n">
        <v>57072</v>
      </c>
      <c r="H39" s="949" t="n">
        <v>121332</v>
      </c>
      <c r="I39" s="949" t="n">
        <v>8228</v>
      </c>
      <c r="J39" s="949" t="n">
        <v>94571</v>
      </c>
      <c r="K39" s="949" t="n">
        <v>27545</v>
      </c>
      <c r="L39" s="949" t="n">
        <v>60119</v>
      </c>
      <c r="M39" s="949" t="n">
        <v>30282</v>
      </c>
      <c r="N39" s="949" t="n">
        <v>21392</v>
      </c>
      <c r="O39" s="949" t="n">
        <v>17731</v>
      </c>
      <c r="P39" s="949" t="n">
        <v>104608</v>
      </c>
      <c r="Q39" s="948" t="n">
        <f aca="false">SUM(B39:P39)</f>
        <v>869131</v>
      </c>
      <c r="R39" s="949" t="n">
        <v>46698</v>
      </c>
      <c r="S39" s="949" t="n">
        <f aca="false">Q39+R39</f>
        <v>915829</v>
      </c>
      <c r="T39" s="949" t="n">
        <v>72513</v>
      </c>
      <c r="U39" s="949" t="n">
        <f aca="false">S39+T39</f>
        <v>988342</v>
      </c>
      <c r="V39" s="364" t="s">
        <v>205</v>
      </c>
    </row>
    <row r="40" customFormat="false" ht="9.75" hidden="false" customHeight="true" outlineLevel="0" collapsed="false">
      <c r="A40" s="215"/>
      <c r="B40" s="937" t="n">
        <f aca="false">(B39/S39)*100</f>
        <v>13.7000466244244</v>
      </c>
      <c r="C40" s="937" t="n">
        <f aca="false">(C39/S39)*100</f>
        <v>3.10996921914462</v>
      </c>
      <c r="D40" s="937" t="n">
        <f aca="false">(D39/S39)*100</f>
        <v>1.55138131681788</v>
      </c>
      <c r="E40" s="937" t="n">
        <f aca="false">(E39/S39)*100</f>
        <v>15.9967635879624</v>
      </c>
      <c r="F40" s="937" t="n">
        <f aca="false">(F39/S39)*100</f>
        <v>1.2654109009433</v>
      </c>
      <c r="G40" s="937" t="n">
        <f aca="false">(G39/S39)*100</f>
        <v>6.2317310327583</v>
      </c>
      <c r="H40" s="937" t="n">
        <f aca="false">(H39/S39)*100</f>
        <v>13.2483247418459</v>
      </c>
      <c r="I40" s="937" t="n">
        <f aca="false">(I39/S39)*100</f>
        <v>0.898420993438731</v>
      </c>
      <c r="J40" s="937" t="n">
        <f aca="false">(J39/S39)*100</f>
        <v>10.3262726993795</v>
      </c>
      <c r="K40" s="937" t="n">
        <f aca="false">(K39/S39)*100</f>
        <v>3.00765754305662</v>
      </c>
      <c r="L40" s="937" t="n">
        <f aca="false">(L39/S39)*100</f>
        <v>6.56443506375098</v>
      </c>
      <c r="M40" s="937" t="n">
        <f aca="false">(M39/S39)*100</f>
        <v>3.30651246029554</v>
      </c>
      <c r="N40" s="937" t="n">
        <f aca="false">(N39/S39)*100</f>
        <v>2.33580723038908</v>
      </c>
      <c r="O40" s="937" t="n">
        <f aca="false">(O39/S39)*100</f>
        <v>1.93606011602603</v>
      </c>
      <c r="P40" s="937" t="n">
        <f aca="false">(P39/S39)*100</f>
        <v>11.4222196501749</v>
      </c>
      <c r="Q40" s="937" t="n">
        <f aca="false">(Q39/S39)*100</f>
        <v>94.9010131804081</v>
      </c>
      <c r="R40" s="937" t="n">
        <f aca="false">(R39/S39)*100</f>
        <v>5.09898681959187</v>
      </c>
      <c r="S40" s="937" t="n">
        <f aca="false">(S39/S39)*100</f>
        <v>100</v>
      </c>
      <c r="T40" s="945"/>
      <c r="U40" s="945"/>
      <c r="V40" s="215"/>
    </row>
    <row r="41" customFormat="false" ht="9.75" hidden="false" customHeight="true" outlineLevel="0" collapsed="false">
      <c r="A41" s="207" t="s">
        <v>282</v>
      </c>
      <c r="B41" s="949" t="n">
        <v>138879</v>
      </c>
      <c r="C41" s="949" t="n">
        <v>31827</v>
      </c>
      <c r="D41" s="949" t="n">
        <v>16650</v>
      </c>
      <c r="E41" s="949" t="n">
        <v>167928</v>
      </c>
      <c r="F41" s="949" t="n">
        <v>14189</v>
      </c>
      <c r="G41" s="949" t="n">
        <v>68305</v>
      </c>
      <c r="H41" s="949" t="n">
        <v>137396</v>
      </c>
      <c r="I41" s="949" t="n">
        <v>9755</v>
      </c>
      <c r="J41" s="949" t="n">
        <v>112702</v>
      </c>
      <c r="K41" s="949" t="n">
        <v>36316</v>
      </c>
      <c r="L41" s="949" t="n">
        <v>68715</v>
      </c>
      <c r="M41" s="949" t="n">
        <v>33499</v>
      </c>
      <c r="N41" s="949" t="n">
        <v>25048</v>
      </c>
      <c r="O41" s="949" t="n">
        <v>20133</v>
      </c>
      <c r="P41" s="949" t="n">
        <v>117293</v>
      </c>
      <c r="Q41" s="948" t="n">
        <f aca="false">SUM(B41:P41)</f>
        <v>998635</v>
      </c>
      <c r="R41" s="949" t="n">
        <v>56569</v>
      </c>
      <c r="S41" s="949" t="n">
        <f aca="false">Q41+R41</f>
        <v>1055204</v>
      </c>
      <c r="T41" s="949" t="n">
        <v>89302</v>
      </c>
      <c r="U41" s="949" t="n">
        <f aca="false">S41+T41</f>
        <v>1144506</v>
      </c>
      <c r="V41" s="364" t="s">
        <v>282</v>
      </c>
    </row>
    <row r="42" customFormat="false" ht="9.75" hidden="false" customHeight="true" outlineLevel="0" collapsed="false">
      <c r="A42" s="215"/>
      <c r="B42" s="937" t="n">
        <f aca="false">(B41/S41)*100</f>
        <v>13.1613413140966</v>
      </c>
      <c r="C42" s="937" t="n">
        <f aca="false">(C41/S41)*100</f>
        <v>3.0161940250416</v>
      </c>
      <c r="D42" s="937" t="n">
        <f aca="false">(D41/S41)*100</f>
        <v>1.57789394278263</v>
      </c>
      <c r="E42" s="937" t="n">
        <f aca="false">(E41/S41)*100</f>
        <v>15.9142687101262</v>
      </c>
      <c r="F42" s="937" t="n">
        <f aca="false">(F41/S41)*100</f>
        <v>1.34466889814671</v>
      </c>
      <c r="G42" s="937" t="n">
        <f aca="false">(G41/S41)*100</f>
        <v>6.47315590160765</v>
      </c>
      <c r="H42" s="937" t="n">
        <f aca="false">(H41/S41)*100</f>
        <v>13.0207997695232</v>
      </c>
      <c r="I42" s="937" t="n">
        <f aca="false">(I41/S41)*100</f>
        <v>0.924465790501173</v>
      </c>
      <c r="J42" s="937" t="n">
        <f aca="false">(J41/S41)*100</f>
        <v>10.6805887771464</v>
      </c>
      <c r="K42" s="937" t="n">
        <f aca="false">(K41/S41)*100</f>
        <v>3.44160939496059</v>
      </c>
      <c r="L42" s="937" t="n">
        <f aca="false">(L41/S41)*100</f>
        <v>6.51201094764614</v>
      </c>
      <c r="M42" s="937" t="n">
        <f aca="false">(M41/S41)*100</f>
        <v>3.17464679815467</v>
      </c>
      <c r="N42" s="937" t="n">
        <f aca="false">(N41/S41)*100</f>
        <v>2.37375900773689</v>
      </c>
      <c r="O42" s="937" t="n">
        <f aca="false">(O41/S41)*100</f>
        <v>1.90797229729986</v>
      </c>
      <c r="P42" s="937" t="n">
        <f aca="false">(P41/S41)*100</f>
        <v>11.1156705243725</v>
      </c>
      <c r="Q42" s="937" t="n">
        <f aca="false">(Q41/S41)*100</f>
        <v>94.6390460991429</v>
      </c>
      <c r="R42" s="937" t="n">
        <f aca="false">(R41/S41)*100</f>
        <v>5.36095390085709</v>
      </c>
      <c r="S42" s="937" t="n">
        <f aca="false">(S41/S41)*100</f>
        <v>100</v>
      </c>
      <c r="T42" s="947"/>
      <c r="U42" s="947"/>
      <c r="V42" s="365"/>
    </row>
    <row r="43" customFormat="false" ht="9.75" hidden="false" customHeight="true" outlineLevel="0" collapsed="false">
      <c r="A43" s="207" t="s">
        <v>207</v>
      </c>
      <c r="B43" s="949" t="n">
        <v>148758</v>
      </c>
      <c r="C43" s="949" t="n">
        <v>36995</v>
      </c>
      <c r="D43" s="949" t="n">
        <v>19461</v>
      </c>
      <c r="E43" s="949" t="n">
        <v>197127</v>
      </c>
      <c r="F43" s="949" t="n">
        <v>16381</v>
      </c>
      <c r="G43" s="949" t="n">
        <v>82432</v>
      </c>
      <c r="H43" s="949" t="n">
        <v>154579</v>
      </c>
      <c r="I43" s="949" t="n">
        <v>11263</v>
      </c>
      <c r="J43" s="949" t="n">
        <v>124281</v>
      </c>
      <c r="K43" s="949" t="n">
        <v>42237</v>
      </c>
      <c r="L43" s="949" t="n">
        <v>78820</v>
      </c>
      <c r="M43" s="949" t="n">
        <v>37678</v>
      </c>
      <c r="N43" s="949" t="n">
        <v>28429</v>
      </c>
      <c r="O43" s="949" t="n">
        <v>23868</v>
      </c>
      <c r="P43" s="949" t="n">
        <v>138952</v>
      </c>
      <c r="Q43" s="948" t="n">
        <f aca="false">SUM(B43:P43)</f>
        <v>1141261</v>
      </c>
      <c r="R43" s="949" t="n">
        <v>57662</v>
      </c>
      <c r="S43" s="949" t="n">
        <f aca="false">Q43+R43</f>
        <v>1198923</v>
      </c>
      <c r="T43" s="949" t="n">
        <v>96429</v>
      </c>
      <c r="U43" s="949" t="n">
        <f aca="false">S43+T43</f>
        <v>1295352</v>
      </c>
      <c r="V43" s="364" t="s">
        <v>207</v>
      </c>
    </row>
    <row r="44" customFormat="false" ht="9.75" hidden="false" customHeight="true" outlineLevel="0" collapsed="false">
      <c r="A44" s="215"/>
      <c r="B44" s="937" t="n">
        <f aca="false">(B43/S43)*100</f>
        <v>12.4076358531782</v>
      </c>
      <c r="C44" s="937" t="n">
        <f aca="false">(C43/S43)*100</f>
        <v>3.08568606991441</v>
      </c>
      <c r="D44" s="937" t="n">
        <f aca="false">(D43/S43)*100</f>
        <v>1.62320682812825</v>
      </c>
      <c r="E44" s="937" t="n">
        <f aca="false">(E43/S43)*100</f>
        <v>16.4420067010142</v>
      </c>
      <c r="F44" s="937" t="n">
        <f aca="false">(F43/S43)*100</f>
        <v>1.36630959619592</v>
      </c>
      <c r="G44" s="937" t="n">
        <f aca="false">(G43/S43)*100</f>
        <v>6.87550409826152</v>
      </c>
      <c r="H44" s="937" t="n">
        <f aca="false">(H43/S43)*100</f>
        <v>12.8931549398919</v>
      </c>
      <c r="I44" s="937" t="n">
        <f aca="false">(I43/S43)*100</f>
        <v>0.939426468588892</v>
      </c>
      <c r="J44" s="937" t="n">
        <f aca="false">(J43/S43)*100</f>
        <v>10.3660535330459</v>
      </c>
      <c r="K44" s="937" t="n">
        <f aca="false">(K43/S43)*100</f>
        <v>3.52291181335248</v>
      </c>
      <c r="L44" s="937" t="n">
        <f aca="false">(L43/S43)*100</f>
        <v>6.57423370808634</v>
      </c>
      <c r="M44" s="937" t="n">
        <f aca="false">(M43/S43)*100</f>
        <v>3.14265386517733</v>
      </c>
      <c r="N44" s="937" t="n">
        <f aca="false">(N43/S43)*100</f>
        <v>2.37121149565068</v>
      </c>
      <c r="O44" s="937" t="n">
        <f aca="false">(O43/S43)*100</f>
        <v>1.99078673109115</v>
      </c>
      <c r="P44" s="937" t="n">
        <f aca="false">(P43/S43)*100</f>
        <v>11.5897351206041</v>
      </c>
      <c r="Q44" s="937" t="n">
        <f aca="false">(Q43/S43)*100</f>
        <v>95.1905168221812</v>
      </c>
      <c r="R44" s="937" t="n">
        <f aca="false">(R43/S43)*100</f>
        <v>4.80948317781876</v>
      </c>
      <c r="S44" s="937" t="n">
        <f aca="false">(S43/S43)*100</f>
        <v>100</v>
      </c>
      <c r="T44" s="947"/>
      <c r="U44" s="947"/>
      <c r="V44" s="365"/>
    </row>
    <row r="45" customFormat="false" ht="9.75" hidden="false" customHeight="true" outlineLevel="0" collapsed="false">
      <c r="A45" s="429" t="s">
        <v>208</v>
      </c>
      <c r="B45" s="949" t="n">
        <v>163968</v>
      </c>
      <c r="C45" s="949" t="n">
        <v>42308</v>
      </c>
      <c r="D45" s="949" t="n">
        <v>21080</v>
      </c>
      <c r="E45" s="949" t="n">
        <v>223221</v>
      </c>
      <c r="F45" s="949" t="n">
        <v>18401</v>
      </c>
      <c r="G45" s="949" t="n">
        <v>90834</v>
      </c>
      <c r="H45" s="949" t="n">
        <v>172575</v>
      </c>
      <c r="I45" s="949" t="n">
        <v>13035</v>
      </c>
      <c r="J45" s="949" t="n">
        <v>134317</v>
      </c>
      <c r="K45" s="949" t="n">
        <v>48563</v>
      </c>
      <c r="L45" s="949" t="n">
        <v>91229</v>
      </c>
      <c r="M45" s="949" t="n">
        <v>44728</v>
      </c>
      <c r="N45" s="949" t="n">
        <v>32767</v>
      </c>
      <c r="O45" s="949" t="n">
        <v>26924</v>
      </c>
      <c r="P45" s="949" t="n">
        <v>156551</v>
      </c>
      <c r="Q45" s="948" t="n">
        <f aca="false">SUM(B45:P45)</f>
        <v>1280501</v>
      </c>
      <c r="R45" s="949" t="n">
        <v>63173</v>
      </c>
      <c r="S45" s="949" t="n">
        <f aca="false">Q45+R45</f>
        <v>1343674</v>
      </c>
      <c r="T45" s="949" t="n">
        <v>89549</v>
      </c>
      <c r="U45" s="949" t="n">
        <f aca="false">S45+T45</f>
        <v>1433223</v>
      </c>
      <c r="V45" s="364" t="s">
        <v>208</v>
      </c>
    </row>
    <row r="46" customFormat="false" ht="9.75" hidden="false" customHeight="true" outlineLevel="0" collapsed="false">
      <c r="A46" s="215"/>
      <c r="B46" s="937" t="n">
        <f aca="false">(B45/S45)*100</f>
        <v>12.2029599441531</v>
      </c>
      <c r="C46" s="937" t="n">
        <f aca="false">(C45/S45)*100</f>
        <v>3.14868040908732</v>
      </c>
      <c r="D46" s="937" t="n">
        <f aca="false">(D45/S45)*100</f>
        <v>1.5688329163175</v>
      </c>
      <c r="E46" s="937" t="n">
        <f aca="false">(E45/S45)*100</f>
        <v>16.6127349342177</v>
      </c>
      <c r="F46" s="937" t="n">
        <f aca="false">(F45/S45)*100</f>
        <v>1.36945419796766</v>
      </c>
      <c r="G46" s="937" t="n">
        <f aca="false">(G45/S45)*100</f>
        <v>6.76012187479999</v>
      </c>
      <c r="H46" s="937" t="n">
        <f aca="false">(H45/S45)*100</f>
        <v>12.8435171031069</v>
      </c>
      <c r="I46" s="937" t="n">
        <f aca="false">(I45/S45)*100</f>
        <v>0.97010137875705</v>
      </c>
      <c r="J46" s="937" t="n">
        <f aca="false">(J45/S45)*100</f>
        <v>9.9962490901811</v>
      </c>
      <c r="K46" s="937" t="n">
        <f aca="false">(K45/S45)*100</f>
        <v>3.61419510982575</v>
      </c>
      <c r="L46" s="937" t="n">
        <f aca="false">(L45/S45)*100</f>
        <v>6.78951888627748</v>
      </c>
      <c r="M46" s="937" t="n">
        <f aca="false">(M45/S45)*100</f>
        <v>3.32878361864559</v>
      </c>
      <c r="N46" s="937" t="n">
        <f aca="false">(N45/S45)*100</f>
        <v>2.43861234198176</v>
      </c>
      <c r="O46" s="937" t="n">
        <f aca="false">(O45/S45)*100</f>
        <v>2.00375984055656</v>
      </c>
      <c r="P46" s="937" t="n">
        <f aca="false">(P45/S45)*100</f>
        <v>11.6509659337012</v>
      </c>
      <c r="Q46" s="937" t="n">
        <f aca="false">(Q45/S45)*100</f>
        <v>95.2984875795766</v>
      </c>
      <c r="R46" s="937" t="n">
        <f aca="false">(R45/S45)*100</f>
        <v>4.70151242042341</v>
      </c>
      <c r="S46" s="937" t="n">
        <f aca="false">(S45/S45)*100</f>
        <v>100</v>
      </c>
      <c r="T46" s="945"/>
      <c r="U46" s="945"/>
      <c r="V46" s="365"/>
    </row>
    <row r="47" customFormat="false" ht="9.75" hidden="false" customHeight="true" outlineLevel="0" collapsed="false">
      <c r="A47" s="951" t="s">
        <v>209</v>
      </c>
      <c r="B47" s="952" t="n">
        <v>176500</v>
      </c>
      <c r="C47" s="952" t="n">
        <v>47581</v>
      </c>
      <c r="D47" s="952" t="n">
        <v>23876</v>
      </c>
      <c r="E47" s="952" t="n">
        <v>254483</v>
      </c>
      <c r="F47" s="952" t="n">
        <v>19868</v>
      </c>
      <c r="G47" s="952" t="n">
        <v>108484</v>
      </c>
      <c r="H47" s="952" t="n">
        <v>192585</v>
      </c>
      <c r="I47" s="952" t="n">
        <v>14928</v>
      </c>
      <c r="J47" s="952" t="n">
        <v>150025</v>
      </c>
      <c r="K47" s="952" t="n">
        <v>55761</v>
      </c>
      <c r="L47" s="952" t="n">
        <v>106061</v>
      </c>
      <c r="M47" s="952" t="n">
        <v>50674</v>
      </c>
      <c r="N47" s="952" t="n">
        <v>37624</v>
      </c>
      <c r="O47" s="952" t="n">
        <v>30135</v>
      </c>
      <c r="P47" s="952" t="n">
        <v>176402</v>
      </c>
      <c r="Q47" s="953" t="n">
        <f aca="false">SUM(B47:P47)</f>
        <v>1444987</v>
      </c>
      <c r="R47" s="952" t="n">
        <v>70815</v>
      </c>
      <c r="S47" s="952" t="n">
        <f aca="false">Q47+R47</f>
        <v>1515802</v>
      </c>
      <c r="T47" s="952" t="n">
        <v>98402</v>
      </c>
      <c r="U47" s="952" t="n">
        <f aca="false">S47+T47</f>
        <v>1614204</v>
      </c>
      <c r="V47" s="954" t="s">
        <v>209</v>
      </c>
    </row>
    <row r="48" customFormat="false" ht="9.75" hidden="false" customHeight="true" outlineLevel="0" collapsed="false">
      <c r="A48" s="215"/>
      <c r="B48" s="955" t="n">
        <f aca="false">(B47/S47)*100</f>
        <v>11.6440009974918</v>
      </c>
      <c r="C48" s="955" t="n">
        <f aca="false">(C47/S47)*100</f>
        <v>3.13899836522184</v>
      </c>
      <c r="D48" s="955" t="n">
        <f aca="false">(D47/S47)*100</f>
        <v>1.57513976099781</v>
      </c>
      <c r="E48" s="955" t="n">
        <f aca="false">(E47/S47)*100</f>
        <v>16.7886702880719</v>
      </c>
      <c r="F48" s="955" t="n">
        <f aca="false">(F47/S47)*100</f>
        <v>1.31072527942304</v>
      </c>
      <c r="G48" s="955" t="n">
        <f aca="false">(G47/S47)*100</f>
        <v>7.15687141196542</v>
      </c>
      <c r="H48" s="955" t="n">
        <f aca="false">(H47/S47)*100</f>
        <v>12.7051554226739</v>
      </c>
      <c r="I48" s="955" t="n">
        <f aca="false">(I47/S47)*100</f>
        <v>0.984825194847348</v>
      </c>
      <c r="J48" s="955" t="n">
        <f aca="false">(J47/S47)*100</f>
        <v>9.89740084786799</v>
      </c>
      <c r="K48" s="955" t="n">
        <f aca="false">(K47/S47)*100</f>
        <v>3.67864668340588</v>
      </c>
      <c r="L48" s="955" t="n">
        <f aca="false">(L47/S47)*100</f>
        <v>6.99702203849843</v>
      </c>
      <c r="M48" s="955" t="n">
        <f aca="false">(M47/S47)*100</f>
        <v>3.34304876230537</v>
      </c>
      <c r="N48" s="955" t="n">
        <f aca="false">(N47/S47)*100</f>
        <v>2.48211837693841</v>
      </c>
      <c r="O48" s="955" t="n">
        <f aca="false">(O47/S47)*100</f>
        <v>1.98805648758875</v>
      </c>
      <c r="P48" s="955" t="n">
        <f aca="false">(P47/S47)*100</f>
        <v>11.6375357731419</v>
      </c>
      <c r="Q48" s="955" t="n">
        <f aca="false">(Q47/S47)*100</f>
        <v>95.3282156904398</v>
      </c>
      <c r="R48" s="955" t="n">
        <f aca="false">(R47/S47)*100</f>
        <v>4.67178430956022</v>
      </c>
      <c r="S48" s="955" t="n">
        <f aca="false">(S47/S47)*100</f>
        <v>100</v>
      </c>
      <c r="T48" s="945"/>
      <c r="U48" s="945"/>
      <c r="V48" s="365"/>
    </row>
    <row r="49" customFormat="false" ht="9.75" hidden="false" customHeight="true" outlineLevel="0" collapsed="false">
      <c r="A49" s="951" t="s">
        <v>211</v>
      </c>
      <c r="B49" s="952" t="n">
        <v>190315</v>
      </c>
      <c r="C49" s="952" t="n">
        <v>53076</v>
      </c>
      <c r="D49" s="952" t="n">
        <v>28578</v>
      </c>
      <c r="E49" s="952" t="n">
        <v>295111</v>
      </c>
      <c r="F49" s="952" t="n">
        <v>23829</v>
      </c>
      <c r="G49" s="952" t="n">
        <v>126353</v>
      </c>
      <c r="H49" s="952" t="n">
        <v>214257</v>
      </c>
      <c r="I49" s="952" t="n">
        <v>17058</v>
      </c>
      <c r="J49" s="952" t="n">
        <v>169165</v>
      </c>
      <c r="K49" s="952" t="n">
        <v>63601</v>
      </c>
      <c r="L49" s="952" t="n">
        <v>123740</v>
      </c>
      <c r="M49" s="952" t="n">
        <v>66711</v>
      </c>
      <c r="N49" s="952" t="n">
        <v>46512</v>
      </c>
      <c r="O49" s="952" t="n">
        <v>34758</v>
      </c>
      <c r="P49" s="952" t="n">
        <v>194248</v>
      </c>
      <c r="Q49" s="953" t="n">
        <f aca="false">SUM(B49:P49)</f>
        <v>1647312</v>
      </c>
      <c r="R49" s="952" t="n">
        <v>85552</v>
      </c>
      <c r="S49" s="952" t="n">
        <f aca="false">Q49+R49</f>
        <v>1732864</v>
      </c>
      <c r="T49" s="952" t="n">
        <v>99811</v>
      </c>
      <c r="U49" s="952" t="n">
        <f aca="false">S49+T49</f>
        <v>1832675</v>
      </c>
      <c r="V49" s="954" t="s">
        <v>211</v>
      </c>
    </row>
    <row r="50" customFormat="false" ht="9.75" hidden="false" customHeight="true" outlineLevel="0" collapsed="false">
      <c r="A50" s="215"/>
      <c r="B50" s="955" t="n">
        <f aca="false">(B49/S49)*100</f>
        <v>10.9826853117152</v>
      </c>
      <c r="C50" s="955" t="n">
        <f aca="false">(C49/S49)*100</f>
        <v>3.0629062638499</v>
      </c>
      <c r="D50" s="955" t="n">
        <f aca="false">(D49/S49)*100</f>
        <v>1.64917731570394</v>
      </c>
      <c r="E50" s="955" t="n">
        <f aca="false">(E49/S49)*100</f>
        <v>17.0302458819619</v>
      </c>
      <c r="F50" s="955" t="n">
        <f aca="false">(F49/S49)*100</f>
        <v>1.37512234081844</v>
      </c>
      <c r="G50" s="955" t="n">
        <f aca="false">(G49/S49)*100</f>
        <v>7.29157048677796</v>
      </c>
      <c r="H50" s="955" t="n">
        <f aca="false">(H49/S49)*100</f>
        <v>12.364328648988</v>
      </c>
      <c r="I50" s="955" t="n">
        <f aca="false">(I49/S49)*100</f>
        <v>0.984381924951987</v>
      </c>
      <c r="J50" s="955" t="n">
        <f aca="false">(J49/S49)*100</f>
        <v>9.7621625240065</v>
      </c>
      <c r="K50" s="955" t="n">
        <f aca="false">(K49/S49)*100</f>
        <v>3.67028226104299</v>
      </c>
      <c r="L50" s="955" t="n">
        <f aca="false">(L49/S49)*100</f>
        <v>7.14077965726104</v>
      </c>
      <c r="M50" s="955" t="n">
        <f aca="false">(M49/S49)*100</f>
        <v>3.84975393337273</v>
      </c>
      <c r="N50" s="955" t="n">
        <f aca="false">(N49/S49)*100</f>
        <v>2.68411139016103</v>
      </c>
      <c r="O50" s="955" t="n">
        <f aca="false">(O49/S49)*100</f>
        <v>2.00581234303442</v>
      </c>
      <c r="P50" s="955" t="n">
        <f aca="false">(P49/S49)*100</f>
        <v>11.2096506130891</v>
      </c>
      <c r="Q50" s="955" t="n">
        <f aca="false">(Q49/S49)*100</f>
        <v>95.0629708967351</v>
      </c>
      <c r="R50" s="955" t="n">
        <f aca="false">(R49/S49)*100</f>
        <v>4.93702910326488</v>
      </c>
      <c r="S50" s="955" t="n">
        <f aca="false">(S49/S49)*100</f>
        <v>100</v>
      </c>
      <c r="T50" s="945"/>
      <c r="U50" s="945"/>
      <c r="V50" s="365"/>
    </row>
    <row r="51" s="333" customFormat="true" ht="9.75" hidden="false" customHeight="true" outlineLevel="0" collapsed="false">
      <c r="A51" s="207" t="s">
        <v>212</v>
      </c>
      <c r="B51" s="952" t="n">
        <v>205398</v>
      </c>
      <c r="C51" s="952" t="n">
        <v>59627</v>
      </c>
      <c r="D51" s="952" t="n">
        <v>34127</v>
      </c>
      <c r="E51" s="952" t="n">
        <v>341829</v>
      </c>
      <c r="F51" s="952" t="n">
        <v>26244</v>
      </c>
      <c r="G51" s="952" t="n">
        <v>146107</v>
      </c>
      <c r="H51" s="952" t="n">
        <v>243958</v>
      </c>
      <c r="I51" s="952" t="n">
        <v>19318</v>
      </c>
      <c r="J51" s="952" t="n">
        <v>187076</v>
      </c>
      <c r="K51" s="952" t="n">
        <v>73205</v>
      </c>
      <c r="L51" s="952" t="n">
        <v>144539</v>
      </c>
      <c r="M51" s="952" t="n">
        <v>78441</v>
      </c>
      <c r="N51" s="952" t="n">
        <v>56856</v>
      </c>
      <c r="O51" s="952" t="n">
        <v>38987</v>
      </c>
      <c r="P51" s="952" t="n">
        <v>214213</v>
      </c>
      <c r="Q51" s="953" t="n">
        <f aca="false">SUM(B51:P51)</f>
        <v>1869925</v>
      </c>
      <c r="R51" s="952" t="n">
        <v>105892</v>
      </c>
      <c r="S51" s="952" t="n">
        <f aca="false">Q51+R51</f>
        <v>1975817</v>
      </c>
      <c r="T51" s="952" t="n">
        <v>84901</v>
      </c>
      <c r="U51" s="952" t="n">
        <f aca="false">S51+T51</f>
        <v>2060718</v>
      </c>
      <c r="V51" s="956" t="s">
        <v>212</v>
      </c>
    </row>
    <row r="52" customFormat="false" ht="9.75" hidden="false" customHeight="true" outlineLevel="0" collapsed="false">
      <c r="A52" s="215"/>
      <c r="B52" s="955" t="n">
        <f aca="false">(B51/S51)*100</f>
        <v>10.395598377785</v>
      </c>
      <c r="C52" s="955" t="n">
        <f aca="false">(C51/S51)*100</f>
        <v>3.01784021495918</v>
      </c>
      <c r="D52" s="955" t="n">
        <f aca="false">(D51/S51)*100</f>
        <v>1.72723486031348</v>
      </c>
      <c r="E52" s="955" t="n">
        <f aca="false">(E51/S51)*100</f>
        <v>17.3006406969876</v>
      </c>
      <c r="F52" s="955" t="n">
        <f aca="false">(F51/S51)*100</f>
        <v>1.32826066381654</v>
      </c>
      <c r="G52" s="955" t="n">
        <f aca="false">(G51/S51)*100</f>
        <v>7.39476378632232</v>
      </c>
      <c r="H52" s="955" t="n">
        <f aca="false">(H51/S51)*100</f>
        <v>12.3471961219081</v>
      </c>
      <c r="I52" s="955" t="n">
        <f aca="false">(I51/S51)*100</f>
        <v>0.977722127099828</v>
      </c>
      <c r="J52" s="955" t="n">
        <f aca="false">(J51/S51)*100</f>
        <v>9.46828577747838</v>
      </c>
      <c r="K52" s="955" t="n">
        <f aca="false">(K51/S51)*100</f>
        <v>3.70504960732699</v>
      </c>
      <c r="L52" s="955" t="n">
        <f aca="false">(L51/S51)*100</f>
        <v>7.31540421000528</v>
      </c>
      <c r="M52" s="955" t="n">
        <f aca="false">(M51/S51)*100</f>
        <v>3.97005390681424</v>
      </c>
      <c r="N52" s="955" t="n">
        <f aca="false">(N51/S51)*100</f>
        <v>2.87759443308768</v>
      </c>
      <c r="O52" s="955" t="n">
        <f aca="false">(O51/S51)*100</f>
        <v>1.97320905731654</v>
      </c>
      <c r="P52" s="955" t="n">
        <f aca="false">(P51/S51)*100</f>
        <v>10.8417429346949</v>
      </c>
      <c r="Q52" s="955" t="n">
        <f aca="false">(Q51/S51)*100</f>
        <v>94.640596775916</v>
      </c>
      <c r="R52" s="955" t="n">
        <f aca="false">(R51/S51)*100</f>
        <v>5.35940322408401</v>
      </c>
      <c r="S52" s="955" t="n">
        <f aca="false">(S51/S51)*100</f>
        <v>100</v>
      </c>
      <c r="T52" s="945"/>
      <c r="U52" s="945"/>
      <c r="V52" s="365"/>
    </row>
    <row r="53" s="333" customFormat="true" ht="9.75" hidden="false" customHeight="true" outlineLevel="0" collapsed="false">
      <c r="A53" s="207" t="s">
        <v>213</v>
      </c>
      <c r="B53" s="952" t="n">
        <v>227353</v>
      </c>
      <c r="C53" s="952" t="n">
        <v>66882</v>
      </c>
      <c r="D53" s="952" t="n">
        <v>38884</v>
      </c>
      <c r="E53" s="952" t="n">
        <v>404144</v>
      </c>
      <c r="F53" s="952" t="n">
        <v>29336</v>
      </c>
      <c r="G53" s="952" t="n">
        <v>169855</v>
      </c>
      <c r="H53" s="952" t="n">
        <v>279823</v>
      </c>
      <c r="I53" s="952" t="n">
        <v>22123</v>
      </c>
      <c r="J53" s="952" t="n">
        <v>204630</v>
      </c>
      <c r="K53" s="952" t="n">
        <v>83728</v>
      </c>
      <c r="L53" s="952" t="n">
        <v>166419</v>
      </c>
      <c r="M53" s="188" t="n">
        <v>90228</v>
      </c>
      <c r="N53" s="952" t="n">
        <v>64478</v>
      </c>
      <c r="O53" s="952" t="n">
        <v>44064</v>
      </c>
      <c r="P53" s="952" t="n">
        <v>236378</v>
      </c>
      <c r="Q53" s="953" t="n">
        <f aca="false">SUM(B53:P53)</f>
        <v>2128325</v>
      </c>
      <c r="R53" s="952" t="n">
        <v>122156</v>
      </c>
      <c r="S53" s="952" t="n">
        <f aca="false">Q53+R53</f>
        <v>2250481</v>
      </c>
      <c r="T53" s="952" t="n">
        <v>102628</v>
      </c>
      <c r="U53" s="952" t="n">
        <f aca="false">S53+T53</f>
        <v>2353109</v>
      </c>
      <c r="V53" s="364" t="s">
        <v>213</v>
      </c>
    </row>
    <row r="54" customFormat="false" ht="9.75" hidden="false" customHeight="true" outlineLevel="0" collapsed="false">
      <c r="A54" s="215"/>
      <c r="B54" s="955" t="n">
        <f aca="false">(B53/S53)*100</f>
        <v>10.1024181052851</v>
      </c>
      <c r="C54" s="955" t="n">
        <f aca="false">(C53/S53)*100</f>
        <v>2.97189800758149</v>
      </c>
      <c r="D54" s="955" t="n">
        <f aca="false">(D53/S53)*100</f>
        <v>1.72780841073531</v>
      </c>
      <c r="E54" s="955" t="n">
        <f aca="false">(E53/S53)*100</f>
        <v>17.9581165093151</v>
      </c>
      <c r="F54" s="955" t="n">
        <f aca="false">(F53/S53)*100</f>
        <v>1.3035435535781</v>
      </c>
      <c r="G54" s="955" t="n">
        <f aca="false">(G53/S53)*100</f>
        <v>7.5474976238413</v>
      </c>
      <c r="H54" s="955" t="n">
        <f aca="false">(H53/S53)*100</f>
        <v>12.4339196820591</v>
      </c>
      <c r="I54" s="955" t="n">
        <f aca="false">(I53/S53)*100</f>
        <v>0.983034293557688</v>
      </c>
      <c r="J54" s="955" t="n">
        <f aca="false">(J53/S53)*100</f>
        <v>9.092722844583</v>
      </c>
      <c r="K54" s="955" t="n">
        <f aca="false">(K53/S53)*100</f>
        <v>3.72044909510456</v>
      </c>
      <c r="L54" s="955" t="n">
        <f aca="false">(L53/S53)*100</f>
        <v>7.39481915199462</v>
      </c>
      <c r="M54" s="955" t="n">
        <f aca="false">(M53/S53)*100</f>
        <v>4.00927623916843</v>
      </c>
      <c r="N54" s="955" t="n">
        <f aca="false">(N53/S53)*100</f>
        <v>2.8650763992231</v>
      </c>
      <c r="O54" s="955" t="n">
        <f aca="false">(O53/S53)*100</f>
        <v>1.95798142708159</v>
      </c>
      <c r="P54" s="955" t="n">
        <f aca="false">(P53/S53)*100</f>
        <v>10.5034434860814</v>
      </c>
      <c r="Q54" s="955" t="n">
        <f aca="false">(Q53/S53)*100</f>
        <v>94.5720048291899</v>
      </c>
      <c r="R54" s="955" t="n">
        <f aca="false">(R53/S53)*100</f>
        <v>5.42799517081015</v>
      </c>
      <c r="S54" s="955" t="n">
        <f aca="false">(S53/S53)*100</f>
        <v>100</v>
      </c>
      <c r="T54" s="945"/>
      <c r="U54" s="945"/>
      <c r="V54" s="365"/>
    </row>
    <row r="55" s="333" customFormat="true" ht="9.75" hidden="false" customHeight="true" outlineLevel="0" collapsed="false">
      <c r="A55" s="207" t="s">
        <v>226</v>
      </c>
      <c r="B55" s="952" t="n">
        <v>248119</v>
      </c>
      <c r="C55" s="952" t="n">
        <v>74275</v>
      </c>
      <c r="D55" s="952" t="n">
        <v>43964</v>
      </c>
      <c r="E55" s="952" t="n">
        <v>481359</v>
      </c>
      <c r="F55" s="952" t="n">
        <v>32087</v>
      </c>
      <c r="G55" s="952" t="n">
        <v>196403</v>
      </c>
      <c r="H55" s="952" t="n">
        <v>322722</v>
      </c>
      <c r="I55" s="952" t="n">
        <v>25234</v>
      </c>
      <c r="J55" s="952" t="n">
        <v>226025</v>
      </c>
      <c r="K55" s="952" t="n">
        <v>94202</v>
      </c>
      <c r="L55" s="952" t="n">
        <v>190487</v>
      </c>
      <c r="M55" s="952" t="n">
        <v>98957</v>
      </c>
      <c r="N55" s="952" t="n">
        <v>73091</v>
      </c>
      <c r="O55" s="952" t="n">
        <v>52006</v>
      </c>
      <c r="P55" s="952" t="n">
        <v>260961</v>
      </c>
      <c r="Q55" s="953" t="n">
        <f aca="false">SUM(B55:P55)</f>
        <v>2419892</v>
      </c>
      <c r="R55" s="952" t="n">
        <v>122592</v>
      </c>
      <c r="S55" s="952" t="n">
        <f aca="false">Q55+R55</f>
        <v>2542484</v>
      </c>
      <c r="T55" s="952" t="n">
        <v>113610</v>
      </c>
      <c r="U55" s="952" t="n">
        <f aca="false">S55+T55</f>
        <v>2656094</v>
      </c>
      <c r="V55" s="364" t="s">
        <v>226</v>
      </c>
    </row>
    <row r="56" customFormat="false" ht="9.75" hidden="false" customHeight="true" outlineLevel="0" collapsed="false">
      <c r="A56" s="215"/>
      <c r="B56" s="955" t="n">
        <f aca="false">(B55/S55)*100</f>
        <v>9.75892080343475</v>
      </c>
      <c r="C56" s="955" t="n">
        <f aca="false">(C55/S55)*100</f>
        <v>2.9213556506157</v>
      </c>
      <c r="D56" s="955" t="n">
        <f aca="false">(D55/S55)*100</f>
        <v>1.72917509018739</v>
      </c>
      <c r="E56" s="955" t="n">
        <f aca="false">(E55/S55)*100</f>
        <v>18.9326265180037</v>
      </c>
      <c r="F56" s="955" t="n">
        <f aca="false">(F55/S55)*100</f>
        <v>1.26203350738884</v>
      </c>
      <c r="G56" s="955" t="n">
        <f aca="false">(G55/S55)*100</f>
        <v>7.72484703935207</v>
      </c>
      <c r="H56" s="955" t="n">
        <f aca="false">(H55/S55)*100</f>
        <v>12.6931772235341</v>
      </c>
      <c r="I56" s="955" t="n">
        <f aca="false">(I55/S55)*100</f>
        <v>0.992493954730885</v>
      </c>
      <c r="J56" s="955" t="n">
        <f aca="false">(J55/S55)*100</f>
        <v>8.88992811754174</v>
      </c>
      <c r="K56" s="955" t="n">
        <f aca="false">(K55/S55)*100</f>
        <v>3.70511672836486</v>
      </c>
      <c r="L56" s="955" t="n">
        <f aca="false">(L55/S55)*100</f>
        <v>7.49216120927408</v>
      </c>
      <c r="M56" s="955" t="n">
        <f aca="false">(M55/S55)*100</f>
        <v>3.89213855426426</v>
      </c>
      <c r="N56" s="955" t="n">
        <f aca="false">(N55/S55)*100</f>
        <v>2.87478701930868</v>
      </c>
      <c r="O56" s="955" t="n">
        <f aca="false">(O55/S55)*100</f>
        <v>2.04547993222376</v>
      </c>
      <c r="P56" s="955" t="n">
        <f aca="false">(P55/S55)*100</f>
        <v>10.2640173940131</v>
      </c>
      <c r="Q56" s="955" t="n">
        <f aca="false">(Q55/S55)*100</f>
        <v>95.1782587422379</v>
      </c>
      <c r="R56" s="955" t="n">
        <f aca="false">(R55/S55)*100</f>
        <v>4.82174125776209</v>
      </c>
      <c r="S56" s="955" t="n">
        <f aca="false">(S55/S55)*100</f>
        <v>100</v>
      </c>
      <c r="T56" s="945"/>
      <c r="U56" s="945"/>
      <c r="V56" s="365"/>
    </row>
    <row r="57" s="333" customFormat="true" ht="9.75" hidden="false" customHeight="true" outlineLevel="0" collapsed="false">
      <c r="A57" s="506" t="s">
        <v>819</v>
      </c>
      <c r="B57" s="952" t="n">
        <v>265182</v>
      </c>
      <c r="C57" s="952" t="n">
        <v>82457</v>
      </c>
      <c r="D57" s="952" t="n">
        <v>47335</v>
      </c>
      <c r="E57" s="952" t="n">
        <v>525269</v>
      </c>
      <c r="F57" s="952" t="n">
        <v>34318</v>
      </c>
      <c r="G57" s="952" t="n">
        <v>224167</v>
      </c>
      <c r="H57" s="952" t="n">
        <v>360284</v>
      </c>
      <c r="I57" s="952" t="n">
        <v>28449</v>
      </c>
      <c r="J57" s="952" t="n">
        <v>248768</v>
      </c>
      <c r="K57" s="952" t="n">
        <v>101130</v>
      </c>
      <c r="L57" s="952" t="n">
        <v>212498</v>
      </c>
      <c r="M57" s="952" t="n">
        <v>111799</v>
      </c>
      <c r="N57" s="952" t="n">
        <v>81894</v>
      </c>
      <c r="O57" s="952" t="n">
        <v>58774</v>
      </c>
      <c r="P57" s="952" t="n">
        <v>287827</v>
      </c>
      <c r="Q57" s="953" t="n">
        <f aca="false">SUM(B57:P57)</f>
        <v>2670151</v>
      </c>
      <c r="R57" s="952" t="n">
        <v>126227</v>
      </c>
      <c r="S57" s="952" t="n">
        <f aca="false">Q57+R57</f>
        <v>2796378</v>
      </c>
      <c r="T57" s="952" t="n">
        <v>134048</v>
      </c>
      <c r="U57" s="952" t="n">
        <f aca="false">S57+T57</f>
        <v>2930426</v>
      </c>
      <c r="V57" s="364" t="s">
        <v>819</v>
      </c>
    </row>
    <row r="58" customFormat="false" ht="9.75" hidden="false" customHeight="true" outlineLevel="0" collapsed="false">
      <c r="A58" s="369"/>
      <c r="B58" s="957" t="n">
        <f aca="false">(B57/S57)*100</f>
        <v>9.48305272034038</v>
      </c>
      <c r="C58" s="957" t="n">
        <f aca="false">(C57/S57)*100</f>
        <v>2.94870722055459</v>
      </c>
      <c r="D58" s="957" t="n">
        <f aca="false">(D57/S57)*100</f>
        <v>1.69272537546784</v>
      </c>
      <c r="E58" s="957" t="n">
        <f aca="false">(E57/S57)*100</f>
        <v>18.7839054662853</v>
      </c>
      <c r="F58" s="957" t="n">
        <f aca="false">(F57/S57)*100</f>
        <v>1.22723036728225</v>
      </c>
      <c r="G58" s="957" t="n">
        <f aca="false">(G57/S57)*100</f>
        <v>8.01633398632088</v>
      </c>
      <c r="H58" s="957" t="n">
        <f aca="false">(H57/S57)*100</f>
        <v>12.8839520265143</v>
      </c>
      <c r="I58" s="957" t="n">
        <f aca="false">(I57/S57)*100</f>
        <v>1.01735173141828</v>
      </c>
      <c r="J58" s="957" t="n">
        <f aca="false">(J57/S57)*100</f>
        <v>8.89607914237632</v>
      </c>
      <c r="K58" s="957" t="n">
        <f aca="false">(K57/S57)*100</f>
        <v>3.61646386861862</v>
      </c>
      <c r="L58" s="957" t="n">
        <f aca="false">(L57/S57)*100</f>
        <v>7.59904419216572</v>
      </c>
      <c r="M58" s="957" t="n">
        <f aca="false">(M57/S57)*100</f>
        <v>3.99799311824081</v>
      </c>
      <c r="N58" s="957" t="n">
        <f aca="false">(N57/S57)*100</f>
        <v>2.92857403398253</v>
      </c>
      <c r="O58" s="957" t="n">
        <f aca="false">(O57/S57)*100</f>
        <v>2.10179024438041</v>
      </c>
      <c r="P58" s="957" t="n">
        <f aca="false">(P57/S57)*100</f>
        <v>10.2928502512893</v>
      </c>
      <c r="Q58" s="957" t="n">
        <f aca="false">(Q57/S57)*100</f>
        <v>95.4860537452376</v>
      </c>
      <c r="R58" s="957" t="n">
        <f aca="false">(R57/S57)*100</f>
        <v>4.51394625476241</v>
      </c>
      <c r="S58" s="957" t="n">
        <f aca="false">(S57/S57)*100</f>
        <v>100</v>
      </c>
      <c r="T58" s="958"/>
      <c r="U58" s="958"/>
      <c r="V58" s="370"/>
    </row>
    <row r="59" customFormat="false" ht="10.5" hidden="false" customHeight="true" outlineLevel="0" collapsed="false">
      <c r="A59" s="959" t="s">
        <v>820</v>
      </c>
      <c r="B59" s="960" t="s">
        <v>821</v>
      </c>
      <c r="C59" s="960"/>
      <c r="D59" s="960"/>
      <c r="E59" s="960"/>
      <c r="F59" s="960"/>
      <c r="G59" s="960"/>
      <c r="H59" s="960"/>
      <c r="I59" s="960"/>
      <c r="J59" s="960"/>
      <c r="K59" s="960"/>
      <c r="L59" s="961" t="s">
        <v>822</v>
      </c>
      <c r="M59" s="960" t="s">
        <v>823</v>
      </c>
      <c r="N59" s="960"/>
      <c r="O59" s="960"/>
      <c r="P59" s="893"/>
      <c r="Q59" s="962"/>
      <c r="R59" s="962"/>
      <c r="S59" s="893"/>
      <c r="V59" s="893"/>
      <c r="W59" s="950"/>
      <c r="X59" s="950"/>
      <c r="Y59" s="950"/>
      <c r="Z59" s="950"/>
      <c r="AA59" s="950"/>
    </row>
    <row r="60" customFormat="false" ht="11.25" hidden="false" customHeight="true" outlineLevel="0" collapsed="false">
      <c r="B60" s="960" t="s">
        <v>824</v>
      </c>
      <c r="C60" s="960"/>
      <c r="D60" s="960"/>
      <c r="E60" s="963"/>
      <c r="F60" s="963"/>
      <c r="G60" s="962" t="s">
        <v>825</v>
      </c>
      <c r="H60" s="962"/>
      <c r="I60" s="963"/>
      <c r="J60" s="964"/>
      <c r="K60" s="964"/>
      <c r="L60" s="778"/>
      <c r="M60" s="965"/>
      <c r="N60" s="965"/>
      <c r="O60" s="965"/>
      <c r="W60" s="950"/>
      <c r="X60" s="966"/>
      <c r="Y60" s="950"/>
      <c r="Z60" s="950"/>
      <c r="AA60" s="950"/>
    </row>
    <row r="61" customFormat="false" ht="10.5" hidden="false" customHeight="true" outlineLevel="0" collapsed="false">
      <c r="T61" s="952"/>
      <c r="W61" s="950"/>
      <c r="X61" s="966"/>
      <c r="Y61" s="950"/>
      <c r="Z61" s="950"/>
      <c r="AA61" s="950"/>
    </row>
    <row r="62" customFormat="false" ht="10.5" hidden="false" customHeight="true" outlineLevel="0" collapsed="false">
      <c r="S62" s="107"/>
      <c r="W62" s="950"/>
      <c r="X62" s="967"/>
      <c r="Y62" s="950"/>
      <c r="Z62" s="950"/>
      <c r="AA62" s="950"/>
    </row>
    <row r="63" customFormat="false" ht="10.5" hidden="false" customHeight="true" outlineLevel="0" collapsed="false">
      <c r="J63" s="968"/>
      <c r="W63" s="950"/>
      <c r="X63" s="966"/>
      <c r="Y63" s="950"/>
      <c r="Z63" s="950"/>
      <c r="AA63" s="950"/>
    </row>
    <row r="64" customFormat="false" ht="10.5" hidden="false" customHeight="true" outlineLevel="0" collapsed="false">
      <c r="S64" s="969"/>
      <c r="W64" s="950"/>
      <c r="X64" s="950"/>
      <c r="Y64" s="950"/>
      <c r="Z64" s="950"/>
      <c r="AA64" s="950"/>
    </row>
    <row r="65" customFormat="false" ht="12.75" hidden="false" customHeight="false" outlineLevel="0" collapsed="false">
      <c r="W65" s="950"/>
      <c r="X65" s="950"/>
    </row>
    <row r="66" customFormat="false" ht="12.75" hidden="false" customHeight="false" outlineLevel="0" collapsed="false">
      <c r="W66" s="950"/>
      <c r="X66" s="950"/>
    </row>
    <row r="67" customFormat="false" ht="12.75" hidden="false" customHeight="false" outlineLevel="0" collapsed="false">
      <c r="H67" s="970"/>
      <c r="W67" s="950"/>
      <c r="X67" s="950"/>
    </row>
    <row r="68" customFormat="false" ht="12.75" hidden="false" customHeight="false" outlineLevel="0" collapsed="false">
      <c r="H68" s="971"/>
      <c r="W68" s="950"/>
      <c r="X68" s="950"/>
    </row>
    <row r="69" customFormat="false" ht="12.75" hidden="false" customHeight="false" outlineLevel="0" collapsed="false">
      <c r="H69" s="971"/>
      <c r="W69" s="950"/>
      <c r="X69" s="950"/>
    </row>
    <row r="70" customFormat="false" ht="12.75" hidden="false" customHeight="false" outlineLevel="0" collapsed="false">
      <c r="H70" s="971"/>
      <c r="W70" s="950"/>
      <c r="X70" s="950"/>
    </row>
    <row r="71" customFormat="false" ht="12.75" hidden="false" customHeight="false" outlineLevel="0" collapsed="false">
      <c r="H71" s="972"/>
      <c r="W71" s="950"/>
      <c r="X71" s="950"/>
    </row>
    <row r="72" customFormat="false" ht="12.75" hidden="false" customHeight="false" outlineLevel="0" collapsed="false">
      <c r="H72" s="972"/>
      <c r="W72" s="950"/>
      <c r="X72" s="950"/>
    </row>
    <row r="73" customFormat="false" ht="12.75" hidden="false" customHeight="false" outlineLevel="0" collapsed="false">
      <c r="H73" s="973"/>
    </row>
    <row r="74" customFormat="false" ht="12.75" hidden="false" customHeight="false" outlineLevel="0" collapsed="false">
      <c r="H74" s="973"/>
    </row>
    <row r="75" customFormat="false" ht="12.75" hidden="false" customHeight="false" outlineLevel="0" collapsed="false">
      <c r="H75" s="972"/>
    </row>
    <row r="76" customFormat="false" ht="12.75" hidden="false" customHeight="false" outlineLevel="0" collapsed="false">
      <c r="H76" s="972"/>
    </row>
    <row r="77" customFormat="false" ht="12.75" hidden="false" customHeight="false" outlineLevel="0" collapsed="false">
      <c r="H77" s="972"/>
    </row>
    <row r="78" customFormat="false" ht="12.75" hidden="false" customHeight="false" outlineLevel="0" collapsed="false">
      <c r="H78" s="972"/>
    </row>
    <row r="79" customFormat="false" ht="12.75" hidden="false" customHeight="false" outlineLevel="0" collapsed="false">
      <c r="H79" s="972"/>
    </row>
    <row r="80" customFormat="false" ht="12.75" hidden="false" customHeight="false" outlineLevel="0" collapsed="false">
      <c r="H80" s="972"/>
    </row>
    <row r="81" customFormat="false" ht="12.75" hidden="false" customHeight="false" outlineLevel="0" collapsed="false">
      <c r="H81" s="973"/>
    </row>
  </sheetData>
  <mergeCells count="12">
    <mergeCell ref="A1:K1"/>
    <mergeCell ref="L1:T1"/>
    <mergeCell ref="U1:V1"/>
    <mergeCell ref="U2:V2"/>
    <mergeCell ref="A3:A4"/>
    <mergeCell ref="V3:V4"/>
    <mergeCell ref="B59:K59"/>
    <mergeCell ref="M59:O59"/>
    <mergeCell ref="Q59:R59"/>
    <mergeCell ref="B60:D60"/>
    <mergeCell ref="G60:H60"/>
    <mergeCell ref="M60:O60"/>
  </mergeCells>
  <printOptions headings="false" gridLines="false" gridLinesSet="true" horizontalCentered="false" verticalCentered="false"/>
  <pageMargins left="0.629861111111111" right="0.511805555555555" top="0.315277777777778" bottom="0.315277777777778" header="0.511805555555555" footer="0"/>
  <pageSetup paperSize="1" scale="100" firstPageNumber="46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>&amp;C&amp;"Times New Roman,Regular"&amp;8&amp;P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D42"/>
  <sheetViews>
    <sheetView showFormulas="false" showGridLines="true" showRowColHeaders="true" showZeros="true" rightToLeft="false" tabSelected="false" showOutlineSymbols="true" defaultGridColor="true" view="normal" topLeftCell="A13" colorId="64" zoomScale="124" zoomScaleNormal="124" zoomScalePageLayoutView="100" workbookViewId="0">
      <selection pane="topLeft" activeCell="C36" activeCellId="0" sqref="C36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5.14"/>
    <col collapsed="false" customWidth="true" hidden="false" outlineLevel="0" max="3" min="3" style="0" width="112.71"/>
    <col collapsed="false" customWidth="true" hidden="false" outlineLevel="0" max="4" min="4" style="0" width="48.86"/>
  </cols>
  <sheetData>
    <row r="2" customFormat="false" ht="18.75" hidden="false" customHeight="false" outlineLevel="0" collapsed="false">
      <c r="B2" s="99" t="s">
        <v>25</v>
      </c>
      <c r="C2" s="99"/>
      <c r="D2" s="99"/>
    </row>
    <row r="3" customFormat="false" ht="12.75" hidden="false" customHeight="false" outlineLevel="0" collapsed="false">
      <c r="B3" s="100" t="s">
        <v>26</v>
      </c>
      <c r="C3" s="101" t="s">
        <v>27</v>
      </c>
      <c r="D3" s="102"/>
    </row>
    <row r="4" customFormat="false" ht="12.75" hidden="false" customHeight="false" outlineLevel="0" collapsed="false">
      <c r="B4" s="100" t="s">
        <v>28</v>
      </c>
      <c r="C4" s="101" t="s">
        <v>29</v>
      </c>
      <c r="D4" s="102"/>
    </row>
    <row r="5" customFormat="false" ht="12.75" hidden="false" customHeight="false" outlineLevel="0" collapsed="false">
      <c r="B5" s="100" t="s">
        <v>30</v>
      </c>
      <c r="C5" s="101" t="s">
        <v>31</v>
      </c>
      <c r="D5" s="102"/>
    </row>
    <row r="6" customFormat="false" ht="12.75" hidden="false" customHeight="false" outlineLevel="0" collapsed="false">
      <c r="B6" s="100" t="s">
        <v>32</v>
      </c>
      <c r="C6" s="101" t="s">
        <v>33</v>
      </c>
      <c r="D6" s="102"/>
    </row>
    <row r="7" customFormat="false" ht="12.75" hidden="false" customHeight="false" outlineLevel="0" collapsed="false">
      <c r="B7" s="100" t="s">
        <v>34</v>
      </c>
      <c r="C7" s="101" t="s">
        <v>35</v>
      </c>
      <c r="D7" s="102"/>
    </row>
    <row r="8" customFormat="false" ht="12.75" hidden="false" customHeight="false" outlineLevel="0" collapsed="false">
      <c r="B8" s="100" t="s">
        <v>36</v>
      </c>
      <c r="C8" s="101" t="s">
        <v>37</v>
      </c>
      <c r="D8" s="102"/>
    </row>
    <row r="9" customFormat="false" ht="12.75" hidden="false" customHeight="false" outlineLevel="0" collapsed="false">
      <c r="B9" s="100" t="s">
        <v>38</v>
      </c>
      <c r="C9" s="101" t="s">
        <v>39</v>
      </c>
      <c r="D9" s="102"/>
    </row>
    <row r="10" s="103" customFormat="true" ht="12.75" hidden="false" customHeight="false" outlineLevel="0" collapsed="false">
      <c r="B10" s="104" t="s">
        <v>40</v>
      </c>
      <c r="C10" s="101" t="s">
        <v>41</v>
      </c>
      <c r="D10" s="102"/>
    </row>
    <row r="11" s="103" customFormat="true" ht="12.75" hidden="false" customHeight="false" outlineLevel="0" collapsed="false">
      <c r="B11" s="104" t="s">
        <v>42</v>
      </c>
      <c r="C11" s="101" t="s">
        <v>43</v>
      </c>
      <c r="D11" s="102"/>
    </row>
    <row r="12" s="103" customFormat="true" ht="12.75" hidden="false" customHeight="false" outlineLevel="0" collapsed="false">
      <c r="B12" s="104" t="s">
        <v>44</v>
      </c>
      <c r="C12" s="101" t="s">
        <v>45</v>
      </c>
      <c r="D12" s="102"/>
    </row>
    <row r="13" s="103" customFormat="true" ht="12.75" hidden="false" customHeight="false" outlineLevel="0" collapsed="false">
      <c r="B13" s="104" t="s">
        <v>46</v>
      </c>
      <c r="C13" s="101" t="s">
        <v>47</v>
      </c>
      <c r="D13" s="105"/>
    </row>
    <row r="14" s="103" customFormat="true" ht="12.75" hidden="false" customHeight="false" outlineLevel="0" collapsed="false">
      <c r="B14" s="104" t="s">
        <v>48</v>
      </c>
      <c r="C14" s="101" t="s">
        <v>49</v>
      </c>
      <c r="D14" s="102"/>
    </row>
    <row r="15" s="103" customFormat="true" ht="12.75" hidden="false" customHeight="false" outlineLevel="0" collapsed="false">
      <c r="B15" s="104" t="s">
        <v>50</v>
      </c>
      <c r="C15" s="101" t="s">
        <v>51</v>
      </c>
      <c r="D15" s="102"/>
    </row>
    <row r="16" s="103" customFormat="true" ht="12.75" hidden="false" customHeight="false" outlineLevel="0" collapsed="false">
      <c r="B16" s="104" t="s">
        <v>52</v>
      </c>
      <c r="C16" s="101" t="s">
        <v>53</v>
      </c>
      <c r="D16" s="102"/>
    </row>
    <row r="17" s="103" customFormat="true" ht="12.75" hidden="false" customHeight="false" outlineLevel="0" collapsed="false">
      <c r="B17" s="104" t="s">
        <v>54</v>
      </c>
      <c r="C17" s="101" t="s">
        <v>55</v>
      </c>
      <c r="D17" s="102"/>
    </row>
    <row r="18" s="103" customFormat="true" ht="12.75" hidden="false" customHeight="false" outlineLevel="0" collapsed="false">
      <c r="B18" s="104" t="s">
        <v>56</v>
      </c>
      <c r="C18" s="101" t="s">
        <v>57</v>
      </c>
      <c r="D18" s="102"/>
    </row>
    <row r="19" s="103" customFormat="true" ht="12.75" hidden="false" customHeight="false" outlineLevel="0" collapsed="false">
      <c r="B19" s="104" t="s">
        <v>58</v>
      </c>
      <c r="C19" s="101" t="s">
        <v>59</v>
      </c>
      <c r="D19" s="102"/>
    </row>
    <row r="20" s="103" customFormat="true" ht="12.75" hidden="false" customHeight="false" outlineLevel="0" collapsed="false">
      <c r="B20" s="104" t="s">
        <v>60</v>
      </c>
      <c r="C20" s="101" t="s">
        <v>61</v>
      </c>
      <c r="D20" s="102"/>
    </row>
    <row r="21" s="103" customFormat="true" ht="12.75" hidden="false" customHeight="false" outlineLevel="0" collapsed="false">
      <c r="B21" s="104" t="s">
        <v>62</v>
      </c>
      <c r="C21" s="101" t="s">
        <v>63</v>
      </c>
      <c r="D21" s="102"/>
    </row>
    <row r="22" s="103" customFormat="true" ht="12.75" hidden="false" customHeight="false" outlineLevel="0" collapsed="false">
      <c r="B22" s="104" t="s">
        <v>64</v>
      </c>
      <c r="C22" s="101" t="s">
        <v>65</v>
      </c>
      <c r="D22" s="102"/>
    </row>
    <row r="23" s="103" customFormat="true" ht="12.75" hidden="false" customHeight="true" outlineLevel="0" collapsed="false">
      <c r="B23" s="104" t="s">
        <v>66</v>
      </c>
      <c r="C23" s="101" t="s">
        <v>67</v>
      </c>
      <c r="D23" s="102"/>
    </row>
    <row r="24" s="103" customFormat="true" ht="12.75" hidden="false" customHeight="false" outlineLevel="0" collapsed="false">
      <c r="B24" s="104" t="s">
        <v>68</v>
      </c>
      <c r="C24" s="101" t="s">
        <v>69</v>
      </c>
      <c r="D24" s="102"/>
    </row>
    <row r="25" s="103" customFormat="true" ht="12.75" hidden="false" customHeight="false" outlineLevel="0" collapsed="false">
      <c r="B25" s="104" t="s">
        <v>70</v>
      </c>
      <c r="C25" s="101" t="s">
        <v>71</v>
      </c>
      <c r="D25" s="102"/>
    </row>
    <row r="26" s="103" customFormat="true" ht="12.75" hidden="false" customHeight="false" outlineLevel="0" collapsed="false">
      <c r="B26" s="104" t="s">
        <v>72</v>
      </c>
      <c r="C26" s="101" t="s">
        <v>73</v>
      </c>
      <c r="D26" s="102"/>
    </row>
    <row r="27" s="103" customFormat="true" ht="12.75" hidden="false" customHeight="false" outlineLevel="0" collapsed="false">
      <c r="B27" s="104" t="s">
        <v>74</v>
      </c>
      <c r="C27" s="101" t="s">
        <v>75</v>
      </c>
      <c r="D27" s="102"/>
    </row>
    <row r="28" s="103" customFormat="true" ht="12.75" hidden="false" customHeight="false" outlineLevel="0" collapsed="false">
      <c r="B28" s="104" t="s">
        <v>76</v>
      </c>
      <c r="C28" s="101" t="s">
        <v>77</v>
      </c>
      <c r="D28" s="102"/>
    </row>
    <row r="29" s="103" customFormat="true" ht="12.75" hidden="false" customHeight="false" outlineLevel="0" collapsed="false">
      <c r="B29" s="104" t="s">
        <v>78</v>
      </c>
      <c r="C29" s="101" t="s">
        <v>79</v>
      </c>
      <c r="D29" s="102"/>
    </row>
    <row r="30" s="103" customFormat="true" ht="12.75" hidden="false" customHeight="false" outlineLevel="0" collapsed="false">
      <c r="B30" s="104" t="s">
        <v>80</v>
      </c>
      <c r="C30" s="101" t="s">
        <v>81</v>
      </c>
      <c r="D30" s="102"/>
    </row>
    <row r="31" s="103" customFormat="true" ht="12.75" hidden="false" customHeight="false" outlineLevel="0" collapsed="false">
      <c r="B31" s="104" t="s">
        <v>82</v>
      </c>
      <c r="C31" s="101" t="s">
        <v>83</v>
      </c>
      <c r="D31" s="102"/>
    </row>
    <row r="32" s="103" customFormat="true" ht="12.75" hidden="false" customHeight="false" outlineLevel="0" collapsed="false">
      <c r="B32" s="104" t="s">
        <v>84</v>
      </c>
      <c r="C32" s="101" t="s">
        <v>85</v>
      </c>
      <c r="D32" s="102"/>
    </row>
    <row r="33" s="103" customFormat="true" ht="12.75" hidden="false" customHeight="false" outlineLevel="0" collapsed="false">
      <c r="B33" s="104" t="s">
        <v>86</v>
      </c>
      <c r="C33" s="101" t="s">
        <v>87</v>
      </c>
      <c r="D33" s="102"/>
    </row>
    <row r="34" s="103" customFormat="true" ht="12.75" hidden="false" customHeight="false" outlineLevel="0" collapsed="false">
      <c r="B34" s="104" t="s">
        <v>88</v>
      </c>
      <c r="C34" s="101" t="s">
        <v>89</v>
      </c>
      <c r="D34" s="102"/>
    </row>
    <row r="35" s="103" customFormat="true" ht="12.75" hidden="false" customHeight="false" outlineLevel="0" collapsed="false">
      <c r="B35" s="104" t="s">
        <v>90</v>
      </c>
      <c r="C35" s="101" t="s">
        <v>91</v>
      </c>
      <c r="D35" s="102"/>
    </row>
    <row r="36" s="103" customFormat="true" ht="12.75" hidden="false" customHeight="false" outlineLevel="0" collapsed="false">
      <c r="B36" s="104" t="s">
        <v>92</v>
      </c>
      <c r="C36" s="101" t="s">
        <v>93</v>
      </c>
      <c r="D36" s="102"/>
    </row>
    <row r="37" s="103" customFormat="true" ht="12" hidden="false" customHeight="true" outlineLevel="0" collapsed="false">
      <c r="B37" s="104" t="s">
        <v>94</v>
      </c>
      <c r="C37" s="101" t="s">
        <v>95</v>
      </c>
      <c r="D37" s="106"/>
    </row>
    <row r="38" customFormat="false" ht="12.75" hidden="false" customHeight="false" outlineLevel="0" collapsed="false">
      <c r="B38" s="104" t="s">
        <v>96</v>
      </c>
      <c r="C38" s="101" t="s">
        <v>97</v>
      </c>
    </row>
    <row r="39" customFormat="false" ht="12.75" hidden="false" customHeight="false" outlineLevel="0" collapsed="false">
      <c r="B39" s="104" t="s">
        <v>98</v>
      </c>
      <c r="C39" s="101" t="s">
        <v>99</v>
      </c>
    </row>
    <row r="40" customFormat="false" ht="12.75" hidden="false" customHeight="false" outlineLevel="0" collapsed="false">
      <c r="B40" s="104" t="s">
        <v>100</v>
      </c>
      <c r="C40" s="101" t="s">
        <v>101</v>
      </c>
    </row>
    <row r="42" customFormat="false" ht="12.75" hidden="false" customHeight="false" outlineLevel="0" collapsed="false">
      <c r="C42" s="101" t="s">
        <v>102</v>
      </c>
    </row>
  </sheetData>
  <hyperlinks>
    <hyperlink ref="C3" location="'Table IA'!A1" display="Selected Economic Indicators (Money &amp; Banking)"/>
    <hyperlink ref="C4" location="'Table IB'!A1" display="Selected Economic Indicators ( Inflation, Production Index, Foreign Trade, Forex Reserves &amp; Exchange Rate) "/>
    <hyperlink ref="C5" location="TableIIA!A1" display="Monetary Survey (M2)"/>
    <hyperlink ref="C6" location="TableIIB!A1" display="Claims on Resident Sector by the Banking System"/>
    <hyperlink ref="C7" location="'TableIIC '!A1" display="Reserve Money &amp; its Components"/>
    <hyperlink ref="C8" location="'Table IID'!A1" display="Reserve Money &amp; its Sources"/>
    <hyperlink ref="C9" location="'Table IIE'!A1" display="Monetary Survey (M3)  "/>
    <hyperlink ref="C10" location="'Table IIF'!A1" display="Claims on Resident Sectors by Depository Corporations "/>
    <hyperlink ref="C11" location="'Table IIG'!A1" display="E-Banking &amp; E-Commerce Statistics"/>
    <hyperlink ref="C12" location="'Table III A'!A1" display="Balance of  Payments"/>
    <hyperlink ref="C13" location="'Table IIIB'!A1" display="Foreign Direct Investment (FDI) Inflows &amp; Stocks by Components in Bangladesh"/>
    <hyperlink ref="C14" location="'Table IV'!A1" display="Foreign Trade"/>
    <hyperlink ref="C15" location="'Table V'!A1" display="Production of Major Agricultural Commodities "/>
    <hyperlink ref="C16" location="'Table VI'!A1" display="Production of Major Industrial Commodities (Other than Jute Goods) "/>
    <hyperlink ref="C17" location="'Table VII'!A1" display="Consumer Price Index &amp; Inflation Rate in Bangladesh"/>
    <hyperlink ref="C18" location="'Table VIII'!A1" display="Average Prices of Selected Commodities"/>
    <hyperlink ref="C19" location="TableIXA!A1" display="Gross Domestic Product of Bangladesh at Current Market Price"/>
    <hyperlink ref="C20" location="TableIXB!A1" display="Gross Domestic Product of Bangladesh at Constant Market Price "/>
    <hyperlink ref="C21" location="TableIXC!A1" display="Key Indicators of National Accounts"/>
    <hyperlink ref="C22" location="TableX!A1" display="Index Number of  Ordinary Share Prices, Turn Over, Issued Capital &amp; Total Number of Companies Listed with the Dhaka Stock Exchange Ltd."/>
    <hyperlink ref="C23" location="TableXI!A1" display="Market Capitalisation (Value) of Ordinary Shares of Companies Listed with the Dhaka Stock Exchange Ltd."/>
    <hyperlink ref="C24" location="'Table XIIA'!A1" display="Interest Rate Structure of Government Securities/Bonds and Savings Instruments "/>
    <hyperlink ref="C25" location="'Table XIIB'!A1" display="Bank Rate &amp; Interest Rate Structure of Post Office Savings Bank, House Building Finance Corporation &amp; National Savings Certificates"/>
    <hyperlink ref="C26" location="TableXIII!A1" display="Bank-wise Announced Interest Rate Structure in Bangladesh (Except Islamic Banks), June 2020"/>
    <hyperlink ref="C27" location="'Table XIV'!A1" display="Profit Rate Structure of  the Islamic Banks, 2018"/>
    <hyperlink ref="C28" location="TableXV!A1" display="Rate of Interest on Non-resident Foreign Currency Deposit (NFCD) Accounts "/>
    <hyperlink ref="C29" location="TableXVI!A1" display="Monthly Average Call Money Market Rates"/>
    <hyperlink ref="C30" location="'Table XVII'!A1" display="Some Indicators of Income, Expenditure &amp; Profitability of the Banking Sector"/>
    <hyperlink ref="C31" location="'Table XVIII'!A1" display="Number of Persons Left for Abroad on Employment &amp; Total Workers’ Remittances"/>
    <hyperlink ref="C32" location="TableXIX!A1" display="Country-wise Workers’ Remittances"/>
    <hyperlink ref="C33" location="TableXX!A1" display="Exchange Rates (Taka Per Currencies)"/>
    <hyperlink ref="C34" location="TableXXI!A1" display="Appreciation/Depreciation of Some Selected Currencies Against U.S. Dollar"/>
    <hyperlink ref="C35" location="'Table XXII'!A1" display="Some Selected Commodity Prices at International Markets"/>
    <hyperlink ref="C36" location="'Table XXIII'!A1" display="Selected Tax Revenue Receipts of the Government Under NBR &amp; Others"/>
    <hyperlink ref="C37" location="'Table XXIV'!A1" display="Central Bank Survey"/>
    <hyperlink ref="C38" location="'Table XXV'!A1" display="Depository Corporations Survey"/>
    <hyperlink ref="C39" location="'Table XXVI'!A1" display="Important Economic Indicators of Bangladesh with SAARC Countries"/>
    <hyperlink ref="C40" location="'Table XXVII'!A1" display="Important Economic Indicators of SAARC Countries "/>
    <hyperlink ref="C42" location="'Appendix- Weights &amp; Measures'!A1" display="Appendix : Weights &amp; Measures"/>
  </hyperlinks>
  <printOptions headings="false" gridLines="false" gridLinesSet="true" horizontalCentered="false" verticalCentered="false"/>
  <pageMargins left="0.196527777777778" right="0.196527777777778" top="0.157638888888889" bottom="0.157638888888889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60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pane xSplit="0" ySplit="4" topLeftCell="A53" activePane="bottomLeft" state="frozen"/>
      <selection pane="topLeft" activeCell="A1" activeCellId="0" sqref="A1"/>
      <selection pane="bottomLeft" activeCell="W57" activeCellId="0" sqref="W57"/>
    </sheetView>
  </sheetViews>
  <sheetFormatPr defaultColWidth="9.15625" defaultRowHeight="11.25" zeroHeight="false" outlineLevelRow="0" outlineLevelCol="0"/>
  <cols>
    <col collapsed="false" customWidth="true" hidden="false" outlineLevel="0" max="1" min="1" style="107" width="8.29"/>
    <col collapsed="false" customWidth="true" hidden="false" outlineLevel="0" max="2" min="2" style="107" width="6.57"/>
    <col collapsed="false" customWidth="true" hidden="false" outlineLevel="0" max="3" min="3" style="107" width="6.71"/>
    <col collapsed="false" customWidth="true" hidden="false" outlineLevel="0" max="4" min="4" style="107" width="7.15"/>
    <col collapsed="false" customWidth="true" hidden="false" outlineLevel="0" max="5" min="5" style="107" width="7.29"/>
    <col collapsed="false" customWidth="true" hidden="false" outlineLevel="0" max="6" min="6" style="107" width="6.71"/>
    <col collapsed="false" customWidth="true" hidden="false" outlineLevel="0" max="7" min="7" style="107" width="7"/>
    <col collapsed="false" customWidth="true" hidden="false" outlineLevel="0" max="9" min="8" style="107" width="6.71"/>
    <col collapsed="false" customWidth="true" hidden="false" outlineLevel="0" max="10" min="10" style="107" width="8.14"/>
    <col collapsed="false" customWidth="true" hidden="false" outlineLevel="0" max="11" min="11" style="107" width="6.28"/>
    <col collapsed="false" customWidth="true" hidden="false" outlineLevel="0" max="12" min="12" style="107" width="7.71"/>
    <col collapsed="false" customWidth="true" hidden="false" outlineLevel="0" max="13" min="13" style="107" width="6.86"/>
    <col collapsed="false" customWidth="true" hidden="false" outlineLevel="0" max="14" min="14" style="107" width="6.42"/>
    <col collapsed="false" customWidth="true" hidden="false" outlineLevel="0" max="15" min="15" style="107" width="6.57"/>
    <col collapsed="false" customWidth="true" hidden="false" outlineLevel="0" max="16" min="16" style="107" width="7.29"/>
    <col collapsed="false" customWidth="true" hidden="false" outlineLevel="0" max="17" min="17" style="107" width="7"/>
    <col collapsed="false" customWidth="true" hidden="false" outlineLevel="0" max="18" min="18" style="107" width="6.71"/>
    <col collapsed="false" customWidth="true" hidden="false" outlineLevel="0" max="19" min="19" style="107" width="7.71"/>
    <col collapsed="false" customWidth="true" hidden="false" outlineLevel="0" max="20" min="20" style="107" width="7.15"/>
    <col collapsed="false" customWidth="true" hidden="false" outlineLevel="0" max="21" min="21" style="107" width="7.42"/>
    <col collapsed="false" customWidth="true" hidden="false" outlineLevel="0" max="22" min="22" style="107" width="8.42"/>
    <col collapsed="false" customWidth="false" hidden="false" outlineLevel="0" max="1024" min="23" style="107" width="9.14"/>
  </cols>
  <sheetData>
    <row r="1" s="829" customFormat="true" ht="15.75" hidden="false" customHeight="true" outlineLevel="0" collapsed="false">
      <c r="A1" s="827" t="s">
        <v>749</v>
      </c>
      <c r="B1" s="827"/>
      <c r="C1" s="827"/>
      <c r="D1" s="827"/>
      <c r="E1" s="827"/>
      <c r="F1" s="827"/>
      <c r="G1" s="827"/>
      <c r="H1" s="827"/>
      <c r="I1" s="827"/>
      <c r="J1" s="827"/>
      <c r="K1" s="827"/>
      <c r="L1" s="828" t="s">
        <v>826</v>
      </c>
      <c r="M1" s="828"/>
      <c r="N1" s="828"/>
      <c r="O1" s="828"/>
      <c r="P1" s="828"/>
      <c r="Q1" s="828"/>
      <c r="R1" s="828"/>
      <c r="S1" s="828"/>
      <c r="T1" s="828"/>
      <c r="U1" s="827" t="s">
        <v>827</v>
      </c>
      <c r="V1" s="827"/>
      <c r="W1" s="871"/>
    </row>
    <row r="2" s="975" customFormat="true" ht="11.25" hidden="false" customHeight="true" outlineLevel="0" collapsed="false">
      <c r="A2" s="974"/>
      <c r="B2" s="974"/>
      <c r="E2" s="974"/>
      <c r="F2" s="974"/>
      <c r="G2" s="974"/>
      <c r="H2" s="974"/>
      <c r="I2" s="974"/>
      <c r="J2" s="976" t="s">
        <v>828</v>
      </c>
      <c r="K2" s="976"/>
      <c r="L2" s="977" t="s">
        <v>829</v>
      </c>
      <c r="U2" s="976" t="s">
        <v>110</v>
      </c>
      <c r="V2" s="976"/>
    </row>
    <row r="3" s="978" customFormat="true" ht="70.5" hidden="false" customHeight="true" outlineLevel="0" collapsed="false">
      <c r="A3" s="834" t="s">
        <v>260</v>
      </c>
      <c r="B3" s="749" t="s">
        <v>752</v>
      </c>
      <c r="C3" s="749" t="s">
        <v>753</v>
      </c>
      <c r="D3" s="749" t="s">
        <v>754</v>
      </c>
      <c r="E3" s="749" t="s">
        <v>755</v>
      </c>
      <c r="F3" s="749" t="s">
        <v>830</v>
      </c>
      <c r="G3" s="749" t="s">
        <v>757</v>
      </c>
      <c r="H3" s="749" t="s">
        <v>831</v>
      </c>
      <c r="I3" s="749" t="s">
        <v>759</v>
      </c>
      <c r="J3" s="749" t="s">
        <v>760</v>
      </c>
      <c r="K3" s="749" t="s">
        <v>761</v>
      </c>
      <c r="L3" s="749" t="s">
        <v>762</v>
      </c>
      <c r="M3" s="749" t="s">
        <v>763</v>
      </c>
      <c r="N3" s="749" t="s">
        <v>764</v>
      </c>
      <c r="O3" s="749" t="s">
        <v>765</v>
      </c>
      <c r="P3" s="749" t="s">
        <v>766</v>
      </c>
      <c r="Q3" s="749" t="s">
        <v>832</v>
      </c>
      <c r="R3" s="749" t="s">
        <v>768</v>
      </c>
      <c r="S3" s="749" t="s">
        <v>833</v>
      </c>
      <c r="T3" s="749" t="s">
        <v>770</v>
      </c>
      <c r="U3" s="751" t="s">
        <v>771</v>
      </c>
      <c r="V3" s="834" t="s">
        <v>260</v>
      </c>
    </row>
    <row r="4" s="980" customFormat="true" ht="9.75" hidden="false" customHeight="true" outlineLevel="0" collapsed="false">
      <c r="A4" s="834"/>
      <c r="B4" s="979" t="n">
        <v>1</v>
      </c>
      <c r="C4" s="979" t="n">
        <v>2</v>
      </c>
      <c r="D4" s="979" t="n">
        <v>3</v>
      </c>
      <c r="E4" s="979" t="n">
        <v>4</v>
      </c>
      <c r="F4" s="979" t="n">
        <v>5</v>
      </c>
      <c r="G4" s="979" t="n">
        <v>6</v>
      </c>
      <c r="H4" s="979" t="n">
        <v>7</v>
      </c>
      <c r="I4" s="979" t="n">
        <v>8</v>
      </c>
      <c r="J4" s="979" t="n">
        <v>9</v>
      </c>
      <c r="K4" s="979" t="n">
        <v>10</v>
      </c>
      <c r="L4" s="979" t="n">
        <v>11</v>
      </c>
      <c r="M4" s="979" t="n">
        <v>12</v>
      </c>
      <c r="N4" s="979" t="n">
        <v>13</v>
      </c>
      <c r="O4" s="979" t="n">
        <v>14</v>
      </c>
      <c r="P4" s="979" t="n">
        <v>15</v>
      </c>
      <c r="Q4" s="979" t="n">
        <v>16</v>
      </c>
      <c r="R4" s="979" t="n">
        <v>17</v>
      </c>
      <c r="S4" s="979" t="n">
        <v>18</v>
      </c>
      <c r="T4" s="979" t="n">
        <v>19</v>
      </c>
      <c r="U4" s="979" t="n">
        <v>20</v>
      </c>
      <c r="V4" s="834"/>
    </row>
    <row r="5" customFormat="false" ht="9.2" hidden="false" customHeight="true" outlineLevel="0" collapsed="false">
      <c r="A5" s="981" t="s">
        <v>653</v>
      </c>
      <c r="B5" s="280" t="n">
        <v>40551</v>
      </c>
      <c r="C5" s="280" t="n">
        <v>11458</v>
      </c>
      <c r="D5" s="280" t="n">
        <v>2225</v>
      </c>
      <c r="E5" s="280" t="n">
        <v>32398</v>
      </c>
      <c r="F5" s="280" t="n">
        <v>3035</v>
      </c>
      <c r="G5" s="280" t="n">
        <v>16796</v>
      </c>
      <c r="H5" s="280" t="n">
        <v>28021</v>
      </c>
      <c r="I5" s="280" t="n">
        <v>1335</v>
      </c>
      <c r="J5" s="280" t="n">
        <v>19580</v>
      </c>
      <c r="K5" s="280" t="n">
        <v>3270</v>
      </c>
      <c r="L5" s="280" t="n">
        <v>18096</v>
      </c>
      <c r="M5" s="280" t="n">
        <v>5321</v>
      </c>
      <c r="N5" s="280" t="n">
        <v>4651</v>
      </c>
      <c r="O5" s="280" t="n">
        <v>4548</v>
      </c>
      <c r="P5" s="280" t="n">
        <v>16538</v>
      </c>
      <c r="Q5" s="280" t="n">
        <f aca="false">SUM(B5:P5)</f>
        <v>207823</v>
      </c>
      <c r="R5" s="280" t="n">
        <v>7913</v>
      </c>
      <c r="S5" s="280" t="n">
        <f aca="false">Q5+R5</f>
        <v>215736</v>
      </c>
      <c r="T5" s="280" t="n">
        <v>7523</v>
      </c>
      <c r="U5" s="280" t="n">
        <f aca="false">S5+T5</f>
        <v>223259</v>
      </c>
      <c r="V5" s="285" t="s">
        <v>653</v>
      </c>
    </row>
    <row r="6" customFormat="false" ht="9.2" hidden="false" customHeight="true" outlineLevel="0" collapsed="false">
      <c r="A6" s="305"/>
      <c r="B6" s="955" t="n">
        <f aca="false">(B5/$S5)*100</f>
        <v>18.7965847146512</v>
      </c>
      <c r="C6" s="955" t="n">
        <f aca="false">(C5/$S5)*100</f>
        <v>5.31112099974042</v>
      </c>
      <c r="D6" s="955" t="n">
        <f aca="false">(D5/$S5)*100</f>
        <v>1.03135313531353</v>
      </c>
      <c r="E6" s="955" t="n">
        <f aca="false">(E5/$S5)*100</f>
        <v>15.0174287091631</v>
      </c>
      <c r="F6" s="955" t="n">
        <f aca="false">(F5/$S5)*100</f>
        <v>1.40681202951756</v>
      </c>
      <c r="G6" s="955" t="n">
        <f aca="false">(G5/$S5)*100</f>
        <v>7.78544146549486</v>
      </c>
      <c r="H6" s="955" t="n">
        <f aca="false">(H5/$S5)*100</f>
        <v>12.9885600919643</v>
      </c>
      <c r="I6" s="955" t="n">
        <f aca="false">(I5/$S5)*100</f>
        <v>0.618811881188119</v>
      </c>
      <c r="J6" s="955" t="n">
        <f aca="false">(J5/$S5)*100</f>
        <v>9.07590759075908</v>
      </c>
      <c r="K6" s="955" t="n">
        <f aca="false">(K5/$S5)*100</f>
        <v>1.51574146178663</v>
      </c>
      <c r="L6" s="955" t="n">
        <f aca="false">(L5/$S5)*100</f>
        <v>8.38802981421738</v>
      </c>
      <c r="M6" s="955" t="n">
        <f aca="false">(M5/$S5)*100</f>
        <v>2.46644046427115</v>
      </c>
      <c r="N6" s="955" t="n">
        <f aca="false">(N5/$S5)*100</f>
        <v>2.15587569992954</v>
      </c>
      <c r="O6" s="955" t="n">
        <f aca="false">(O5/$S5)*100</f>
        <v>2.10813216153076</v>
      </c>
      <c r="P6" s="955" t="n">
        <f aca="false">(P5/$S5)*100</f>
        <v>7.6658508547484</v>
      </c>
      <c r="Q6" s="955" t="n">
        <f aca="false">(Q5/$S5)*100</f>
        <v>96.332091074276</v>
      </c>
      <c r="R6" s="955" t="n">
        <f aca="false">(R5/$S5)*100</f>
        <v>3.66790892572403</v>
      </c>
      <c r="S6" s="955" t="n">
        <f aca="false">(S5/$S5)*100</f>
        <v>100</v>
      </c>
      <c r="T6" s="288"/>
      <c r="U6" s="288"/>
      <c r="V6" s="290"/>
    </row>
    <row r="7" customFormat="false" ht="9.2" hidden="false" customHeight="true" outlineLevel="0" collapsed="false">
      <c r="A7" s="981" t="s">
        <v>654</v>
      </c>
      <c r="B7" s="280" t="n">
        <v>40300</v>
      </c>
      <c r="C7" s="280" t="n">
        <v>11713</v>
      </c>
      <c r="D7" s="280" t="n">
        <v>2326</v>
      </c>
      <c r="E7" s="280" t="n">
        <v>34174</v>
      </c>
      <c r="F7" s="280" t="n">
        <v>3267</v>
      </c>
      <c r="G7" s="280" t="n">
        <v>18243</v>
      </c>
      <c r="H7" s="280" t="n">
        <v>29868</v>
      </c>
      <c r="I7" s="280" t="n">
        <v>1427</v>
      </c>
      <c r="J7" s="280" t="n">
        <v>20863</v>
      </c>
      <c r="K7" s="280" t="n">
        <v>3489</v>
      </c>
      <c r="L7" s="280" t="n">
        <v>18715</v>
      </c>
      <c r="M7" s="280" t="n">
        <v>5636</v>
      </c>
      <c r="N7" s="280" t="n">
        <v>5004</v>
      </c>
      <c r="O7" s="280" t="n">
        <v>4789</v>
      </c>
      <c r="P7" s="280" t="n">
        <v>17073</v>
      </c>
      <c r="Q7" s="280" t="n">
        <f aca="false">SUM(B7:P7)</f>
        <v>216887</v>
      </c>
      <c r="R7" s="280" t="n">
        <v>8374</v>
      </c>
      <c r="S7" s="280" t="n">
        <f aca="false">Q7+R7</f>
        <v>225261</v>
      </c>
      <c r="T7" s="280" t="n">
        <v>10342</v>
      </c>
      <c r="U7" s="280" t="n">
        <f aca="false">S7+T7</f>
        <v>235603</v>
      </c>
      <c r="V7" s="285" t="s">
        <v>654</v>
      </c>
    </row>
    <row r="8" customFormat="false" ht="9.2" hidden="false" customHeight="true" outlineLevel="0" collapsed="false">
      <c r="A8" s="305"/>
      <c r="B8" s="955" t="n">
        <f aca="false">(B7/$S7)*100</f>
        <v>17.8903582954883</v>
      </c>
      <c r="C8" s="955" t="n">
        <f aca="false">(C7/$S7)*100</f>
        <v>5.19974607233387</v>
      </c>
      <c r="D8" s="955" t="n">
        <f aca="false">(D7/$S7)*100</f>
        <v>1.03257998499518</v>
      </c>
      <c r="E8" s="955" t="n">
        <f aca="false">(E7/$S7)*100</f>
        <v>15.1708462627796</v>
      </c>
      <c r="F8" s="955" t="n">
        <f aca="false">(F7/$S7)*100</f>
        <v>1.45031763154741</v>
      </c>
      <c r="G8" s="955" t="n">
        <f aca="false">(G7/$S7)*100</f>
        <v>8.09860561748372</v>
      </c>
      <c r="H8" s="955" t="n">
        <f aca="false">(H7/$S7)*100</f>
        <v>13.2592858950284</v>
      </c>
      <c r="I8" s="955" t="n">
        <f aca="false">(I7/$S7)*100</f>
        <v>0.633487376865059</v>
      </c>
      <c r="J8" s="955" t="n">
        <f aca="false">(J7/$S7)*100</f>
        <v>9.26170087143358</v>
      </c>
      <c r="K8" s="955" t="n">
        <f aca="false">(K7/$S7)*100</f>
        <v>1.54886997749278</v>
      </c>
      <c r="L8" s="955" t="n">
        <f aca="false">(L7/$S7)*100</f>
        <v>8.30814033498919</v>
      </c>
      <c r="M8" s="955" t="n">
        <f aca="false">(M7/$S7)*100</f>
        <v>2.50198658445093</v>
      </c>
      <c r="N8" s="955" t="n">
        <f aca="false">(N7/$S7)*100</f>
        <v>2.22142314914699</v>
      </c>
      <c r="O8" s="955" t="n">
        <f aca="false">(O7/$S7)*100</f>
        <v>2.1259783096053</v>
      </c>
      <c r="P8" s="955" t="n">
        <f aca="false">(P7/$S7)*100</f>
        <v>7.57920811858245</v>
      </c>
      <c r="Q8" s="955" t="n">
        <f aca="false">(Q7/$S7)*100</f>
        <v>96.2825344822229</v>
      </c>
      <c r="R8" s="955" t="n">
        <f aca="false">(R7/$S7)*100</f>
        <v>3.71746551777716</v>
      </c>
      <c r="S8" s="955" t="n">
        <f aca="false">(S7/$S7)*100</f>
        <v>100</v>
      </c>
      <c r="T8" s="288"/>
      <c r="U8" s="288"/>
      <c r="V8" s="290"/>
    </row>
    <row r="9" customFormat="false" ht="9.2" hidden="false" customHeight="true" outlineLevel="0" collapsed="false">
      <c r="A9" s="981" t="s">
        <v>655</v>
      </c>
      <c r="B9" s="280" t="n">
        <v>41627</v>
      </c>
      <c r="C9" s="280" t="n">
        <v>11986</v>
      </c>
      <c r="D9" s="280" t="n">
        <v>2493</v>
      </c>
      <c r="E9" s="280" t="n">
        <v>36480</v>
      </c>
      <c r="F9" s="184" t="n">
        <v>3529</v>
      </c>
      <c r="G9" s="280" t="n">
        <v>19719</v>
      </c>
      <c r="H9" s="280" t="n">
        <v>31687</v>
      </c>
      <c r="I9" s="280" t="n">
        <v>1527</v>
      </c>
      <c r="J9" s="280" t="n">
        <v>22292</v>
      </c>
      <c r="K9" s="982" t="n">
        <v>3722</v>
      </c>
      <c r="L9" s="280" t="n">
        <v>19374</v>
      </c>
      <c r="M9" s="280" t="n">
        <v>5932</v>
      </c>
      <c r="N9" s="280" t="n">
        <v>5384</v>
      </c>
      <c r="O9" s="280" t="n">
        <v>5057</v>
      </c>
      <c r="P9" s="280" t="n">
        <v>17640</v>
      </c>
      <c r="Q9" s="982" t="n">
        <f aca="false">SUM(B9:P9)</f>
        <v>228449</v>
      </c>
      <c r="R9" s="280" t="n">
        <v>8652</v>
      </c>
      <c r="S9" s="280" t="n">
        <f aca="false">Q9+R9</f>
        <v>237101</v>
      </c>
      <c r="T9" s="280" t="n">
        <v>13081</v>
      </c>
      <c r="U9" s="280" t="n">
        <f aca="false">S9+T9</f>
        <v>250182</v>
      </c>
      <c r="V9" s="285" t="s">
        <v>655</v>
      </c>
    </row>
    <row r="10" customFormat="false" ht="9.2" hidden="false" customHeight="true" outlineLevel="0" collapsed="false">
      <c r="A10" s="305"/>
      <c r="B10" s="955" t="n">
        <f aca="false">(B9/$S9)*100</f>
        <v>17.5566530718976</v>
      </c>
      <c r="C10" s="955" t="n">
        <f aca="false">(C9/$S9)*100</f>
        <v>5.0552296278801</v>
      </c>
      <c r="D10" s="955" t="n">
        <f aca="false">(D9/$S9)*100</f>
        <v>1.05145064761431</v>
      </c>
      <c r="E10" s="955" t="n">
        <f aca="false">(E9/$S9)*100</f>
        <v>15.385848225018</v>
      </c>
      <c r="F10" s="955" t="n">
        <f aca="false">(F9/$S9)*100</f>
        <v>1.48839524084673</v>
      </c>
      <c r="G10" s="955" t="n">
        <f aca="false">(G9/$S9)*100</f>
        <v>8.31670891307924</v>
      </c>
      <c r="H10" s="955" t="n">
        <f aca="false">(H9/$S9)*100</f>
        <v>13.3643468395325</v>
      </c>
      <c r="I10" s="955" t="n">
        <f aca="false">(I9/$S9)*100</f>
        <v>0.644029337708403</v>
      </c>
      <c r="J10" s="955" t="n">
        <f aca="false">(J9/$S9)*100</f>
        <v>9.40190045592385</v>
      </c>
      <c r="K10" s="955" t="n">
        <f aca="false">(K9/$S9)*100</f>
        <v>1.56979515058983</v>
      </c>
      <c r="L10" s="955" t="n">
        <f aca="false">(L9/$S9)*100</f>
        <v>8.17120130239856</v>
      </c>
      <c r="M10" s="955" t="n">
        <f aca="false">(M9/$S9)*100</f>
        <v>2.50188738132694</v>
      </c>
      <c r="N10" s="955" t="n">
        <f aca="false">(N9/$S9)*100</f>
        <v>2.27076224899937</v>
      </c>
      <c r="O10" s="955" t="n">
        <f aca="false">(O9/$S9)*100</f>
        <v>2.13284633974551</v>
      </c>
      <c r="P10" s="955" t="n">
        <f aca="false">(P9/$S9)*100</f>
        <v>7.43986739828175</v>
      </c>
      <c r="Q10" s="955" t="n">
        <f aca="false">(Q9/$S9)*100</f>
        <v>96.3509221808428</v>
      </c>
      <c r="R10" s="955" t="n">
        <f aca="false">(R9/$S9)*100</f>
        <v>3.64907781915724</v>
      </c>
      <c r="S10" s="955" t="n">
        <f aca="false">(S9/$S9)*100</f>
        <v>100</v>
      </c>
      <c r="T10" s="288"/>
      <c r="U10" s="288"/>
      <c r="V10" s="290"/>
    </row>
    <row r="11" customFormat="false" ht="9.2" hidden="false" customHeight="true" outlineLevel="0" collapsed="false">
      <c r="A11" s="981" t="s">
        <v>656</v>
      </c>
      <c r="B11" s="280" t="n">
        <v>43449</v>
      </c>
      <c r="C11" s="280" t="n">
        <v>12356</v>
      </c>
      <c r="D11" s="280" t="n">
        <v>2684</v>
      </c>
      <c r="E11" s="280" t="n">
        <v>39069</v>
      </c>
      <c r="F11" s="280" t="n">
        <v>3849</v>
      </c>
      <c r="G11" s="280" t="n">
        <v>21346</v>
      </c>
      <c r="H11" s="280" t="n">
        <v>33770</v>
      </c>
      <c r="I11" s="280" t="n">
        <v>1635</v>
      </c>
      <c r="J11" s="280" t="n">
        <v>23676</v>
      </c>
      <c r="K11" s="280" t="n">
        <v>3983</v>
      </c>
      <c r="L11" s="280" t="n">
        <v>20068</v>
      </c>
      <c r="M11" s="280" t="n">
        <v>6351</v>
      </c>
      <c r="N11" s="280" t="n">
        <v>5798</v>
      </c>
      <c r="O11" s="280" t="n">
        <v>5371</v>
      </c>
      <c r="P11" s="280" t="n">
        <v>18340</v>
      </c>
      <c r="Q11" s="982" t="n">
        <f aca="false">SUM(B11:P11)</f>
        <v>241745</v>
      </c>
      <c r="R11" s="280" t="n">
        <v>10223</v>
      </c>
      <c r="S11" s="280" t="n">
        <f aca="false">Q11+R11</f>
        <v>251968</v>
      </c>
      <c r="T11" s="280" t="n">
        <v>13283</v>
      </c>
      <c r="U11" s="280" t="n">
        <f aca="false">S11+T11</f>
        <v>265251</v>
      </c>
      <c r="V11" s="285" t="s">
        <v>656</v>
      </c>
    </row>
    <row r="12" customFormat="false" ht="9.2" hidden="false" customHeight="true" outlineLevel="0" collapsed="false">
      <c r="A12" s="305"/>
      <c r="B12" s="955" t="n">
        <f aca="false">(B11/$S11)*100</f>
        <v>17.2438563627127</v>
      </c>
      <c r="C12" s="955" t="n">
        <f aca="false">(C11/$S11)*100</f>
        <v>4.90379730759462</v>
      </c>
      <c r="D12" s="955" t="n">
        <f aca="false">(D11/$S11)*100</f>
        <v>1.06521463042926</v>
      </c>
      <c r="E12" s="955" t="n">
        <f aca="false">(E11/$S11)*100</f>
        <v>15.5055403860808</v>
      </c>
      <c r="F12" s="955" t="n">
        <f aca="false">(F11/$S11)*100</f>
        <v>1.52757493014986</v>
      </c>
      <c r="G12" s="955" t="n">
        <f aca="false">(G11/$S11)*100</f>
        <v>8.47171069342139</v>
      </c>
      <c r="H12" s="955" t="n">
        <f aca="false">(H11/$S11)*100</f>
        <v>13.4024955549911</v>
      </c>
      <c r="I12" s="955" t="n">
        <f aca="false">(I11/$S11)*100</f>
        <v>0.648891922783846</v>
      </c>
      <c r="J12" s="955" t="n">
        <f aca="false">(J11/$S11)*100</f>
        <v>9.39643129286259</v>
      </c>
      <c r="K12" s="955" t="n">
        <f aca="false">(K11/$S11)*100</f>
        <v>1.58075628651257</v>
      </c>
      <c r="L12" s="955" t="n">
        <f aca="false">(L11/$S11)*100</f>
        <v>7.96450342900686</v>
      </c>
      <c r="M12" s="955" t="n">
        <f aca="false">(M11/$S11)*100</f>
        <v>2.52055816611633</v>
      </c>
      <c r="N12" s="955" t="n">
        <f aca="false">(N11/$S11)*100</f>
        <v>2.3010858521717</v>
      </c>
      <c r="O12" s="955" t="n">
        <f aca="false">(O11/$S11)*100</f>
        <v>2.13161988823978</v>
      </c>
      <c r="P12" s="955" t="n">
        <f aca="false">(P11/$S11)*100</f>
        <v>7.27870205740411</v>
      </c>
      <c r="Q12" s="955" t="n">
        <f aca="false">(Q11/$S11)*100</f>
        <v>95.9427387604775</v>
      </c>
      <c r="R12" s="955" t="n">
        <f aca="false">(R11/$S11)*100</f>
        <v>4.05726123952248</v>
      </c>
      <c r="S12" s="955" t="n">
        <f aca="false">(S11/$S11)*100</f>
        <v>100</v>
      </c>
      <c r="T12" s="288"/>
      <c r="U12" s="288"/>
      <c r="V12" s="290"/>
    </row>
    <row r="13" customFormat="false" ht="9.2" hidden="false" customHeight="true" outlineLevel="0" collapsed="false">
      <c r="A13" s="981" t="s">
        <v>657</v>
      </c>
      <c r="B13" s="280" t="n">
        <v>44230</v>
      </c>
      <c r="C13" s="280" t="n">
        <v>12807</v>
      </c>
      <c r="D13" s="280" t="n">
        <v>2909</v>
      </c>
      <c r="E13" s="280" t="n">
        <v>42269</v>
      </c>
      <c r="F13" s="280" t="n">
        <v>4192</v>
      </c>
      <c r="G13" s="280" t="n">
        <v>23120</v>
      </c>
      <c r="H13" s="280" t="n">
        <v>36155</v>
      </c>
      <c r="I13" s="280" t="n">
        <v>1751</v>
      </c>
      <c r="J13" s="280" t="n">
        <v>25552</v>
      </c>
      <c r="K13" s="280" t="n">
        <v>4338</v>
      </c>
      <c r="L13" s="280" t="n">
        <v>20801</v>
      </c>
      <c r="M13" s="280" t="n">
        <v>6860</v>
      </c>
      <c r="N13" s="280" t="n">
        <v>6256</v>
      </c>
      <c r="O13" s="280" t="n">
        <v>5768</v>
      </c>
      <c r="P13" s="280" t="n">
        <v>19082</v>
      </c>
      <c r="Q13" s="280" t="n">
        <f aca="false">SUM(B13:P13)</f>
        <v>256090</v>
      </c>
      <c r="R13" s="280" t="n">
        <v>10884</v>
      </c>
      <c r="S13" s="280" t="n">
        <f aca="false">Q13+R13</f>
        <v>266974</v>
      </c>
      <c r="T13" s="280" t="n">
        <v>13632</v>
      </c>
      <c r="U13" s="280" t="n">
        <f aca="false">S13+T13</f>
        <v>280606</v>
      </c>
      <c r="V13" s="285" t="s">
        <v>657</v>
      </c>
    </row>
    <row r="14" customFormat="false" ht="9.2" hidden="false" customHeight="true" outlineLevel="0" collapsed="false">
      <c r="A14" s="305"/>
      <c r="B14" s="955" t="n">
        <f aca="false">(B13/$S13)*100</f>
        <v>16.567156352304</v>
      </c>
      <c r="C14" s="955" t="n">
        <f aca="false">(C13/$S13)*100</f>
        <v>4.7970963464607</v>
      </c>
      <c r="D14" s="955" t="n">
        <f aca="false">(D13/$S13)*100</f>
        <v>1.08961921385603</v>
      </c>
      <c r="E14" s="955" t="n">
        <f aca="false">(E13/$S13)*100</f>
        <v>15.8326278963495</v>
      </c>
      <c r="F14" s="955" t="n">
        <f aca="false">(F13/$S13)*100</f>
        <v>1.57019035561515</v>
      </c>
      <c r="G14" s="955" t="n">
        <f aca="false">(G13/$S13)*100</f>
        <v>8.6600193277248</v>
      </c>
      <c r="H14" s="955" t="n">
        <f aca="false">(H13/$S13)*100</f>
        <v>13.5425172488707</v>
      </c>
      <c r="I14" s="955" t="n">
        <f aca="false">(I13/$S13)*100</f>
        <v>0.655869110849746</v>
      </c>
      <c r="J14" s="955" t="n">
        <f aca="false">(J13/$S13)*100</f>
        <v>9.5709694577</v>
      </c>
      <c r="K14" s="955" t="n">
        <f aca="false">(K13/$S13)*100</f>
        <v>1.62487732887847</v>
      </c>
      <c r="L14" s="955" t="n">
        <f aca="false">(L13/$S13)*100</f>
        <v>7.79139541678216</v>
      </c>
      <c r="M14" s="955" t="n">
        <f aca="false">(M13/$S13)*100</f>
        <v>2.56953860675571</v>
      </c>
      <c r="N14" s="955" t="n">
        <f aca="false">(N13/$S13)*100</f>
        <v>2.343299347502</v>
      </c>
      <c r="O14" s="955" t="n">
        <f aca="false">(O13/$S13)*100</f>
        <v>2.16051001221093</v>
      </c>
      <c r="P14" s="955" t="n">
        <f aca="false">(P13/$S13)*100</f>
        <v>7.14751249185314</v>
      </c>
      <c r="Q14" s="955" t="n">
        <f aca="false">(Q13/$S13)*100</f>
        <v>95.923198513713</v>
      </c>
      <c r="R14" s="955" t="n">
        <f aca="false">(R13/$S13)*100</f>
        <v>4.07680148628706</v>
      </c>
      <c r="S14" s="955" t="n">
        <f aca="false">(S13/$S13)*100</f>
        <v>100</v>
      </c>
      <c r="T14" s="288"/>
      <c r="U14" s="288"/>
      <c r="V14" s="290"/>
    </row>
    <row r="15" customFormat="false" ht="9.2" hidden="false" customHeight="true" outlineLevel="0" collapsed="false">
      <c r="A15" s="983" t="s">
        <v>658</v>
      </c>
      <c r="B15" s="982" t="n">
        <v>46545</v>
      </c>
      <c r="C15" s="982" t="n">
        <v>13308</v>
      </c>
      <c r="D15" s="982" t="n">
        <v>3178</v>
      </c>
      <c r="E15" s="982" t="n">
        <v>46820</v>
      </c>
      <c r="F15" s="982" t="n">
        <v>4513</v>
      </c>
      <c r="G15" s="982" t="n">
        <v>25042</v>
      </c>
      <c r="H15" s="982" t="n">
        <v>38596</v>
      </c>
      <c r="I15" s="982" t="n">
        <v>1881</v>
      </c>
      <c r="J15" s="982" t="n">
        <v>27592</v>
      </c>
      <c r="K15" s="982" t="n">
        <v>4707</v>
      </c>
      <c r="L15" s="982" t="n">
        <v>21569</v>
      </c>
      <c r="M15" s="982" t="n">
        <v>7420</v>
      </c>
      <c r="N15" s="982" t="n">
        <v>6822</v>
      </c>
      <c r="O15" s="982" t="n">
        <v>6217</v>
      </c>
      <c r="P15" s="982" t="n">
        <v>19863</v>
      </c>
      <c r="Q15" s="280" t="n">
        <f aca="false">SUM(B15:P15)</f>
        <v>274073</v>
      </c>
      <c r="R15" s="982" t="n">
        <v>10599</v>
      </c>
      <c r="S15" s="280" t="n">
        <f aca="false">Q15+R15</f>
        <v>284672</v>
      </c>
      <c r="T15" s="982" t="n">
        <v>18631</v>
      </c>
      <c r="U15" s="280" t="n">
        <f aca="false">S15+T15</f>
        <v>303303</v>
      </c>
      <c r="V15" s="984" t="s">
        <v>658</v>
      </c>
    </row>
    <row r="16" customFormat="false" ht="9.2" hidden="false" customHeight="true" outlineLevel="0" collapsed="false">
      <c r="A16" s="305"/>
      <c r="B16" s="955" t="n">
        <f aca="false">(B15/$S15)*100</f>
        <v>16.3503962455036</v>
      </c>
      <c r="C16" s="955" t="n">
        <f aca="false">(C15/$S15)*100</f>
        <v>4.67485386690647</v>
      </c>
      <c r="D16" s="955" t="n">
        <f aca="false">(D15/$S15)*100</f>
        <v>1.11637252697842</v>
      </c>
      <c r="E16" s="955" t="n">
        <f aca="false">(E15/$S15)*100</f>
        <v>16.4469986510791</v>
      </c>
      <c r="F16" s="955" t="n">
        <f aca="false">(F15/$S15)*100</f>
        <v>1.58533329586331</v>
      </c>
      <c r="G16" s="955" t="n">
        <f aca="false">(G15/$S15)*100</f>
        <v>8.79679069244604</v>
      </c>
      <c r="H16" s="955" t="n">
        <f aca="false">(H15/$S15)*100</f>
        <v>13.5580598021583</v>
      </c>
      <c r="I16" s="955" t="n">
        <f aca="false">(I15/$S15)*100</f>
        <v>0.660760454136691</v>
      </c>
      <c r="J16" s="955" t="n">
        <f aca="false">(J15/$S15)*100</f>
        <v>9.69255845323741</v>
      </c>
      <c r="K16" s="955" t="n">
        <f aca="false">(K15/$S15)*100</f>
        <v>1.65348190197842</v>
      </c>
      <c r="L16" s="955" t="n">
        <f aca="false">(L15/$S15)*100</f>
        <v>7.57679013039568</v>
      </c>
      <c r="M16" s="955" t="n">
        <f aca="false">(M15/$S15)*100</f>
        <v>2.60650854316547</v>
      </c>
      <c r="N16" s="955" t="n">
        <f aca="false">(N15/$S15)*100</f>
        <v>2.39644222122302</v>
      </c>
      <c r="O16" s="955" t="n">
        <f aca="false">(O15/$S15)*100</f>
        <v>2.18391692895683</v>
      </c>
      <c r="P16" s="955" t="n">
        <f aca="false">(P15/$S15)*100</f>
        <v>6.97750393435252</v>
      </c>
      <c r="Q16" s="955" t="n">
        <f aca="false">(Q15/$S15)*100</f>
        <v>96.2767676483813</v>
      </c>
      <c r="R16" s="955" t="n">
        <f aca="false">(R15/$S15)*100</f>
        <v>3.72323235161871</v>
      </c>
      <c r="S16" s="955" t="n">
        <f aca="false">(S15/$S15)*100</f>
        <v>100</v>
      </c>
      <c r="T16" s="288"/>
      <c r="U16" s="288"/>
      <c r="V16" s="290"/>
    </row>
    <row r="17" customFormat="false" ht="9.2" hidden="false" customHeight="true" outlineLevel="0" collapsed="false">
      <c r="A17" s="304" t="s">
        <v>558</v>
      </c>
      <c r="B17" s="184" t="n">
        <v>48730</v>
      </c>
      <c r="C17" s="184" t="n">
        <v>13850</v>
      </c>
      <c r="D17" s="184" t="n">
        <v>3443</v>
      </c>
      <c r="E17" s="184" t="n">
        <v>51372</v>
      </c>
      <c r="F17" s="184" t="n">
        <v>4607</v>
      </c>
      <c r="G17" s="184" t="n">
        <v>26796</v>
      </c>
      <c r="H17" s="184" t="n">
        <v>41700</v>
      </c>
      <c r="I17" s="184" t="n">
        <v>2023</v>
      </c>
      <c r="J17" s="184" t="n">
        <v>29809</v>
      </c>
      <c r="K17" s="184" t="n">
        <v>5139</v>
      </c>
      <c r="L17" s="184" t="n">
        <v>22380</v>
      </c>
      <c r="M17" s="184" t="n">
        <v>8044</v>
      </c>
      <c r="N17" s="184" t="n">
        <v>7433</v>
      </c>
      <c r="O17" s="184" t="n">
        <v>6693</v>
      </c>
      <c r="P17" s="184" t="n">
        <v>20773</v>
      </c>
      <c r="Q17" s="280" t="n">
        <f aca="false">SUM(B17:P17)</f>
        <v>292792</v>
      </c>
      <c r="R17" s="184" t="n">
        <v>10179</v>
      </c>
      <c r="S17" s="280" t="n">
        <f aca="false">Q17+R17</f>
        <v>302971</v>
      </c>
      <c r="T17" s="184" t="n">
        <v>22620</v>
      </c>
      <c r="U17" s="280" t="n">
        <f aca="false">S17+T17</f>
        <v>325591</v>
      </c>
      <c r="V17" s="293" t="s">
        <v>558</v>
      </c>
    </row>
    <row r="18" customFormat="false" ht="9.2" hidden="false" customHeight="true" outlineLevel="0" collapsed="false">
      <c r="A18" s="305"/>
      <c r="B18" s="955" t="n">
        <f aca="false">(B17/$S17)*100</f>
        <v>16.0840476481247</v>
      </c>
      <c r="C18" s="955" t="n">
        <f aca="false">(C17/$S17)*100</f>
        <v>4.57139462192751</v>
      </c>
      <c r="D18" s="955" t="n">
        <f aca="false">(D17/$S17)*100</f>
        <v>1.13641239590588</v>
      </c>
      <c r="E18" s="955" t="n">
        <f aca="false">(E17/$S17)*100</f>
        <v>16.9560783045242</v>
      </c>
      <c r="F18" s="955" t="n">
        <f aca="false">(F17/$S17)*100</f>
        <v>1.52060758290397</v>
      </c>
      <c r="G18" s="955" t="n">
        <f aca="false">(G17/$S17)*100</f>
        <v>8.84441085120358</v>
      </c>
      <c r="H18" s="955" t="n">
        <f aca="false">(H17/$S17)*100</f>
        <v>13.7636935548287</v>
      </c>
      <c r="I18" s="955" t="n">
        <f aca="false">(I17/$S17)*100</f>
        <v>0.667720672935694</v>
      </c>
      <c r="J18" s="955" t="n">
        <f aca="false">(J17/$S17)*100</f>
        <v>9.83889547184384</v>
      </c>
      <c r="K18" s="955" t="n">
        <f aca="false">(K17/$S17)*100</f>
        <v>1.69620194672097</v>
      </c>
      <c r="L18" s="955" t="n">
        <f aca="false">(L17/$S17)*100</f>
        <v>7.38684560568503</v>
      </c>
      <c r="M18" s="955" t="n">
        <f aca="false">(M17/$S17)*100</f>
        <v>2.65503959124801</v>
      </c>
      <c r="N18" s="955" t="n">
        <f aca="false">(N17/$S17)*100</f>
        <v>2.45337012453337</v>
      </c>
      <c r="O18" s="955" t="n">
        <f aca="false">(O17/$S17)*100</f>
        <v>2.20912232523905</v>
      </c>
      <c r="P18" s="955" t="n">
        <f aca="false">(P17/$S17)*100</f>
        <v>6.85643180370398</v>
      </c>
      <c r="Q18" s="955" t="n">
        <f aca="false">(Q17/$S17)*100</f>
        <v>96.6402725013285</v>
      </c>
      <c r="R18" s="955" t="n">
        <f aca="false">(R17/$S17)*100</f>
        <v>3.35972749867149</v>
      </c>
      <c r="S18" s="955" t="n">
        <f aca="false">(S17/$S17)*100</f>
        <v>100</v>
      </c>
      <c r="T18" s="288"/>
      <c r="U18" s="288"/>
      <c r="V18" s="290"/>
    </row>
    <row r="19" customFormat="false" ht="9.2" hidden="false" customHeight="true" outlineLevel="0" collapsed="false">
      <c r="A19" s="981" t="s">
        <v>531</v>
      </c>
      <c r="B19" s="282" t="n">
        <v>50157</v>
      </c>
      <c r="C19" s="282" t="n">
        <v>14429</v>
      </c>
      <c r="D19" s="282" t="n">
        <v>3751</v>
      </c>
      <c r="E19" s="282" t="n">
        <v>55077</v>
      </c>
      <c r="F19" s="282" t="n">
        <v>4919</v>
      </c>
      <c r="G19" s="282" t="n">
        <v>28318</v>
      </c>
      <c r="H19" s="282" t="n">
        <v>44543</v>
      </c>
      <c r="I19" s="282" t="n">
        <v>2176</v>
      </c>
      <c r="J19" s="282" t="n">
        <v>32357</v>
      </c>
      <c r="K19" s="282" t="n">
        <v>5596</v>
      </c>
      <c r="L19" s="282" t="n">
        <v>23221</v>
      </c>
      <c r="M19" s="282" t="n">
        <v>8543</v>
      </c>
      <c r="N19" s="282" t="n">
        <v>8013</v>
      </c>
      <c r="O19" s="282" t="n">
        <v>7163</v>
      </c>
      <c r="P19" s="282" t="n">
        <v>21731</v>
      </c>
      <c r="Q19" s="280" t="n">
        <f aca="false">SUM(B19:P19)</f>
        <v>309994</v>
      </c>
      <c r="R19" s="282" t="n">
        <v>11732</v>
      </c>
      <c r="S19" s="280" t="n">
        <f aca="false">Q19+R19</f>
        <v>321726</v>
      </c>
      <c r="T19" s="282" t="n">
        <v>28522</v>
      </c>
      <c r="U19" s="280" t="n">
        <f aca="false">S19+T19</f>
        <v>350248</v>
      </c>
      <c r="V19" s="285" t="s">
        <v>531</v>
      </c>
    </row>
    <row r="20" customFormat="false" ht="9.2" hidden="false" customHeight="true" outlineLevel="0" collapsed="false">
      <c r="A20" s="305"/>
      <c r="B20" s="955" t="n">
        <f aca="false">(B19/$S19)*100</f>
        <v>15.5899740773205</v>
      </c>
      <c r="C20" s="955" t="n">
        <f aca="false">(C19/$S19)*100</f>
        <v>4.48487222046089</v>
      </c>
      <c r="D20" s="955" t="n">
        <f aca="false">(D19/$S19)*100</f>
        <v>1.16589893263212</v>
      </c>
      <c r="E20" s="955" t="n">
        <f aca="false">(E19/$S19)*100</f>
        <v>17.1192256765073</v>
      </c>
      <c r="F20" s="955" t="n">
        <f aca="false">(F19/$S19)*100</f>
        <v>1.52894077569112</v>
      </c>
      <c r="G20" s="955" t="n">
        <f aca="false">(G19/$S19)*100</f>
        <v>8.80189975320614</v>
      </c>
      <c r="H20" s="955" t="n">
        <f aca="false">(H19/$S19)*100</f>
        <v>13.8450109720694</v>
      </c>
      <c r="I20" s="955" t="n">
        <f aca="false">(I19/$S19)*100</f>
        <v>0.67635192679485</v>
      </c>
      <c r="J20" s="955" t="n">
        <f aca="false">(J19/$S19)*100</f>
        <v>10.0573158526199</v>
      </c>
      <c r="K20" s="955" t="n">
        <f aca="false">(K19/$S19)*100</f>
        <v>1.7393682823272</v>
      </c>
      <c r="L20" s="955" t="n">
        <f aca="false">(L19/$S19)*100</f>
        <v>7.21763239526802</v>
      </c>
      <c r="M20" s="955" t="n">
        <f aca="false">(M19/$S19)*100</f>
        <v>2.65536512436048</v>
      </c>
      <c r="N20" s="955" t="n">
        <f aca="false">(N19/$S19)*100</f>
        <v>2.49062867160254</v>
      </c>
      <c r="O20" s="955" t="n">
        <f aca="false">(O19/$S19)*100</f>
        <v>2.22642870019831</v>
      </c>
      <c r="P20" s="955" t="n">
        <f aca="false">(P19/$S19)*100</f>
        <v>6.75450538657118</v>
      </c>
      <c r="Q20" s="955" t="n">
        <f aca="false">(Q19/$S19)*100</f>
        <v>96.35341874763</v>
      </c>
      <c r="R20" s="955" t="n">
        <f aca="false">(R19/$S19)*100</f>
        <v>3.64658125237003</v>
      </c>
      <c r="S20" s="955" t="n">
        <f aca="false">(S19/$S19)*100</f>
        <v>100</v>
      </c>
      <c r="T20" s="288"/>
      <c r="U20" s="288"/>
      <c r="V20" s="290"/>
    </row>
    <row r="21" customFormat="false" ht="9.2" hidden="false" customHeight="true" outlineLevel="0" collapsed="false">
      <c r="A21" s="981" t="s">
        <v>532</v>
      </c>
      <c r="B21" s="985" t="n">
        <v>52215</v>
      </c>
      <c r="C21" s="985" t="n">
        <v>15029</v>
      </c>
      <c r="D21" s="985" t="n">
        <v>4120</v>
      </c>
      <c r="E21" s="985" t="n">
        <v>58754</v>
      </c>
      <c r="F21" s="985" t="n">
        <v>5210</v>
      </c>
      <c r="G21" s="985" t="n">
        <v>29931</v>
      </c>
      <c r="H21" s="985" t="n">
        <v>47309</v>
      </c>
      <c r="I21" s="985" t="n">
        <v>2341</v>
      </c>
      <c r="J21" s="985" t="n">
        <v>34949</v>
      </c>
      <c r="K21" s="985" t="n">
        <v>6099</v>
      </c>
      <c r="L21" s="985" t="n">
        <v>24106</v>
      </c>
      <c r="M21" s="985" t="n">
        <v>9142</v>
      </c>
      <c r="N21" s="985" t="n">
        <v>8658</v>
      </c>
      <c r="O21" s="985" t="n">
        <v>7678</v>
      </c>
      <c r="P21" s="985" t="n">
        <v>22753</v>
      </c>
      <c r="Q21" s="280" t="n">
        <f aca="false">SUM(B21:P21)</f>
        <v>328294</v>
      </c>
      <c r="R21" s="282" t="n">
        <v>11903</v>
      </c>
      <c r="S21" s="280" t="n">
        <f aca="false">Q21+R21</f>
        <v>340197</v>
      </c>
      <c r="T21" s="280" t="n">
        <v>30933</v>
      </c>
      <c r="U21" s="280" t="n">
        <f aca="false">S21+T21</f>
        <v>371130</v>
      </c>
      <c r="V21" s="285" t="s">
        <v>532</v>
      </c>
    </row>
    <row r="22" customFormat="false" ht="9.2" hidden="false" customHeight="true" outlineLevel="0" collapsed="false">
      <c r="A22" s="305"/>
      <c r="B22" s="955" t="n">
        <f aca="false">(B21/$S21)*100</f>
        <v>15.3484598629618</v>
      </c>
      <c r="C22" s="955" t="n">
        <f aca="false">(C21/$S21)*100</f>
        <v>4.41773443034477</v>
      </c>
      <c r="D22" s="955" t="n">
        <f aca="false">(D21/$S21)*100</f>
        <v>1.21106300173135</v>
      </c>
      <c r="E22" s="955" t="n">
        <f aca="false">(E21/$S21)*100</f>
        <v>17.2705814572145</v>
      </c>
      <c r="F22" s="955" t="n">
        <f aca="false">(F21/$S21)*100</f>
        <v>1.53146559199523</v>
      </c>
      <c r="G22" s="955" t="n">
        <f aca="false">(G21/$S21)*100</f>
        <v>8.79813754971384</v>
      </c>
      <c r="H22" s="955" t="n">
        <f aca="false">(H21/$S21)*100</f>
        <v>13.9063542594438</v>
      </c>
      <c r="I22" s="955" t="n">
        <f aca="false">(I21/$S21)*100</f>
        <v>0.688130700741041</v>
      </c>
      <c r="J22" s="955" t="n">
        <f aca="false">(J21/$S21)*100</f>
        <v>10.2731652542497</v>
      </c>
      <c r="K22" s="955" t="n">
        <f aca="false">(K21/$S21)*100</f>
        <v>1.79278476882512</v>
      </c>
      <c r="L22" s="955" t="n">
        <f aca="false">(L21/$S21)*100</f>
        <v>7.08589434945047</v>
      </c>
      <c r="M22" s="955" t="n">
        <f aca="false">(M21/$S21)*100</f>
        <v>2.68726649558932</v>
      </c>
      <c r="N22" s="955" t="n">
        <f aca="false">(N21/$S21)*100</f>
        <v>2.54499598761894</v>
      </c>
      <c r="O22" s="955" t="n">
        <f aca="false">(O21/$S21)*100</f>
        <v>2.25692760371197</v>
      </c>
      <c r="P22" s="955" t="n">
        <f aca="false">(P21/$S21)*100</f>
        <v>6.68818361126053</v>
      </c>
      <c r="Q22" s="955" t="n">
        <f aca="false">(Q21/$S21)*100</f>
        <v>96.5011449248524</v>
      </c>
      <c r="R22" s="955" t="n">
        <f aca="false">(R21/$S21)*100</f>
        <v>3.49885507514764</v>
      </c>
      <c r="S22" s="955" t="n">
        <f aca="false">(S21/$S21)*100</f>
        <v>100</v>
      </c>
      <c r="T22" s="288"/>
      <c r="U22" s="288"/>
      <c r="V22" s="290"/>
    </row>
    <row r="23" customFormat="false" ht="9.2" hidden="false" customHeight="true" outlineLevel="0" collapsed="false">
      <c r="A23" s="981" t="s">
        <v>203</v>
      </c>
      <c r="B23" s="985" t="n">
        <v>55117</v>
      </c>
      <c r="C23" s="985" t="n">
        <v>15652</v>
      </c>
      <c r="D23" s="985" t="n">
        <v>4482</v>
      </c>
      <c r="E23" s="985" t="n">
        <v>62571</v>
      </c>
      <c r="F23" s="985" t="n">
        <v>5589</v>
      </c>
      <c r="G23" s="985" t="n">
        <v>31730</v>
      </c>
      <c r="H23" s="985" t="n">
        <v>50088</v>
      </c>
      <c r="I23" s="985" t="n">
        <v>2519</v>
      </c>
      <c r="J23" s="985" t="n">
        <v>37637</v>
      </c>
      <c r="K23" s="985" t="n">
        <v>6809</v>
      </c>
      <c r="L23" s="985" t="n">
        <v>25045</v>
      </c>
      <c r="M23" s="985" t="n">
        <v>9906</v>
      </c>
      <c r="N23" s="985" t="n">
        <v>9458</v>
      </c>
      <c r="O23" s="985" t="n">
        <v>8300</v>
      </c>
      <c r="P23" s="985" t="n">
        <v>23826</v>
      </c>
      <c r="Q23" s="280" t="n">
        <f aca="false">SUM(B23:P23)</f>
        <v>348729</v>
      </c>
      <c r="R23" s="282" t="n">
        <v>12116</v>
      </c>
      <c r="S23" s="280" t="n">
        <f aca="false">Q23+R23</f>
        <v>360845</v>
      </c>
      <c r="T23" s="280" t="n">
        <v>33575</v>
      </c>
      <c r="U23" s="280" t="n">
        <f aca="false">S23+T23</f>
        <v>394420</v>
      </c>
      <c r="V23" s="285" t="s">
        <v>203</v>
      </c>
    </row>
    <row r="24" customFormat="false" ht="9.2" hidden="false" customHeight="true" outlineLevel="0" collapsed="false">
      <c r="A24" s="288"/>
      <c r="B24" s="955" t="n">
        <f aca="false">(B23/$S23)*100</f>
        <v>15.2744253072649</v>
      </c>
      <c r="C24" s="955" t="n">
        <f aca="false">(C23/$S23)*100</f>
        <v>4.33759647494076</v>
      </c>
      <c r="D24" s="955" t="n">
        <f aca="false">(D23/$S23)*100</f>
        <v>1.24208455153875</v>
      </c>
      <c r="E24" s="955" t="n">
        <f aca="false">(E23/$S23)*100</f>
        <v>17.3401321897214</v>
      </c>
      <c r="F24" s="955" t="n">
        <f aca="false">(F23/$S23)*100</f>
        <v>1.54886447089471</v>
      </c>
      <c r="G24" s="955" t="n">
        <f aca="false">(G23/$S23)*100</f>
        <v>8.79324917901038</v>
      </c>
      <c r="H24" s="955" t="n">
        <f aca="false">(H23/$S23)*100</f>
        <v>13.8807521234879</v>
      </c>
      <c r="I24" s="955" t="n">
        <f aca="false">(I23/$S23)*100</f>
        <v>0.698083664731394</v>
      </c>
      <c r="J24" s="955" t="n">
        <f aca="false">(J23/$S23)*100</f>
        <v>10.4302401308041</v>
      </c>
      <c r="K24" s="955" t="n">
        <f aca="false">(K23/$S23)*100</f>
        <v>1.88695977497263</v>
      </c>
      <c r="L24" s="955" t="n">
        <f aca="false">(L23/$S23)*100</f>
        <v>6.94065318904239</v>
      </c>
      <c r="M24" s="955" t="n">
        <f aca="false">(M23/$S23)*100</f>
        <v>2.74522301819341</v>
      </c>
      <c r="N24" s="955" t="n">
        <f aca="false">(N23/$S23)*100</f>
        <v>2.62106998849922</v>
      </c>
      <c r="O24" s="955" t="n">
        <f aca="false">(O23/$S23)*100</f>
        <v>2.30015657692361</v>
      </c>
      <c r="P24" s="955" t="n">
        <f aca="false">(P23/$S23)*100</f>
        <v>6.60283501226288</v>
      </c>
      <c r="Q24" s="955" t="n">
        <f aca="false">(Q23/$S23)*100</f>
        <v>96.6423256522884</v>
      </c>
      <c r="R24" s="955" t="n">
        <f aca="false">(R23/$S23)*100</f>
        <v>3.35767434771162</v>
      </c>
      <c r="S24" s="955" t="n">
        <f aca="false">(S23/$S23)*100</f>
        <v>100</v>
      </c>
      <c r="T24" s="288"/>
      <c r="U24" s="288"/>
      <c r="V24" s="288"/>
    </row>
    <row r="25" customFormat="false" ht="9.2" hidden="false" customHeight="true" outlineLevel="0" collapsed="false">
      <c r="A25" s="981" t="s">
        <v>205</v>
      </c>
      <c r="B25" s="986" t="n">
        <v>57923</v>
      </c>
      <c r="C25" s="986" t="n">
        <v>16474</v>
      </c>
      <c r="D25" s="986" t="n">
        <v>4698</v>
      </c>
      <c r="E25" s="986" t="n">
        <v>68482</v>
      </c>
      <c r="F25" s="986" t="n">
        <v>5960</v>
      </c>
      <c r="G25" s="986" t="n">
        <v>33795</v>
      </c>
      <c r="H25" s="986" t="n">
        <v>53249</v>
      </c>
      <c r="I25" s="986" t="n">
        <v>2709</v>
      </c>
      <c r="J25" s="986" t="n">
        <v>39778</v>
      </c>
      <c r="K25" s="986" t="n">
        <v>7466</v>
      </c>
      <c r="L25" s="986" t="n">
        <v>26037</v>
      </c>
      <c r="M25" s="986" t="n">
        <v>10864</v>
      </c>
      <c r="N25" s="986" t="n">
        <v>10343</v>
      </c>
      <c r="O25" s="986" t="n">
        <v>8993</v>
      </c>
      <c r="P25" s="986" t="n">
        <v>24947</v>
      </c>
      <c r="Q25" s="280" t="n">
        <f aca="false">SUM(B25:P25)</f>
        <v>371718</v>
      </c>
      <c r="R25" s="986" t="n">
        <v>13332</v>
      </c>
      <c r="S25" s="280" t="n">
        <f aca="false">Q25+R25</f>
        <v>385050</v>
      </c>
      <c r="T25" s="280" t="n">
        <v>35046</v>
      </c>
      <c r="U25" s="280" t="n">
        <f aca="false">S25+T25</f>
        <v>420096</v>
      </c>
      <c r="V25" s="285" t="s">
        <v>205</v>
      </c>
    </row>
    <row r="26" customFormat="false" ht="9.2" hidden="false" customHeight="true" outlineLevel="0" collapsed="false">
      <c r="A26" s="288"/>
      <c r="B26" s="955" t="n">
        <f aca="false">(B25/$S25)*100</f>
        <v>15.042981430983</v>
      </c>
      <c r="C26" s="955" t="n">
        <f aca="false">(C25/$S25)*100</f>
        <v>4.27840540189586</v>
      </c>
      <c r="D26" s="955" t="n">
        <f aca="false">(D25/$S25)*100</f>
        <v>1.22010128554733</v>
      </c>
      <c r="E26" s="955" t="n">
        <f aca="false">(E25/$S25)*100</f>
        <v>17.7852226983509</v>
      </c>
      <c r="F26" s="955" t="n">
        <f aca="false">(F25/$S25)*100</f>
        <v>1.54785092845085</v>
      </c>
      <c r="G26" s="955" t="n">
        <f aca="false">(G25/$S25)*100</f>
        <v>8.77678223607324</v>
      </c>
      <c r="H26" s="955" t="n">
        <f aca="false">(H25/$S25)*100</f>
        <v>13.8291131021945</v>
      </c>
      <c r="I26" s="955" t="n">
        <f aca="false">(I25/$S25)*100</f>
        <v>0.703544994156603</v>
      </c>
      <c r="J26" s="955" t="n">
        <f aca="false">(J25/$S25)*100</f>
        <v>10.3306064147513</v>
      </c>
      <c r="K26" s="955" t="n">
        <f aca="false">(K25/$S25)*100</f>
        <v>1.93896896506947</v>
      </c>
      <c r="L26" s="955" t="n">
        <f aca="false">(L25/$S25)*100</f>
        <v>6.76197896377094</v>
      </c>
      <c r="M26" s="955" t="n">
        <f aca="false">(M25/$S25)*100</f>
        <v>2.82145175951175</v>
      </c>
      <c r="N26" s="955" t="n">
        <f aca="false">(N25/$S25)*100</f>
        <v>2.68614465653811</v>
      </c>
      <c r="O26" s="955" t="n">
        <f aca="false">(O25/$S25)*100</f>
        <v>2.3355408388521</v>
      </c>
      <c r="P26" s="955" t="n">
        <f aca="false">(P25/$S25)*100</f>
        <v>6.47889884430593</v>
      </c>
      <c r="Q26" s="955" t="n">
        <f aca="false">(Q25/$S25)*100</f>
        <v>96.5375925204519</v>
      </c>
      <c r="R26" s="955" t="n">
        <f aca="false">(R25/$S25)*100</f>
        <v>3.46240747954811</v>
      </c>
      <c r="S26" s="955" t="n">
        <f aca="false">(S25/$S25)*100</f>
        <v>100</v>
      </c>
      <c r="T26" s="288"/>
      <c r="U26" s="288"/>
      <c r="V26" s="288"/>
    </row>
    <row r="27" s="222" customFormat="true" ht="9.2" hidden="false" customHeight="true" outlineLevel="0" collapsed="false">
      <c r="A27" s="304" t="s">
        <v>282</v>
      </c>
      <c r="B27" s="987" t="n">
        <v>59348</v>
      </c>
      <c r="C27" s="952" t="n">
        <v>17362</v>
      </c>
      <c r="D27" s="952" t="n">
        <v>5063</v>
      </c>
      <c r="E27" s="952" t="n">
        <v>74897</v>
      </c>
      <c r="F27" s="952" t="n">
        <v>6677</v>
      </c>
      <c r="G27" s="952" t="n">
        <v>36352</v>
      </c>
      <c r="H27" s="952" t="n">
        <v>56248</v>
      </c>
      <c r="I27" s="952" t="n">
        <v>2914</v>
      </c>
      <c r="J27" s="952" t="n">
        <v>42412</v>
      </c>
      <c r="K27" s="952" t="n">
        <v>8290</v>
      </c>
      <c r="L27" s="952" t="n">
        <v>27091</v>
      </c>
      <c r="M27" s="952" t="n">
        <v>11496</v>
      </c>
      <c r="N27" s="952" t="n">
        <v>11088</v>
      </c>
      <c r="O27" s="952" t="n">
        <v>9705</v>
      </c>
      <c r="P27" s="952" t="n">
        <v>26135</v>
      </c>
      <c r="Q27" s="188" t="n">
        <f aca="false">SUM(B27:P27)</f>
        <v>395078</v>
      </c>
      <c r="R27" s="952" t="n">
        <v>13975</v>
      </c>
      <c r="S27" s="184" t="n">
        <f aca="false">Q27+R27</f>
        <v>409053</v>
      </c>
      <c r="T27" s="952" t="n">
        <v>39786</v>
      </c>
      <c r="U27" s="184" t="n">
        <f aca="false">S27+T27</f>
        <v>448839</v>
      </c>
      <c r="V27" s="293" t="s">
        <v>282</v>
      </c>
    </row>
    <row r="28" s="221" customFormat="true" ht="9.2" hidden="false" customHeight="true" outlineLevel="0" collapsed="false">
      <c r="A28" s="288"/>
      <c r="B28" s="955" t="n">
        <f aca="false">(B27/$S27)*100</f>
        <v>14.5086333555798</v>
      </c>
      <c r="C28" s="955" t="n">
        <f aca="false">(C27/$S27)*100</f>
        <v>4.24443776234376</v>
      </c>
      <c r="D28" s="955" t="n">
        <f aca="false">(D27/$S27)*100</f>
        <v>1.23773691917673</v>
      </c>
      <c r="E28" s="955" t="n">
        <f aca="false">(E27/$S27)*100</f>
        <v>18.3098522685324</v>
      </c>
      <c r="F28" s="955" t="n">
        <f aca="false">(F27/$S27)*100</f>
        <v>1.63230681598717</v>
      </c>
      <c r="G28" s="955" t="n">
        <f aca="false">(G27/$S27)*100</f>
        <v>8.88686796087549</v>
      </c>
      <c r="H28" s="955" t="n">
        <f aca="false">(H27/$S27)*100</f>
        <v>13.7507853505536</v>
      </c>
      <c r="I28" s="955" t="n">
        <f aca="false">(I27/$S27)*100</f>
        <v>0.712377124724669</v>
      </c>
      <c r="J28" s="955" t="n">
        <f aca="false">(J27/$S27)*100</f>
        <v>10.3683385771526</v>
      </c>
      <c r="K28" s="955" t="n">
        <f aca="false">(K27/$S27)*100</f>
        <v>2.02663224569921</v>
      </c>
      <c r="L28" s="955" t="n">
        <f aca="false">(L27/$S27)*100</f>
        <v>6.62285816263418</v>
      </c>
      <c r="M28" s="955" t="n">
        <f aca="false">(M27/$S27)*100</f>
        <v>2.81039376315539</v>
      </c>
      <c r="N28" s="955" t="n">
        <f aca="false">(N27/$S27)*100</f>
        <v>2.71065118701</v>
      </c>
      <c r="O28" s="955" t="n">
        <f aca="false">(O27/$S27)*100</f>
        <v>2.37255318992893</v>
      </c>
      <c r="P28" s="955" t="n">
        <f aca="false">(P27/$S27)*100</f>
        <v>6.38914761656802</v>
      </c>
      <c r="Q28" s="955" t="n">
        <f aca="false">(Q27/$S27)*100</f>
        <v>96.583572299922</v>
      </c>
      <c r="R28" s="955" t="n">
        <f aca="false">(R27/$S27)*100</f>
        <v>3.41642770007798</v>
      </c>
      <c r="S28" s="955" t="n">
        <f aca="false">(S27/$S27)*100</f>
        <v>100</v>
      </c>
      <c r="T28" s="288"/>
      <c r="U28" s="288"/>
      <c r="V28" s="288"/>
    </row>
    <row r="29" s="222" customFormat="true" ht="9.2" hidden="false" customHeight="true" outlineLevel="0" collapsed="false">
      <c r="A29" s="291" t="s">
        <v>818</v>
      </c>
      <c r="B29" s="987" t="n">
        <v>70171</v>
      </c>
      <c r="C29" s="952" t="n">
        <v>16814</v>
      </c>
      <c r="D29" s="952" t="n">
        <v>7009</v>
      </c>
      <c r="E29" s="952" t="n">
        <v>73834</v>
      </c>
      <c r="F29" s="952" t="n">
        <v>5553</v>
      </c>
      <c r="G29" s="952" t="n">
        <v>29825</v>
      </c>
      <c r="H29" s="952" t="n">
        <v>62352</v>
      </c>
      <c r="I29" s="952" t="n">
        <v>3467</v>
      </c>
      <c r="J29" s="952" t="n">
        <v>46497</v>
      </c>
      <c r="K29" s="952" t="n">
        <v>14216</v>
      </c>
      <c r="L29" s="952" t="n">
        <v>37935</v>
      </c>
      <c r="M29" s="952" t="n">
        <v>14089</v>
      </c>
      <c r="N29" s="952" t="n">
        <v>9962</v>
      </c>
      <c r="O29" s="952" t="n">
        <v>9288</v>
      </c>
      <c r="P29" s="952" t="n">
        <v>56600</v>
      </c>
      <c r="Q29" s="188" t="n">
        <f aca="false">SUM(B29:P29)</f>
        <v>457612</v>
      </c>
      <c r="R29" s="952" t="n">
        <v>24725</v>
      </c>
      <c r="S29" s="184" t="n">
        <f aca="false">Q29+R29</f>
        <v>482337</v>
      </c>
      <c r="T29" s="952" t="n">
        <v>27208</v>
      </c>
      <c r="U29" s="184" t="n">
        <f aca="false">S29+T29</f>
        <v>509545</v>
      </c>
      <c r="V29" s="293" t="s">
        <v>818</v>
      </c>
    </row>
    <row r="30" customFormat="false" ht="9.2" hidden="false" customHeight="true" outlineLevel="0" collapsed="false">
      <c r="A30" s="287"/>
      <c r="B30" s="955" t="n">
        <f aca="false">(B29/$S29)*100</f>
        <v>14.5481271393238</v>
      </c>
      <c r="C30" s="955" t="n">
        <f aca="false">(C29/$S29)*100</f>
        <v>3.48594447450641</v>
      </c>
      <c r="D30" s="955" t="n">
        <f aca="false">(D29/$S29)*100</f>
        <v>1.45313339014009</v>
      </c>
      <c r="E30" s="955" t="n">
        <f aca="false">(E29/$S29)*100</f>
        <v>15.3075546765021</v>
      </c>
      <c r="F30" s="955" t="n">
        <f aca="false">(F29/$S29)*100</f>
        <v>1.1512697553785</v>
      </c>
      <c r="G30" s="955" t="n">
        <f aca="false">(G29/$S29)*100</f>
        <v>6.18343606233816</v>
      </c>
      <c r="H30" s="955" t="n">
        <f aca="false">(H29/$S29)*100</f>
        <v>12.927061369955</v>
      </c>
      <c r="I30" s="955" t="n">
        <f aca="false">(I29/$S29)*100</f>
        <v>0.718792047883534</v>
      </c>
      <c r="J30" s="955" t="n">
        <f aca="false">(J29/$S29)*100</f>
        <v>9.63994053949832</v>
      </c>
      <c r="K30" s="955" t="n">
        <f aca="false">(K29/$S29)*100</f>
        <v>2.94731691742495</v>
      </c>
      <c r="L30" s="955" t="n">
        <f aca="false">(L29/$S29)*100</f>
        <v>7.8648330938742</v>
      </c>
      <c r="M30" s="955" t="n">
        <f aca="false">(M29/$S29)*100</f>
        <v>2.9209867789533</v>
      </c>
      <c r="N30" s="955" t="n">
        <f aca="false">(N29/$S29)*100</f>
        <v>2.06536094058718</v>
      </c>
      <c r="O30" s="955" t="n">
        <f aca="false">(O29/$S29)*100</f>
        <v>1.92562461515496</v>
      </c>
      <c r="P30" s="955" t="n">
        <f aca="false">(P29/$S29)*100</f>
        <v>11.7345341535068</v>
      </c>
      <c r="Q30" s="955" t="n">
        <f aca="false">(Q29/$S29)*100</f>
        <v>94.8739159550273</v>
      </c>
      <c r="R30" s="955" t="n">
        <f aca="false">(R29/$S29)*100</f>
        <v>5.12608404497271</v>
      </c>
      <c r="S30" s="955" t="n">
        <f aca="false">(S29/$S29)*100</f>
        <v>100</v>
      </c>
      <c r="T30" s="288"/>
      <c r="U30" s="288"/>
      <c r="V30" s="290"/>
    </row>
    <row r="31" customFormat="false" ht="9.2" hidden="false" customHeight="true" outlineLevel="0" collapsed="false">
      <c r="A31" s="291" t="s">
        <v>558</v>
      </c>
      <c r="B31" s="987" t="n">
        <v>74410</v>
      </c>
      <c r="C31" s="952" t="n">
        <v>18397</v>
      </c>
      <c r="D31" s="952" t="n">
        <v>7433</v>
      </c>
      <c r="E31" s="952" t="n">
        <v>81612</v>
      </c>
      <c r="F31" s="952" t="n">
        <v>5831</v>
      </c>
      <c r="G31" s="952" t="n">
        <v>31836</v>
      </c>
      <c r="H31" s="952" t="n">
        <v>67571</v>
      </c>
      <c r="I31" s="952" t="n">
        <v>3659</v>
      </c>
      <c r="J31" s="952" t="n">
        <v>50878</v>
      </c>
      <c r="K31" s="952" t="n">
        <v>15139</v>
      </c>
      <c r="L31" s="952" t="n">
        <v>39382</v>
      </c>
      <c r="M31" s="952" t="n">
        <v>15293</v>
      </c>
      <c r="N31" s="952" t="n">
        <v>10835</v>
      </c>
      <c r="O31" s="952" t="n">
        <v>9749</v>
      </c>
      <c r="P31" s="952" t="n">
        <v>58399</v>
      </c>
      <c r="Q31" s="188" t="n">
        <f aca="false">SUM(B31:P31)</f>
        <v>490424</v>
      </c>
      <c r="R31" s="952" t="n">
        <v>25959</v>
      </c>
      <c r="S31" s="184" t="n">
        <f aca="false">Q31+R31</f>
        <v>516383</v>
      </c>
      <c r="T31" s="952" t="n">
        <v>33121</v>
      </c>
      <c r="U31" s="184" t="n">
        <f aca="false">S31+T31</f>
        <v>549504</v>
      </c>
      <c r="V31" s="293" t="s">
        <v>558</v>
      </c>
    </row>
    <row r="32" customFormat="false" ht="9.2" hidden="false" customHeight="true" outlineLevel="0" collapsed="false">
      <c r="A32" s="287"/>
      <c r="B32" s="955" t="n">
        <f aca="false">(B31/$S31)*100</f>
        <v>14.4098469546829</v>
      </c>
      <c r="C32" s="955" t="n">
        <f aca="false">(C31/$S31)*100</f>
        <v>3.56266569581105</v>
      </c>
      <c r="D32" s="955" t="n">
        <f aca="false">(D31/$S31)*100</f>
        <v>1.43943545779005</v>
      </c>
      <c r="E32" s="955" t="n">
        <f aca="false">(E31/$S31)*100</f>
        <v>15.8045481745139</v>
      </c>
      <c r="F32" s="955" t="n">
        <f aca="false">(F31/$S31)*100</f>
        <v>1.1292006127235</v>
      </c>
      <c r="G32" s="955" t="n">
        <f aca="false">(G31/$S31)*100</f>
        <v>6.165191340536</v>
      </c>
      <c r="H32" s="955" t="n">
        <f aca="false">(H31/$S31)*100</f>
        <v>13.0854423945018</v>
      </c>
      <c r="I32" s="955" t="n">
        <f aca="false">(I31/$S31)*100</f>
        <v>0.708582583082712</v>
      </c>
      <c r="J32" s="955" t="n">
        <f aca="false">(J31/$S31)*100</f>
        <v>9.85276432415475</v>
      </c>
      <c r="K32" s="955" t="n">
        <f aca="false">(K31/$S31)*100</f>
        <v>2.93173865134987</v>
      </c>
      <c r="L32" s="955" t="n">
        <f aca="false">(L31/$S31)*100</f>
        <v>7.62650978053112</v>
      </c>
      <c r="M32" s="955" t="n">
        <f aca="false">(M31/$S31)*100</f>
        <v>2.96156147665589</v>
      </c>
      <c r="N32" s="955" t="n">
        <f aca="false">(N31/$S31)*100</f>
        <v>2.09824878045947</v>
      </c>
      <c r="O32" s="955" t="n">
        <f aca="false">(O31/$S31)*100</f>
        <v>1.88793976563907</v>
      </c>
      <c r="P32" s="955" t="n">
        <f aca="false">(P31/$S31)*100</f>
        <v>11.3092413964054</v>
      </c>
      <c r="Q32" s="955" t="n">
        <f aca="false">(Q31/$S31)*100</f>
        <v>94.9729173888374</v>
      </c>
      <c r="R32" s="955" t="n">
        <f aca="false">(R31/$S31)*100</f>
        <v>5.02708261116265</v>
      </c>
      <c r="S32" s="955" t="n">
        <f aca="false">(S31/$S31)*100</f>
        <v>100</v>
      </c>
      <c r="T32" s="288"/>
      <c r="U32" s="288"/>
      <c r="V32" s="290"/>
    </row>
    <row r="33" customFormat="false" ht="9.2" hidden="false" customHeight="true" outlineLevel="0" collapsed="false">
      <c r="A33" s="291" t="s">
        <v>531</v>
      </c>
      <c r="B33" s="987" t="n">
        <v>77292</v>
      </c>
      <c r="C33" s="952" t="n">
        <v>19685</v>
      </c>
      <c r="D33" s="952" t="n">
        <v>8003</v>
      </c>
      <c r="E33" s="952" t="n">
        <v>87596</v>
      </c>
      <c r="F33" s="952" t="n">
        <v>6284</v>
      </c>
      <c r="G33" s="952" t="n">
        <v>33742</v>
      </c>
      <c r="H33" s="952" t="n">
        <v>72481</v>
      </c>
      <c r="I33" s="952" t="n">
        <v>3866</v>
      </c>
      <c r="J33" s="952" t="n">
        <v>55079</v>
      </c>
      <c r="K33" s="952" t="n">
        <v>15733</v>
      </c>
      <c r="L33" s="952" t="n">
        <v>40877</v>
      </c>
      <c r="M33" s="952" t="n">
        <v>16289</v>
      </c>
      <c r="N33" s="952" t="n">
        <v>11609</v>
      </c>
      <c r="O33" s="952" t="n">
        <v>10321</v>
      </c>
      <c r="P33" s="952" t="n">
        <v>60261</v>
      </c>
      <c r="Q33" s="188" t="n">
        <f aca="false">SUM(B33:P33)</f>
        <v>519118</v>
      </c>
      <c r="R33" s="952" t="n">
        <v>28319</v>
      </c>
      <c r="S33" s="184" t="n">
        <f aca="false">Q33+R33</f>
        <v>547437</v>
      </c>
      <c r="T33" s="952" t="n">
        <v>42109</v>
      </c>
      <c r="U33" s="184" t="n">
        <f aca="false">S33+T33</f>
        <v>589546</v>
      </c>
      <c r="V33" s="293" t="s">
        <v>531</v>
      </c>
    </row>
    <row r="34" customFormat="false" ht="9.2" hidden="false" customHeight="true" outlineLevel="0" collapsed="false">
      <c r="A34" s="287"/>
      <c r="B34" s="955" t="n">
        <f aca="false">(B33/$S33)*100</f>
        <v>14.1188849127845</v>
      </c>
      <c r="C34" s="955" t="n">
        <f aca="false">(C33/$S33)*100</f>
        <v>3.59584755871452</v>
      </c>
      <c r="D34" s="955" t="n">
        <f aca="false">(D33/$S33)*100</f>
        <v>1.46190337883629</v>
      </c>
      <c r="E34" s="955" t="n">
        <f aca="false">(E33/$S33)*100</f>
        <v>16.0011106300816</v>
      </c>
      <c r="F34" s="955" t="n">
        <f aca="false">(F33/$S33)*100</f>
        <v>1.14789464358456</v>
      </c>
      <c r="G34" s="955" t="n">
        <f aca="false">(G33/$S33)*100</f>
        <v>6.16363161423141</v>
      </c>
      <c r="H34" s="955" t="n">
        <f aca="false">(H33/$S33)*100</f>
        <v>13.2400623268066</v>
      </c>
      <c r="I34" s="955" t="n">
        <f aca="false">(I33/$S33)*100</f>
        <v>0.706199982829074</v>
      </c>
      <c r="J34" s="955" t="n">
        <f aca="false">(J33/$S33)*100</f>
        <v>10.0612490569691</v>
      </c>
      <c r="K34" s="955" t="n">
        <f aca="false">(K33/$S33)*100</f>
        <v>2.87393800565179</v>
      </c>
      <c r="L34" s="955" t="n">
        <f aca="false">(L33/$S33)*100</f>
        <v>7.4669779353606</v>
      </c>
      <c r="M34" s="955" t="n">
        <f aca="false">(M33/$S33)*100</f>
        <v>2.97550220390657</v>
      </c>
      <c r="N34" s="955" t="n">
        <f aca="false">(N33/$S33)*100</f>
        <v>2.12060931212176</v>
      </c>
      <c r="O34" s="955" t="n">
        <f aca="false">(O33/$S33)*100</f>
        <v>1.88533109745962</v>
      </c>
      <c r="P34" s="955" t="n">
        <f aca="false">(P33/$S33)*100</f>
        <v>11.0078419982573</v>
      </c>
      <c r="Q34" s="955" t="n">
        <f aca="false">(Q33/$S33)*100</f>
        <v>94.8269846575953</v>
      </c>
      <c r="R34" s="955" t="n">
        <f aca="false">(R33/$S33)*100</f>
        <v>5.1730153424047</v>
      </c>
      <c r="S34" s="955" t="n">
        <f aca="false">(S33/$S33)*100</f>
        <v>100</v>
      </c>
      <c r="T34" s="288"/>
      <c r="U34" s="288"/>
      <c r="V34" s="290"/>
    </row>
    <row r="35" customFormat="false" ht="9.2" hidden="false" customHeight="true" outlineLevel="0" collapsed="false">
      <c r="A35" s="291" t="s">
        <v>532</v>
      </c>
      <c r="B35" s="987" t="n">
        <v>79682</v>
      </c>
      <c r="C35" s="952" t="n">
        <v>20657</v>
      </c>
      <c r="D35" s="952" t="n">
        <v>8841</v>
      </c>
      <c r="E35" s="952" t="n">
        <v>93459</v>
      </c>
      <c r="F35" s="952" t="n">
        <v>6740</v>
      </c>
      <c r="G35" s="952" t="n">
        <v>35962</v>
      </c>
      <c r="H35" s="952" t="n">
        <v>76728</v>
      </c>
      <c r="I35" s="952" t="n">
        <v>4093</v>
      </c>
      <c r="J35" s="952" t="n">
        <v>59513</v>
      </c>
      <c r="K35" s="952" t="n">
        <v>15728</v>
      </c>
      <c r="L35" s="952" t="n">
        <v>42442</v>
      </c>
      <c r="M35" s="952" t="n">
        <v>17447</v>
      </c>
      <c r="N35" s="952" t="n">
        <v>12293</v>
      </c>
      <c r="O35" s="952" t="n">
        <v>10634</v>
      </c>
      <c r="P35" s="952" t="n">
        <v>62191</v>
      </c>
      <c r="Q35" s="188" t="n">
        <f aca="false">SUM(B35:P35)</f>
        <v>546410</v>
      </c>
      <c r="R35" s="952" t="n">
        <v>28646</v>
      </c>
      <c r="S35" s="184" t="n">
        <f aca="false">Q35+R35</f>
        <v>575056</v>
      </c>
      <c r="T35" s="952" t="n">
        <v>45558</v>
      </c>
      <c r="U35" s="184" t="n">
        <f aca="false">S35+T35</f>
        <v>620614</v>
      </c>
      <c r="V35" s="293" t="s">
        <v>532</v>
      </c>
    </row>
    <row r="36" customFormat="false" ht="9.2" hidden="false" customHeight="true" outlineLevel="0" collapsed="false">
      <c r="A36" s="287"/>
      <c r="B36" s="955" t="n">
        <f aca="false">(B35/$S35)*100</f>
        <v>13.8563896385743</v>
      </c>
      <c r="C36" s="955" t="n">
        <f aca="false">(C35/$S35)*100</f>
        <v>3.59217189282435</v>
      </c>
      <c r="D36" s="955" t="n">
        <f aca="false">(D35/$S35)*100</f>
        <v>1.53741548649175</v>
      </c>
      <c r="E36" s="955" t="n">
        <f aca="false">(E35/$S35)*100</f>
        <v>16.2521563117331</v>
      </c>
      <c r="F36" s="955" t="n">
        <f aca="false">(F35/$S35)*100</f>
        <v>1.17205976461423</v>
      </c>
      <c r="G36" s="955" t="n">
        <f aca="false">(G35/$S35)*100</f>
        <v>6.2536518182577</v>
      </c>
      <c r="H36" s="955" t="n">
        <f aca="false">(H35/$S35)*100</f>
        <v>13.3427005369912</v>
      </c>
      <c r="I36" s="955" t="n">
        <f aca="false">(I35/$S35)*100</f>
        <v>0.711756768036504</v>
      </c>
      <c r="J36" s="955" t="n">
        <f aca="false">(J35/$S35)*100</f>
        <v>10.3490790462146</v>
      </c>
      <c r="K36" s="955" t="n">
        <f aca="false">(K35/$S35)*100</f>
        <v>2.73503797890988</v>
      </c>
      <c r="L36" s="955" t="n">
        <f aca="false">(L35/$S35)*100</f>
        <v>7.38049859491945</v>
      </c>
      <c r="M36" s="955" t="n">
        <f aca="false">(M35/$S35)*100</f>
        <v>3.03396538771876</v>
      </c>
      <c r="N36" s="955" t="n">
        <f aca="false">(N35/$S35)*100</f>
        <v>2.13770484961465</v>
      </c>
      <c r="O36" s="955" t="n">
        <f aca="false">(O35/$S35)*100</f>
        <v>1.84921120725634</v>
      </c>
      <c r="P36" s="955" t="n">
        <f aca="false">(P35/$S35)*100</f>
        <v>10.8147728221252</v>
      </c>
      <c r="Q36" s="955" t="n">
        <f aca="false">(Q35/$S35)*100</f>
        <v>95.018572104282</v>
      </c>
      <c r="R36" s="955" t="n">
        <f aca="false">(R35/$S35)*100</f>
        <v>4.98142789571798</v>
      </c>
      <c r="S36" s="955" t="n">
        <f aca="false">(S35/$S35)*100</f>
        <v>100</v>
      </c>
      <c r="T36" s="288"/>
      <c r="U36" s="288"/>
      <c r="V36" s="290"/>
    </row>
    <row r="37" customFormat="false" ht="9.2" hidden="false" customHeight="true" outlineLevel="0" collapsed="false">
      <c r="A37" s="291" t="s">
        <v>203</v>
      </c>
      <c r="B37" s="987" t="n">
        <v>84904</v>
      </c>
      <c r="C37" s="952" t="n">
        <v>21607</v>
      </c>
      <c r="D37" s="952" t="n">
        <v>9561</v>
      </c>
      <c r="E37" s="952" t="n">
        <v>99671</v>
      </c>
      <c r="F37" s="952" t="n">
        <v>7412</v>
      </c>
      <c r="G37" s="952" t="n">
        <v>38554</v>
      </c>
      <c r="H37" s="952" t="n">
        <v>81219</v>
      </c>
      <c r="I37" s="952" t="n">
        <v>4339</v>
      </c>
      <c r="J37" s="952" t="n">
        <v>64006</v>
      </c>
      <c r="K37" s="952" t="n">
        <v>16711</v>
      </c>
      <c r="L37" s="952" t="n">
        <v>44078</v>
      </c>
      <c r="M37" s="952" t="n">
        <v>18882</v>
      </c>
      <c r="N37" s="952" t="n">
        <v>12930</v>
      </c>
      <c r="O37" s="952" t="n">
        <v>11360</v>
      </c>
      <c r="P37" s="952" t="n">
        <v>64191</v>
      </c>
      <c r="Q37" s="188" t="n">
        <f aca="false">SUM(B37:P37)</f>
        <v>579425</v>
      </c>
      <c r="R37" s="952" t="n">
        <v>27672</v>
      </c>
      <c r="S37" s="184" t="n">
        <f aca="false">Q37+R37</f>
        <v>607097</v>
      </c>
      <c r="T37" s="952" t="n">
        <v>49143</v>
      </c>
      <c r="U37" s="184" t="n">
        <f aca="false">S37+T37</f>
        <v>656240</v>
      </c>
      <c r="V37" s="293" t="s">
        <v>203</v>
      </c>
    </row>
    <row r="38" customFormat="false" ht="9.2" hidden="false" customHeight="true" outlineLevel="0" collapsed="false">
      <c r="A38" s="288"/>
      <c r="B38" s="955" t="n">
        <f aca="false">(B37/$S37)*100</f>
        <v>13.985244532587</v>
      </c>
      <c r="C38" s="955" t="n">
        <f aca="false">(C37/$S37)*100</f>
        <v>3.55906881437398</v>
      </c>
      <c r="D38" s="955" t="n">
        <f aca="false">(D37/$S37)*100</f>
        <v>1.57487189032395</v>
      </c>
      <c r="E38" s="955" t="n">
        <f aca="false">(E37/$S37)*100</f>
        <v>16.4176400146929</v>
      </c>
      <c r="F38" s="955" t="n">
        <f aca="false">(F37/$S37)*100</f>
        <v>1.2208922132707</v>
      </c>
      <c r="G38" s="955" t="n">
        <f aca="false">(G37/$S37)*100</f>
        <v>6.35055024155942</v>
      </c>
      <c r="H38" s="955" t="n">
        <f aca="false">(H37/$S37)*100</f>
        <v>13.3782575107438</v>
      </c>
      <c r="I38" s="955" t="n">
        <f aca="false">(I37/$S37)*100</f>
        <v>0.714712805367182</v>
      </c>
      <c r="J38" s="955" t="n">
        <f aca="false">(J37/$S37)*100</f>
        <v>10.5429610095257</v>
      </c>
      <c r="K38" s="955" t="n">
        <f aca="false">(K37/$S37)*100</f>
        <v>2.75260790285572</v>
      </c>
      <c r="L38" s="955" t="n">
        <f aca="false">(L37/$S37)*100</f>
        <v>7.26045426019236</v>
      </c>
      <c r="M38" s="955" t="n">
        <f aca="false">(M37/$S37)*100</f>
        <v>3.11021138302446</v>
      </c>
      <c r="N38" s="955" t="n">
        <f aca="false">(N37/$S37)*100</f>
        <v>2.12980792196305</v>
      </c>
      <c r="O38" s="955" t="n">
        <f aca="false">(O37/$S37)*100</f>
        <v>1.87120015417635</v>
      </c>
      <c r="P38" s="955" t="n">
        <f aca="false">(P37/$S37)*100</f>
        <v>10.5734338993604</v>
      </c>
      <c r="Q38" s="955" t="n">
        <f aca="false">(Q37/$S37)*100</f>
        <v>95.4419145540169</v>
      </c>
      <c r="R38" s="955" t="n">
        <f aca="false">(R37/$S37)*100</f>
        <v>4.5580854459831</v>
      </c>
      <c r="S38" s="955" t="n">
        <f aca="false">(S37/$S37)*100</f>
        <v>100</v>
      </c>
      <c r="T38" s="288"/>
      <c r="U38" s="288"/>
      <c r="V38" s="288"/>
    </row>
    <row r="39" customFormat="false" ht="9.2" hidden="false" customHeight="true" outlineLevel="0" collapsed="false">
      <c r="A39" s="988" t="s">
        <v>205</v>
      </c>
      <c r="B39" s="952" t="n">
        <v>88206</v>
      </c>
      <c r="C39" s="952" t="n">
        <v>23051</v>
      </c>
      <c r="D39" s="952" t="n">
        <v>9907</v>
      </c>
      <c r="E39" s="952" t="n">
        <v>109651</v>
      </c>
      <c r="F39" s="952" t="n">
        <v>8402</v>
      </c>
      <c r="G39" s="952" t="n">
        <v>41235</v>
      </c>
      <c r="H39" s="952" t="n">
        <v>86650</v>
      </c>
      <c r="I39" s="952" t="n">
        <v>4608</v>
      </c>
      <c r="J39" s="952" t="n">
        <v>69409</v>
      </c>
      <c r="K39" s="952" t="n">
        <v>18456</v>
      </c>
      <c r="L39" s="952" t="n">
        <v>45790</v>
      </c>
      <c r="M39" s="952" t="n">
        <v>20552</v>
      </c>
      <c r="N39" s="952" t="n">
        <v>13659</v>
      </c>
      <c r="O39" s="952" t="n">
        <v>12080</v>
      </c>
      <c r="P39" s="952" t="n">
        <v>66265</v>
      </c>
      <c r="Q39" s="188" t="n">
        <f aca="false">SUM(B39:P39)</f>
        <v>617921</v>
      </c>
      <c r="R39" s="952" t="n">
        <v>28421</v>
      </c>
      <c r="S39" s="184" t="n">
        <f aca="false">Q39+R39</f>
        <v>646342</v>
      </c>
      <c r="T39" s="952" t="n">
        <v>51126</v>
      </c>
      <c r="U39" s="184" t="n">
        <f aca="false">S39+T39</f>
        <v>697468</v>
      </c>
      <c r="V39" s="956" t="s">
        <v>205</v>
      </c>
    </row>
    <row r="40" customFormat="false" ht="9.2" hidden="false" customHeight="true" outlineLevel="0" collapsed="false">
      <c r="A40" s="305"/>
      <c r="B40" s="955" t="n">
        <f aca="false">(B39/$S39)*100</f>
        <v>13.6469547081885</v>
      </c>
      <c r="C40" s="955" t="n">
        <f aca="false">(C39/$S39)*100</f>
        <v>3.56637817130869</v>
      </c>
      <c r="D40" s="955" t="n">
        <f aca="false">(D39/$S39)*100</f>
        <v>1.53277985957898</v>
      </c>
      <c r="E40" s="955" t="n">
        <f aca="false">(E39/$S39)*100</f>
        <v>16.9648576140805</v>
      </c>
      <c r="F40" s="955" t="n">
        <f aca="false">(F39/$S39)*100</f>
        <v>1.2999309962837</v>
      </c>
      <c r="G40" s="955" t="n">
        <f aca="false">(G39/$S39)*100</f>
        <v>6.37974942058539</v>
      </c>
      <c r="H40" s="955" t="n">
        <f aca="false">(H39/$S39)*100</f>
        <v>13.4062152854062</v>
      </c>
      <c r="I40" s="955" t="n">
        <f aca="false">(I39/$S39)*100</f>
        <v>0.712935257185824</v>
      </c>
      <c r="J40" s="955" t="n">
        <f aca="false">(J39/$S39)*100</f>
        <v>10.7387420282142</v>
      </c>
      <c r="K40" s="955" t="n">
        <f aca="false">(K39/$S39)*100</f>
        <v>2.85545423320781</v>
      </c>
      <c r="L40" s="955" t="n">
        <f aca="false">(L39/$S39)*100</f>
        <v>7.08448468457875</v>
      </c>
      <c r="M40" s="955" t="n">
        <f aca="false">(M39/$S39)*100</f>
        <v>3.17974075644164</v>
      </c>
      <c r="N40" s="955" t="n">
        <f aca="false">(N39/$S39)*100</f>
        <v>2.11327749086397</v>
      </c>
      <c r="O40" s="955" t="n">
        <f aca="false">(O39/$S39)*100</f>
        <v>1.86897958046978</v>
      </c>
      <c r="P40" s="955" t="n">
        <f aca="false">(P39/$S39)*100</f>
        <v>10.2523122433634</v>
      </c>
      <c r="Q40" s="955" t="n">
        <f aca="false">(Q39/$S39)*100</f>
        <v>95.6027923297573</v>
      </c>
      <c r="R40" s="955" t="n">
        <f aca="false">(R39/$S39)*100</f>
        <v>4.39720767024269</v>
      </c>
      <c r="S40" s="955" t="n">
        <f aca="false">(S39/$S39)*100</f>
        <v>100</v>
      </c>
      <c r="T40" s="288"/>
      <c r="U40" s="288"/>
      <c r="V40" s="290"/>
    </row>
    <row r="41" customFormat="false" ht="9.2" hidden="false" customHeight="true" outlineLevel="0" collapsed="false">
      <c r="A41" s="988" t="s">
        <v>282</v>
      </c>
      <c r="B41" s="952" t="n">
        <v>90332</v>
      </c>
      <c r="C41" s="952" t="n">
        <v>24279</v>
      </c>
      <c r="D41" s="952" t="n">
        <v>10593</v>
      </c>
      <c r="E41" s="952" t="n">
        <v>120567</v>
      </c>
      <c r="F41" s="952" t="n">
        <v>9291</v>
      </c>
      <c r="G41" s="952" t="n">
        <v>44709</v>
      </c>
      <c r="H41" s="952" t="n">
        <v>92457</v>
      </c>
      <c r="I41" s="952" t="n">
        <v>4902</v>
      </c>
      <c r="J41" s="952" t="n">
        <v>75761</v>
      </c>
      <c r="K41" s="952" t="n">
        <v>21180</v>
      </c>
      <c r="L41" s="952" t="n">
        <v>47587</v>
      </c>
      <c r="M41" s="952" t="n">
        <v>22099</v>
      </c>
      <c r="N41" s="952" t="n">
        <v>14718</v>
      </c>
      <c r="O41" s="952" t="n">
        <v>12540</v>
      </c>
      <c r="P41" s="952" t="n">
        <v>68416</v>
      </c>
      <c r="Q41" s="188" t="n">
        <f aca="false">SUM(B41:P41)</f>
        <v>659431</v>
      </c>
      <c r="R41" s="952" t="n">
        <v>29062</v>
      </c>
      <c r="S41" s="184" t="n">
        <f aca="false">Q41+R41</f>
        <v>688493</v>
      </c>
      <c r="T41" s="952" t="n">
        <v>58267</v>
      </c>
      <c r="U41" s="184" t="n">
        <f aca="false">S41+T41</f>
        <v>746760</v>
      </c>
      <c r="V41" s="956" t="s">
        <v>282</v>
      </c>
    </row>
    <row r="42" customFormat="false" ht="9.2" hidden="false" customHeight="true" outlineLevel="0" collapsed="false">
      <c r="A42" s="305"/>
      <c r="B42" s="955" t="n">
        <f aca="false">(B41/$S41)*100</f>
        <v>13.1202495885942</v>
      </c>
      <c r="C42" s="955" t="n">
        <f aca="false">(C41/$S41)*100</f>
        <v>3.52639750876189</v>
      </c>
      <c r="D42" s="955" t="n">
        <f aca="false">(D41/$S41)*100</f>
        <v>1.5385777342689</v>
      </c>
      <c r="E42" s="955" t="n">
        <f aca="false">(E41/$S41)*100</f>
        <v>17.5117248831869</v>
      </c>
      <c r="F42" s="955" t="n">
        <f aca="false">(F41/$S41)*100</f>
        <v>1.34946905778272</v>
      </c>
      <c r="G42" s="955" t="n">
        <f aca="false">(G41/$S41)*100</f>
        <v>6.49374793933998</v>
      </c>
      <c r="H42" s="955" t="n">
        <f aca="false">(H41/$S41)*100</f>
        <v>13.4288947019069</v>
      </c>
      <c r="I42" s="955" t="n">
        <f aca="false">(I41/$S41)*100</f>
        <v>0.711989809627694</v>
      </c>
      <c r="J42" s="955" t="n">
        <f aca="false">(J41/$S41)*100</f>
        <v>11.0038882022039</v>
      </c>
      <c r="K42" s="955" t="n">
        <f aca="false">(K41/$S41)*100</f>
        <v>3.07628399998257</v>
      </c>
      <c r="L42" s="955" t="n">
        <f aca="false">(L41/$S41)*100</f>
        <v>6.91176235633478</v>
      </c>
      <c r="M42" s="955" t="n">
        <f aca="false">(M41/$S41)*100</f>
        <v>3.20976393369286</v>
      </c>
      <c r="N42" s="955" t="n">
        <f aca="false">(N41/$S41)*100</f>
        <v>2.13771236599355</v>
      </c>
      <c r="O42" s="955" t="n">
        <f aca="false">(O41/$S41)*100</f>
        <v>1.82136928044294</v>
      </c>
      <c r="P42" s="955" t="n">
        <f aca="false">(P41/$S41)*100</f>
        <v>9.93706544583605</v>
      </c>
      <c r="Q42" s="955" t="n">
        <f aca="false">(Q41/$S41)*100</f>
        <v>95.7788968079559</v>
      </c>
      <c r="R42" s="955" t="n">
        <f aca="false">(R41/$S41)*100</f>
        <v>4.22110319204407</v>
      </c>
      <c r="S42" s="955" t="n">
        <f aca="false">(S41/$S41)*100</f>
        <v>100</v>
      </c>
      <c r="T42" s="288"/>
      <c r="U42" s="288"/>
      <c r="V42" s="290"/>
    </row>
    <row r="43" customFormat="false" ht="9.2" hidden="false" customHeight="true" outlineLevel="0" collapsed="false">
      <c r="A43" s="988" t="s">
        <v>207</v>
      </c>
      <c r="B43" s="952" t="n">
        <v>91656</v>
      </c>
      <c r="C43" s="952" t="n">
        <v>25779</v>
      </c>
      <c r="D43" s="952" t="n">
        <v>11584</v>
      </c>
      <c r="E43" s="952" t="n">
        <v>132994</v>
      </c>
      <c r="F43" s="952" t="n">
        <v>10126</v>
      </c>
      <c r="G43" s="952" t="n">
        <v>48305</v>
      </c>
      <c r="H43" s="952" t="n">
        <v>98173</v>
      </c>
      <c r="I43" s="952" t="n">
        <v>5220</v>
      </c>
      <c r="J43" s="952" t="n">
        <v>80514</v>
      </c>
      <c r="K43" s="952" t="n">
        <v>23110</v>
      </c>
      <c r="L43" s="952" t="n">
        <v>49509</v>
      </c>
      <c r="M43" s="952" t="n">
        <v>23542</v>
      </c>
      <c r="N43" s="952" t="n">
        <v>15645</v>
      </c>
      <c r="O43" s="952" t="n">
        <v>13137</v>
      </c>
      <c r="P43" s="952" t="n">
        <v>70642</v>
      </c>
      <c r="Q43" s="188" t="n">
        <f aca="false">SUM(B43:P43)</f>
        <v>699936</v>
      </c>
      <c r="R43" s="952" t="n">
        <v>29960</v>
      </c>
      <c r="S43" s="184" t="n">
        <f aca="false">Q43+R43</f>
        <v>729896</v>
      </c>
      <c r="T43" s="952" t="n">
        <v>58705</v>
      </c>
      <c r="U43" s="184" t="n">
        <f aca="false">S43+T43</f>
        <v>788601</v>
      </c>
      <c r="V43" s="956" t="s">
        <v>207</v>
      </c>
    </row>
    <row r="44" customFormat="false" ht="9.2" hidden="false" customHeight="true" outlineLevel="0" collapsed="false">
      <c r="A44" s="305"/>
      <c r="B44" s="955" t="n">
        <f aca="false">(B43/$S43)*100</f>
        <v>12.557405438583</v>
      </c>
      <c r="C44" s="955" t="n">
        <f aca="false">(C43/$S43)*100</f>
        <v>3.53187303396648</v>
      </c>
      <c r="D44" s="955" t="n">
        <f aca="false">(D43/$S43)*100</f>
        <v>1.5870754189638</v>
      </c>
      <c r="E44" s="955" t="n">
        <f aca="false">(E43/$S43)*100</f>
        <v>18.2209520260421</v>
      </c>
      <c r="F44" s="955" t="n">
        <f aca="false">(F43/$S43)*100</f>
        <v>1.38732093339325</v>
      </c>
      <c r="G44" s="955" t="n">
        <f aca="false">(G43/$S43)*100</f>
        <v>6.61806613544943</v>
      </c>
      <c r="H44" s="955" t="n">
        <f aca="false">(H43/$S43)*100</f>
        <v>13.4502723675702</v>
      </c>
      <c r="I44" s="955" t="n">
        <f aca="false">(I43/$S43)*100</f>
        <v>0.715170380437761</v>
      </c>
      <c r="J44" s="955" t="n">
        <f aca="false">(J43/$S43)*100</f>
        <v>11.0308865920624</v>
      </c>
      <c r="K44" s="955" t="n">
        <f aca="false">(K43/$S43)*100</f>
        <v>3.16620450036718</v>
      </c>
      <c r="L44" s="955" t="n">
        <f aca="false">(L43/$S43)*100</f>
        <v>6.78302114273814</v>
      </c>
      <c r="M44" s="955" t="n">
        <f aca="false">(M43/$S43)*100</f>
        <v>3.2253910146103</v>
      </c>
      <c r="N44" s="955" t="n">
        <f aca="false">(N43/$S43)*100</f>
        <v>2.14345605401317</v>
      </c>
      <c r="O44" s="955" t="n">
        <f aca="false">(O43/$S43)*100</f>
        <v>1.79984545743503</v>
      </c>
      <c r="P44" s="955" t="n">
        <f aca="false">(P43/$S43)*100</f>
        <v>9.67836513695102</v>
      </c>
      <c r="Q44" s="955" t="n">
        <f aca="false">(Q43/$S43)*100</f>
        <v>95.8953056325833</v>
      </c>
      <c r="R44" s="955" t="n">
        <f aca="false">(R43/$S43)*100</f>
        <v>4.10469436741673</v>
      </c>
      <c r="S44" s="955" t="n">
        <f aca="false">(S43/$S43)*100</f>
        <v>100</v>
      </c>
      <c r="T44" s="288"/>
      <c r="U44" s="288"/>
      <c r="V44" s="290"/>
    </row>
    <row r="45" customFormat="false" ht="9.2" hidden="false" customHeight="true" outlineLevel="0" collapsed="false">
      <c r="A45" s="988" t="s">
        <v>208</v>
      </c>
      <c r="B45" s="952" t="n">
        <v>95151</v>
      </c>
      <c r="C45" s="952" t="n">
        <v>27419</v>
      </c>
      <c r="D45" s="952" t="n">
        <v>12127</v>
      </c>
      <c r="E45" s="952" t="n">
        <v>144653</v>
      </c>
      <c r="F45" s="952" t="n">
        <v>10585</v>
      </c>
      <c r="G45" s="952" t="n">
        <v>52209</v>
      </c>
      <c r="H45" s="952" t="n">
        <v>104776</v>
      </c>
      <c r="I45" s="952" t="n">
        <v>5570</v>
      </c>
      <c r="J45" s="952" t="n">
        <v>85382</v>
      </c>
      <c r="K45" s="952" t="n">
        <v>24790</v>
      </c>
      <c r="L45" s="952" t="n">
        <v>51615</v>
      </c>
      <c r="M45" s="952" t="n">
        <v>25165</v>
      </c>
      <c r="N45" s="952" t="n">
        <v>16781</v>
      </c>
      <c r="O45" s="952" t="n">
        <v>13802</v>
      </c>
      <c r="P45" s="952" t="n">
        <v>72955</v>
      </c>
      <c r="Q45" s="188" t="n">
        <f aca="false">SUM(B45:P45)</f>
        <v>742980</v>
      </c>
      <c r="R45" s="952" t="n">
        <v>31156</v>
      </c>
      <c r="S45" s="184" t="n">
        <f aca="false">Q45+R45</f>
        <v>774136</v>
      </c>
      <c r="T45" s="952" t="n">
        <v>51592</v>
      </c>
      <c r="U45" s="184" t="n">
        <f aca="false">S45+T45</f>
        <v>825728</v>
      </c>
      <c r="V45" s="956" t="s">
        <v>208</v>
      </c>
    </row>
    <row r="46" customFormat="false" ht="9.2" hidden="false" customHeight="true" outlineLevel="0" collapsed="false">
      <c r="A46" s="288"/>
      <c r="B46" s="955" t="n">
        <f aca="false">(B45/$S45)*100</f>
        <v>12.2912511496688</v>
      </c>
      <c r="C46" s="955" t="n">
        <f aca="false">(C45/$S45)*100</f>
        <v>3.54188411338576</v>
      </c>
      <c r="D46" s="955" t="n">
        <f aca="false">(D45/$S45)*100</f>
        <v>1.56652061136544</v>
      </c>
      <c r="E46" s="955" t="n">
        <f aca="false">(E45/$S45)*100</f>
        <v>18.6857348062873</v>
      </c>
      <c r="F46" s="955" t="n">
        <f aca="false">(F45/$S45)*100</f>
        <v>1.36733080492317</v>
      </c>
      <c r="G46" s="955" t="n">
        <f aca="false">(G45/$S45)*100</f>
        <v>6.744163816177</v>
      </c>
      <c r="H46" s="955" t="n">
        <f aca="false">(H45/$S45)*100</f>
        <v>13.5345727365734</v>
      </c>
      <c r="I46" s="955" t="n">
        <f aca="false">(I45/$S45)*100</f>
        <v>0.719511817045067</v>
      </c>
      <c r="J46" s="955" t="n">
        <f aca="false">(J45/$S45)*100</f>
        <v>11.0293281800614</v>
      </c>
      <c r="K46" s="955" t="n">
        <f aca="false">(K45/$S45)*100</f>
        <v>3.20227970279124</v>
      </c>
      <c r="L46" s="955" t="n">
        <f aca="false">(L45/$S45)*100</f>
        <v>6.66743311252803</v>
      </c>
      <c r="M46" s="955" t="n">
        <f aca="false">(M45/$S45)*100</f>
        <v>3.25072080357973</v>
      </c>
      <c r="N46" s="955" t="n">
        <f aca="false">(N45/$S45)*100</f>
        <v>2.16770696621782</v>
      </c>
      <c r="O46" s="955" t="n">
        <f aca="false">(O45/$S45)*100</f>
        <v>1.78289086155404</v>
      </c>
      <c r="P46" s="955" t="n">
        <f aca="false">(P45/$S45)*100</f>
        <v>9.42405468806515</v>
      </c>
      <c r="Q46" s="955" t="n">
        <f aca="false">(Q45/$S45)*100</f>
        <v>95.9753841702233</v>
      </c>
      <c r="R46" s="955" t="n">
        <f aca="false">(R45/$S45)*100</f>
        <v>4.02461582977668</v>
      </c>
      <c r="S46" s="955" t="n">
        <f aca="false">(S45/$S45)*100</f>
        <v>100</v>
      </c>
      <c r="T46" s="288"/>
      <c r="U46" s="288"/>
      <c r="V46" s="290"/>
    </row>
    <row r="47" customFormat="false" ht="9.2" hidden="false" customHeight="true" outlineLevel="0" collapsed="false">
      <c r="A47" s="988" t="s">
        <v>209</v>
      </c>
      <c r="B47" s="952" t="n">
        <v>97480</v>
      </c>
      <c r="C47" s="952" t="n">
        <v>29170</v>
      </c>
      <c r="D47" s="952" t="n">
        <v>13290</v>
      </c>
      <c r="E47" s="952" t="n">
        <v>159568</v>
      </c>
      <c r="F47" s="952" t="n">
        <v>11243</v>
      </c>
      <c r="G47" s="952" t="n">
        <v>56698</v>
      </c>
      <c r="H47" s="952" t="n">
        <v>111426</v>
      </c>
      <c r="I47" s="952" t="n">
        <v>5950</v>
      </c>
      <c r="J47" s="952" t="n">
        <v>90475</v>
      </c>
      <c r="K47" s="952" t="n">
        <v>26719</v>
      </c>
      <c r="L47" s="952" t="n">
        <v>53888</v>
      </c>
      <c r="M47" s="952" t="n">
        <v>27637</v>
      </c>
      <c r="N47" s="952" t="n">
        <v>18125</v>
      </c>
      <c r="O47" s="952" t="n">
        <v>14517</v>
      </c>
      <c r="P47" s="952" t="n">
        <v>75352</v>
      </c>
      <c r="Q47" s="188" t="n">
        <f aca="false">SUM(B47:P47)</f>
        <v>791538</v>
      </c>
      <c r="R47" s="952" t="n">
        <v>33324</v>
      </c>
      <c r="S47" s="184" t="n">
        <f aca="false">Q47+R47</f>
        <v>824862</v>
      </c>
      <c r="T47" s="952" t="n">
        <v>53548</v>
      </c>
      <c r="U47" s="184" t="n">
        <f aca="false">S47+T47</f>
        <v>878410</v>
      </c>
      <c r="V47" s="956" t="s">
        <v>209</v>
      </c>
    </row>
    <row r="48" customFormat="false" ht="9.2" hidden="false" customHeight="true" outlineLevel="0" collapsed="false">
      <c r="A48" s="288"/>
      <c r="B48" s="955" t="n">
        <f aca="false">(B47/$S47)*100</f>
        <v>11.8177343604142</v>
      </c>
      <c r="C48" s="955" t="n">
        <f aca="false">(C47/$S47)*100</f>
        <v>3.53634911051788</v>
      </c>
      <c r="D48" s="955" t="n">
        <f aca="false">(D47/$S47)*100</f>
        <v>1.61117859714716</v>
      </c>
      <c r="E48" s="955" t="n">
        <f aca="false">(E47/$S47)*100</f>
        <v>19.3448116169735</v>
      </c>
      <c r="F48" s="955" t="n">
        <f aca="false">(F47/$S47)*100</f>
        <v>1.36301587417047</v>
      </c>
      <c r="G48" s="955" t="n">
        <f aca="false">(G47/$S47)*100</f>
        <v>6.87363462009403</v>
      </c>
      <c r="H48" s="955" t="n">
        <f aca="false">(H47/$S47)*100</f>
        <v>13.508441412018</v>
      </c>
      <c r="I48" s="955" t="n">
        <f aca="false">(I47/$S47)*100</f>
        <v>0.721332780513589</v>
      </c>
      <c r="J48" s="955" t="n">
        <f aca="false">(J47/$S47)*100</f>
        <v>10.9685013978096</v>
      </c>
      <c r="K48" s="955" t="n">
        <f aca="false">(K47/$S47)*100</f>
        <v>3.23920849790632</v>
      </c>
      <c r="L48" s="955" t="n">
        <f aca="false">(L47/$S47)*100</f>
        <v>6.53297157585148</v>
      </c>
      <c r="M48" s="955" t="n">
        <f aca="false">(M47/$S47)*100</f>
        <v>3.35049984118556</v>
      </c>
      <c r="N48" s="955" t="n">
        <f aca="false">(N47/$S47)*100</f>
        <v>2.1973372515645</v>
      </c>
      <c r="O48" s="955" t="n">
        <f aca="false">(O47/$S47)*100</f>
        <v>1.75993075205307</v>
      </c>
      <c r="P48" s="955" t="n">
        <f aca="false">(P47/$S47)*100</f>
        <v>9.13510381130419</v>
      </c>
      <c r="Q48" s="955" t="n">
        <f aca="false">(Q47/$S47)*100</f>
        <v>95.9600514995236</v>
      </c>
      <c r="R48" s="955" t="n">
        <f aca="false">(R47/$S47)*100</f>
        <v>4.03994850047644</v>
      </c>
      <c r="S48" s="955" t="n">
        <f aca="false">(S47/$S47)*100</f>
        <v>100</v>
      </c>
      <c r="T48" s="288"/>
      <c r="U48" s="288"/>
      <c r="V48" s="290"/>
    </row>
    <row r="49" customFormat="false" ht="9.2" hidden="false" customHeight="true" outlineLevel="0" collapsed="false">
      <c r="A49" s="988" t="s">
        <v>211</v>
      </c>
      <c r="B49" s="952" t="n">
        <v>99228</v>
      </c>
      <c r="C49" s="952" t="n">
        <v>30950</v>
      </c>
      <c r="D49" s="952" t="n">
        <v>14997</v>
      </c>
      <c r="E49" s="952" t="n">
        <v>178223</v>
      </c>
      <c r="F49" s="952" t="n">
        <v>12742</v>
      </c>
      <c r="G49" s="952" t="n">
        <v>61552</v>
      </c>
      <c r="H49" s="952" t="n">
        <v>118665</v>
      </c>
      <c r="I49" s="952" t="n">
        <v>6366</v>
      </c>
      <c r="J49" s="952" t="n">
        <v>95972</v>
      </c>
      <c r="K49" s="952" t="n">
        <v>28787</v>
      </c>
      <c r="L49" s="952" t="n">
        <v>56297</v>
      </c>
      <c r="M49" s="952" t="n">
        <v>30796</v>
      </c>
      <c r="N49" s="952" t="n">
        <v>20248</v>
      </c>
      <c r="O49" s="952" t="n">
        <v>15612</v>
      </c>
      <c r="P49" s="952" t="n">
        <v>77838</v>
      </c>
      <c r="Q49" s="188" t="n">
        <f aca="false">SUM(B49:P49)</f>
        <v>848273</v>
      </c>
      <c r="R49" s="952" t="n">
        <v>35266</v>
      </c>
      <c r="S49" s="184" t="n">
        <f aca="false">Q49+R49</f>
        <v>883539</v>
      </c>
      <c r="T49" s="952" t="n">
        <v>50891</v>
      </c>
      <c r="U49" s="184" t="n">
        <f aca="false">S49+T49</f>
        <v>934430</v>
      </c>
      <c r="V49" s="956" t="s">
        <v>211</v>
      </c>
    </row>
    <row r="50" customFormat="false" ht="9.2" hidden="false" customHeight="true" outlineLevel="0" collapsed="false">
      <c r="A50" s="288"/>
      <c r="B50" s="955" t="n">
        <f aca="false">(B49/$S49)*100</f>
        <v>11.2307436344066</v>
      </c>
      <c r="C50" s="955" t="n">
        <f aca="false">(C49/$S49)*100</f>
        <v>3.50295799053579</v>
      </c>
      <c r="D50" s="955" t="n">
        <f aca="false">(D49/$S49)*100</f>
        <v>1.69737838397626</v>
      </c>
      <c r="E50" s="955" t="n">
        <f aca="false">(E49/$S49)*100</f>
        <v>20.1714921469228</v>
      </c>
      <c r="F50" s="955" t="n">
        <f aca="false">(F49/$S49)*100</f>
        <v>1.44215478886614</v>
      </c>
      <c r="G50" s="955" t="n">
        <f aca="false">(G49/$S49)*100</f>
        <v>6.96652892515214</v>
      </c>
      <c r="H50" s="955" t="n">
        <f aca="false">(H49/$S49)*100</f>
        <v>13.4306465249412</v>
      </c>
      <c r="I50" s="955" t="n">
        <f aca="false">(I49/$S49)*100</f>
        <v>0.720511488457216</v>
      </c>
      <c r="J50" s="955" t="n">
        <f aca="false">(J49/$S49)*100</f>
        <v>10.8622256629306</v>
      </c>
      <c r="K50" s="955" t="n">
        <f aca="false">(K49/$S49)*100</f>
        <v>3.25814706538138</v>
      </c>
      <c r="L50" s="955" t="n">
        <f aca="false">(L49/$S49)*100</f>
        <v>6.37176174452967</v>
      </c>
      <c r="M50" s="955" t="n">
        <f aca="false">(M49/$S49)*100</f>
        <v>3.48552808647949</v>
      </c>
      <c r="N50" s="955" t="n">
        <f aca="false">(N49/$S49)*100</f>
        <v>2.29169283981805</v>
      </c>
      <c r="O50" s="955" t="n">
        <f aca="false">(O49/$S49)*100</f>
        <v>1.76698481900629</v>
      </c>
      <c r="P50" s="955" t="n">
        <f aca="false">(P49/$S49)*100</f>
        <v>8.80979786970354</v>
      </c>
      <c r="Q50" s="955" t="n">
        <f aca="false">(Q49/$S49)*100</f>
        <v>96.0085519711071</v>
      </c>
      <c r="R50" s="955" t="n">
        <f aca="false">(R49/$S49)*100</f>
        <v>3.9914480288929</v>
      </c>
      <c r="S50" s="955" t="n">
        <f aca="false">(S49/$S49)*100</f>
        <v>100</v>
      </c>
      <c r="T50" s="288"/>
      <c r="U50" s="288"/>
      <c r="V50" s="290"/>
    </row>
    <row r="51" s="207" customFormat="true" ht="9.2" hidden="false" customHeight="true" outlineLevel="0" collapsed="false">
      <c r="A51" s="291" t="s">
        <v>212</v>
      </c>
      <c r="B51" s="952" t="n">
        <v>101173</v>
      </c>
      <c r="C51" s="952" t="n">
        <v>32879</v>
      </c>
      <c r="D51" s="952" t="n">
        <v>16330</v>
      </c>
      <c r="E51" s="952" t="n">
        <v>197765</v>
      </c>
      <c r="F51" s="952" t="n">
        <v>13820</v>
      </c>
      <c r="G51" s="952" t="n">
        <v>66951</v>
      </c>
      <c r="H51" s="952" t="n">
        <v>127417</v>
      </c>
      <c r="I51" s="952" t="n">
        <v>6820</v>
      </c>
      <c r="J51" s="952" t="n">
        <v>102463</v>
      </c>
      <c r="K51" s="952" t="n">
        <v>31413</v>
      </c>
      <c r="L51" s="952" t="n">
        <v>58997</v>
      </c>
      <c r="M51" s="952" t="n">
        <v>33615</v>
      </c>
      <c r="N51" s="952" t="n">
        <v>22547</v>
      </c>
      <c r="O51" s="952" t="n">
        <v>16804</v>
      </c>
      <c r="P51" s="952" t="n">
        <v>80653</v>
      </c>
      <c r="Q51" s="188" t="n">
        <f aca="false">SUM(B51:P51)</f>
        <v>909647</v>
      </c>
      <c r="R51" s="952" t="n">
        <v>38252</v>
      </c>
      <c r="S51" s="184" t="n">
        <f aca="false">Q51+R51</f>
        <v>947899</v>
      </c>
      <c r="T51" s="184" t="n">
        <v>40731</v>
      </c>
      <c r="U51" s="184" t="n">
        <f aca="false">S51+T51</f>
        <v>988630</v>
      </c>
      <c r="V51" s="956" t="s">
        <v>212</v>
      </c>
    </row>
    <row r="52" s="221" customFormat="true" ht="9.2" hidden="false" customHeight="true" outlineLevel="0" collapsed="false">
      <c r="A52" s="288"/>
      <c r="B52" s="955" t="n">
        <f aca="false">(B51/$S51)*100</f>
        <v>10.67339452832</v>
      </c>
      <c r="C52" s="955" t="n">
        <f aca="false">(C51/$S51)*100</f>
        <v>3.46861849205453</v>
      </c>
      <c r="D52" s="955" t="n">
        <f aca="false">(D51/$S51)*100</f>
        <v>1.72275738237935</v>
      </c>
      <c r="E52" s="955" t="n">
        <f aca="false">(E51/$S51)*100</f>
        <v>20.8635097199174</v>
      </c>
      <c r="F52" s="955" t="n">
        <f aca="false">(F51/$S51)*100</f>
        <v>1.45796123848638</v>
      </c>
      <c r="G52" s="955" t="n">
        <f aca="false">(G51/$S51)*100</f>
        <v>7.06309427481198</v>
      </c>
      <c r="H52" s="955" t="n">
        <f aca="false">(H51/$S51)*100</f>
        <v>13.4420439308407</v>
      </c>
      <c r="I52" s="955" t="n">
        <f aca="false">(I51/$S51)*100</f>
        <v>0.719485936792844</v>
      </c>
      <c r="J52" s="955" t="n">
        <f aca="false">(J51/$S51)*100</f>
        <v>10.809484976775</v>
      </c>
      <c r="K52" s="955" t="n">
        <f aca="false">(K51/$S51)*100</f>
        <v>3.31396066458557</v>
      </c>
      <c r="L52" s="955" t="n">
        <f aca="false">(L51/$S51)*100</f>
        <v>6.22397533914478</v>
      </c>
      <c r="M52" s="955" t="n">
        <f aca="false">(M51/$S51)*100</f>
        <v>3.54626389520402</v>
      </c>
      <c r="N52" s="955" t="n">
        <f aca="false">(N51/$S51)*100</f>
        <v>2.37862894675488</v>
      </c>
      <c r="O52" s="955" t="n">
        <f aca="false">(O51/$S51)*100</f>
        <v>1.77276270995117</v>
      </c>
      <c r="P52" s="955" t="n">
        <f aca="false">(P51/$S51)*100</f>
        <v>8.50860692964124</v>
      </c>
      <c r="Q52" s="955" t="n">
        <f aca="false">(Q51/$S51)*100</f>
        <v>95.9645489656598</v>
      </c>
      <c r="R52" s="955" t="n">
        <f aca="false">(R51/$S51)*100</f>
        <v>4.03545103434016</v>
      </c>
      <c r="S52" s="955" t="n">
        <f aca="false">(S51/$S51)*100</f>
        <v>100</v>
      </c>
      <c r="T52" s="288"/>
      <c r="U52" s="288"/>
      <c r="V52" s="290"/>
    </row>
    <row r="53" s="207" customFormat="true" ht="9.2" hidden="false" customHeight="true" outlineLevel="0" collapsed="false">
      <c r="A53" s="291" t="s">
        <v>213</v>
      </c>
      <c r="B53" s="952" t="n">
        <v>104688</v>
      </c>
      <c r="C53" s="952" t="n">
        <v>34974</v>
      </c>
      <c r="D53" s="952" t="n">
        <v>17474</v>
      </c>
      <c r="E53" s="952" t="n">
        <v>224270</v>
      </c>
      <c r="F53" s="952" t="n">
        <v>15089</v>
      </c>
      <c r="G53" s="952" t="n">
        <v>73595</v>
      </c>
      <c r="H53" s="952" t="n">
        <v>136914</v>
      </c>
      <c r="I53" s="952" t="n">
        <v>7316</v>
      </c>
      <c r="J53" s="952" t="n">
        <v>109208</v>
      </c>
      <c r="K53" s="952" t="n">
        <v>33893</v>
      </c>
      <c r="L53" s="952" t="n">
        <v>61936</v>
      </c>
      <c r="M53" s="952" t="n">
        <v>36463</v>
      </c>
      <c r="N53" s="952" t="n">
        <v>24127</v>
      </c>
      <c r="O53" s="952" t="n">
        <v>17984</v>
      </c>
      <c r="P53" s="952" t="n">
        <v>83598</v>
      </c>
      <c r="Q53" s="188" t="n">
        <f aca="false">SUM(B53:P53)</f>
        <v>981529</v>
      </c>
      <c r="R53" s="952" t="n">
        <v>40909</v>
      </c>
      <c r="S53" s="184" t="n">
        <f aca="false">Q53+R53</f>
        <v>1022438</v>
      </c>
      <c r="T53" s="184" t="n">
        <v>46626</v>
      </c>
      <c r="U53" s="184" t="n">
        <f aca="false">S53+T53</f>
        <v>1069064</v>
      </c>
      <c r="V53" s="293" t="s">
        <v>213</v>
      </c>
    </row>
    <row r="54" s="221" customFormat="true" ht="9.2" hidden="false" customHeight="true" outlineLevel="0" collapsed="false">
      <c r="A54" s="305"/>
      <c r="B54" s="955" t="n">
        <f aca="false">(B53/$S53)*100</f>
        <v>10.239056060123</v>
      </c>
      <c r="C54" s="955" t="n">
        <f aca="false">(C53/$S53)*100</f>
        <v>3.42064751114493</v>
      </c>
      <c r="D54" s="955" t="n">
        <f aca="false">(D53/$S53)*100</f>
        <v>1.70905228483292</v>
      </c>
      <c r="E54" s="955" t="n">
        <f aca="false">(E53/$S53)*100</f>
        <v>21.9348263659997</v>
      </c>
      <c r="F54" s="955" t="n">
        <f aca="false">(F53/$S53)*100</f>
        <v>1.47578630684697</v>
      </c>
      <c r="G54" s="955" t="n">
        <f aca="false">(G53/$S53)*100</f>
        <v>7.19799146745328</v>
      </c>
      <c r="H54" s="955" t="n">
        <f aca="false">(H53/$S53)*100</f>
        <v>13.3909342180162</v>
      </c>
      <c r="I54" s="955" t="n">
        <f aca="false">(I53/$S53)*100</f>
        <v>0.715544610039924</v>
      </c>
      <c r="J54" s="955" t="n">
        <f aca="false">(J53/$S53)*100</f>
        <v>10.681136655719</v>
      </c>
      <c r="K54" s="955" t="n">
        <f aca="false">(K53/$S53)*100</f>
        <v>3.3149198288796</v>
      </c>
      <c r="L54" s="955" t="n">
        <f aca="false">(L53/$S53)*100</f>
        <v>6.05767782496347</v>
      </c>
      <c r="M54" s="955" t="n">
        <f aca="false">(M53/$S53)*100</f>
        <v>3.56627981354371</v>
      </c>
      <c r="N54" s="955" t="n">
        <f aca="false">(N53/$S53)*100</f>
        <v>2.35975188715599</v>
      </c>
      <c r="O54" s="955" t="n">
        <f aca="false">(O53/$S53)*100</f>
        <v>1.75893305999973</v>
      </c>
      <c r="P54" s="955" t="n">
        <f aca="false">(P53/$S53)*100</f>
        <v>8.17633929881323</v>
      </c>
      <c r="Q54" s="955" t="n">
        <f aca="false">(Q53/$S53)*100</f>
        <v>95.9988771935315</v>
      </c>
      <c r="R54" s="955" t="n">
        <f aca="false">(R53/$S53)*100</f>
        <v>4.00112280646846</v>
      </c>
      <c r="S54" s="955" t="n">
        <f aca="false">(S53/$S53)*100</f>
        <v>100</v>
      </c>
      <c r="T54" s="288"/>
      <c r="U54" s="288"/>
      <c r="V54" s="290"/>
    </row>
    <row r="55" s="207" customFormat="true" ht="9.2" hidden="false" customHeight="true" outlineLevel="0" collapsed="false">
      <c r="A55" s="291" t="s">
        <v>226</v>
      </c>
      <c r="B55" s="952" t="n">
        <v>107991</v>
      </c>
      <c r="C55" s="952" t="n">
        <v>37146</v>
      </c>
      <c r="D55" s="952" t="n">
        <v>18501</v>
      </c>
      <c r="E55" s="952" t="n">
        <v>256118</v>
      </c>
      <c r="F55" s="952" t="n">
        <v>16535</v>
      </c>
      <c r="G55" s="952" t="n">
        <v>81139</v>
      </c>
      <c r="H55" s="952" t="n">
        <v>148058</v>
      </c>
      <c r="I55" s="952" t="n">
        <v>7870</v>
      </c>
      <c r="J55" s="952" t="n">
        <v>117056</v>
      </c>
      <c r="K55" s="952" t="n">
        <v>36394</v>
      </c>
      <c r="L55" s="952" t="n">
        <v>65173</v>
      </c>
      <c r="M55" s="952" t="n">
        <v>38795</v>
      </c>
      <c r="N55" s="952" t="n">
        <v>25976</v>
      </c>
      <c r="O55" s="952" t="n">
        <v>20105</v>
      </c>
      <c r="P55" s="952" t="n">
        <v>86706</v>
      </c>
      <c r="Q55" s="188" t="n">
        <f aca="false">SUM(B55:P55)</f>
        <v>1063563</v>
      </c>
      <c r="R55" s="952" t="n">
        <v>42231</v>
      </c>
      <c r="S55" s="184" t="n">
        <f aca="false">Q55+R55</f>
        <v>1105794</v>
      </c>
      <c r="T55" s="952" t="n">
        <v>49412</v>
      </c>
      <c r="U55" s="184" t="n">
        <f aca="false">S55+T55</f>
        <v>1155206</v>
      </c>
      <c r="V55" s="293" t="s">
        <v>226</v>
      </c>
    </row>
    <row r="56" s="221" customFormat="true" ht="9.2" hidden="false" customHeight="true" outlineLevel="0" collapsed="false">
      <c r="A56" s="305"/>
      <c r="B56" s="955" t="n">
        <f aca="false">(B55/$S55)*100</f>
        <v>9.76592385200137</v>
      </c>
      <c r="C56" s="955" t="n">
        <f aca="false">(C55/$S55)*100</f>
        <v>3.35921518836239</v>
      </c>
      <c r="D56" s="955" t="n">
        <f aca="false">(D55/$S55)*100</f>
        <v>1.67309643568332</v>
      </c>
      <c r="E56" s="955" t="n">
        <f aca="false">(E55/$S55)*100</f>
        <v>23.1614568355408</v>
      </c>
      <c r="F56" s="955" t="n">
        <f aca="false">(F55/$S55)*100</f>
        <v>1.49530563558855</v>
      </c>
      <c r="G56" s="955" t="n">
        <f aca="false">(G55/$S55)*100</f>
        <v>7.33762346332138</v>
      </c>
      <c r="H56" s="955" t="n">
        <f aca="false">(H55/$S55)*100</f>
        <v>13.3892931233123</v>
      </c>
      <c r="I56" s="955" t="n">
        <f aca="false">(I55/$S55)*100</f>
        <v>0.711705796920584</v>
      </c>
      <c r="J56" s="955" t="n">
        <f aca="false">(J55/$S55)*100</f>
        <v>10.5856967934353</v>
      </c>
      <c r="K56" s="955" t="n">
        <f aca="false">(K55/$S55)*100</f>
        <v>3.29120975516235</v>
      </c>
      <c r="L56" s="955" t="n">
        <f aca="false">(L55/$S55)*100</f>
        <v>5.89377406641743</v>
      </c>
      <c r="M56" s="955" t="n">
        <f aca="false">(M55/$S55)*100</f>
        <v>3.50833880451513</v>
      </c>
      <c r="N56" s="955" t="n">
        <f aca="false">(N55/$S55)*100</f>
        <v>2.3490812936225</v>
      </c>
      <c r="O56" s="955" t="n">
        <f aca="false">(O55/$S55)*100</f>
        <v>1.81815057777488</v>
      </c>
      <c r="P56" s="955" t="n">
        <f aca="false">(P55/$S55)*100</f>
        <v>7.84106262106685</v>
      </c>
      <c r="Q56" s="955" t="n">
        <f aca="false">(Q55/$S55)*100</f>
        <v>96.1809342427251</v>
      </c>
      <c r="R56" s="955" t="n">
        <f aca="false">(R55/$S55)*100</f>
        <v>3.81906575727486</v>
      </c>
      <c r="S56" s="955" t="n">
        <f aca="false">(S55/$S55)*100</f>
        <v>100</v>
      </c>
      <c r="T56" s="288"/>
      <c r="U56" s="288"/>
      <c r="V56" s="290"/>
    </row>
    <row r="57" s="221" customFormat="true" ht="10.5" hidden="false" customHeight="true" outlineLevel="0" collapsed="false">
      <c r="A57" s="304" t="s">
        <v>819</v>
      </c>
      <c r="B57" s="952" t="n">
        <v>110232</v>
      </c>
      <c r="C57" s="952" t="n">
        <v>39413</v>
      </c>
      <c r="D57" s="952" t="n">
        <v>19311</v>
      </c>
      <c r="E57" s="952" t="n">
        <v>271067</v>
      </c>
      <c r="F57" s="952" t="n">
        <v>17553</v>
      </c>
      <c r="G57" s="952" t="n">
        <v>88492</v>
      </c>
      <c r="H57" s="952" t="n">
        <v>155496</v>
      </c>
      <c r="I57" s="952" t="n">
        <v>8378</v>
      </c>
      <c r="J57" s="952" t="n">
        <v>124300</v>
      </c>
      <c r="K57" s="952" t="n">
        <v>38016</v>
      </c>
      <c r="L57" s="952" t="n">
        <v>68331</v>
      </c>
      <c r="M57" s="952" t="n">
        <v>41131</v>
      </c>
      <c r="N57" s="952" t="n">
        <v>27583</v>
      </c>
      <c r="O57" s="952" t="n">
        <v>22107</v>
      </c>
      <c r="P57" s="952" t="n">
        <v>89836</v>
      </c>
      <c r="Q57" s="188" t="n">
        <f aca="false">SUM(B57:P57)</f>
        <v>1121246</v>
      </c>
      <c r="R57" s="952" t="n">
        <v>42494</v>
      </c>
      <c r="S57" s="184" t="n">
        <f aca="false">Q57+R57</f>
        <v>1163740</v>
      </c>
      <c r="T57" s="952" t="n">
        <v>55785</v>
      </c>
      <c r="U57" s="184" t="n">
        <f aca="false">S57+T57</f>
        <v>1219525</v>
      </c>
      <c r="V57" s="293" t="s">
        <v>819</v>
      </c>
    </row>
    <row r="58" s="221" customFormat="true" ht="9.2" hidden="false" customHeight="true" outlineLevel="0" collapsed="false">
      <c r="A58" s="307"/>
      <c r="B58" s="957" t="n">
        <f aca="false">(B57/$S57)*100</f>
        <v>9.47221888050595</v>
      </c>
      <c r="C58" s="957" t="n">
        <f aca="false">(C57/$S57)*100</f>
        <v>3.38675305480606</v>
      </c>
      <c r="D58" s="957" t="n">
        <f aca="false">(D57/$S57)*100</f>
        <v>1.65939127296475</v>
      </c>
      <c r="E58" s="957" t="n">
        <f aca="false">(E57/$S57)*100</f>
        <v>23.292745802327</v>
      </c>
      <c r="F58" s="957" t="n">
        <f aca="false">(F57/$S57)*100</f>
        <v>1.508326602162</v>
      </c>
      <c r="G58" s="957" t="n">
        <f aca="false">(G57/$S57)*100</f>
        <v>7.60410400948665</v>
      </c>
      <c r="H58" s="957" t="n">
        <f aca="false">(H57/$S57)*100</f>
        <v>13.361747469366</v>
      </c>
      <c r="I58" s="957" t="n">
        <f aca="false">(I57/$S57)*100</f>
        <v>0.719920257102102</v>
      </c>
      <c r="J58" s="957" t="n">
        <f aca="false">(J57/$S57)*100</f>
        <v>10.6810799663155</v>
      </c>
      <c r="K58" s="957" t="n">
        <f aca="false">(K57/$S57)*100</f>
        <v>3.26670905872446</v>
      </c>
      <c r="L58" s="957" t="n">
        <f aca="false">(L57/$S57)*100</f>
        <v>5.87167236667984</v>
      </c>
      <c r="M58" s="957" t="n">
        <f aca="false">(M57/$S57)*100</f>
        <v>3.53438053173389</v>
      </c>
      <c r="N58" s="957" t="n">
        <f aca="false">(N57/$S57)*100</f>
        <v>2.37020296629831</v>
      </c>
      <c r="O58" s="957" t="n">
        <f aca="false">(O57/$S57)*100</f>
        <v>1.8996511248217</v>
      </c>
      <c r="P58" s="957" t="n">
        <f aca="false">(P57/$S57)*100</f>
        <v>7.71959372368398</v>
      </c>
      <c r="Q58" s="957" t="n">
        <f aca="false">(Q57/$S57)*100</f>
        <v>96.3484970869782</v>
      </c>
      <c r="R58" s="957" t="n">
        <f aca="false">(R57/$S57)*100</f>
        <v>3.65150291302181</v>
      </c>
      <c r="S58" s="957" t="n">
        <f aca="false">(S57/$S57)*100</f>
        <v>100</v>
      </c>
      <c r="T58" s="846"/>
      <c r="U58" s="846"/>
      <c r="V58" s="312"/>
    </row>
    <row r="59" customFormat="false" ht="21.75" hidden="false" customHeight="false" outlineLevel="0" collapsed="false">
      <c r="A59" s="959" t="s">
        <v>820</v>
      </c>
      <c r="B59" s="989" t="s">
        <v>834</v>
      </c>
      <c r="C59" s="989"/>
      <c r="D59" s="989"/>
      <c r="E59" s="989"/>
      <c r="F59" s="989"/>
      <c r="G59" s="989"/>
      <c r="H59" s="989"/>
      <c r="I59" s="989"/>
      <c r="J59" s="989"/>
      <c r="K59" s="989"/>
      <c r="L59" s="959" t="s">
        <v>835</v>
      </c>
      <c r="M59" s="990" t="s">
        <v>823</v>
      </c>
      <c r="N59" s="852"/>
      <c r="O59" s="852"/>
      <c r="P59" s="852"/>
      <c r="Q59" s="962"/>
      <c r="R59" s="962"/>
      <c r="S59" s="852"/>
      <c r="T59" s="737"/>
      <c r="U59" s="735"/>
      <c r="V59" s="852"/>
    </row>
    <row r="60" customFormat="false" ht="11.25" hidden="false" customHeight="true" outlineLevel="0" collapsed="false">
      <c r="B60" s="991" t="s">
        <v>836</v>
      </c>
      <c r="C60" s="991"/>
      <c r="D60" s="991"/>
      <c r="E60" s="992"/>
      <c r="F60" s="962" t="s">
        <v>825</v>
      </c>
      <c r="G60" s="962"/>
      <c r="H60" s="992"/>
      <c r="I60" s="992"/>
      <c r="J60" s="992"/>
      <c r="K60" s="992"/>
      <c r="M60" s="965"/>
      <c r="N60" s="965"/>
      <c r="O60" s="965"/>
    </row>
  </sheetData>
  <mergeCells count="12">
    <mergeCell ref="A1:K1"/>
    <mergeCell ref="L1:T1"/>
    <mergeCell ref="U1:V1"/>
    <mergeCell ref="J2:K2"/>
    <mergeCell ref="U2:V2"/>
    <mergeCell ref="A3:A4"/>
    <mergeCell ref="V3:V4"/>
    <mergeCell ref="B59:K59"/>
    <mergeCell ref="Q59:R59"/>
    <mergeCell ref="B60:D60"/>
    <mergeCell ref="F60:G60"/>
    <mergeCell ref="M60:O60"/>
  </mergeCells>
  <printOptions headings="false" gridLines="false" gridLinesSet="true" horizontalCentered="false" verticalCentered="false"/>
  <pageMargins left="0.629861111111111" right="0.511805555555555" top="0.511805555555555" bottom="0.511805555555555" header="0.511805555555555" footer="0"/>
  <pageSetup paperSize="1" scale="100" firstPageNumber="48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>&amp;C&amp;"Times New Roman,Regular"&amp;8&amp;P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D65" activeCellId="0" sqref="D65"/>
    </sheetView>
  </sheetViews>
  <sheetFormatPr defaultColWidth="9.15625" defaultRowHeight="11.25" zeroHeight="false" outlineLevelRow="0" outlineLevelCol="0"/>
  <cols>
    <col collapsed="false" customWidth="true" hidden="false" outlineLevel="0" max="1" min="1" style="107" width="8.57"/>
    <col collapsed="false" customWidth="true" hidden="false" outlineLevel="0" max="2" min="2" style="107" width="7"/>
    <col collapsed="false" customWidth="true" hidden="false" outlineLevel="0" max="3" min="3" style="107" width="7.29"/>
    <col collapsed="false" customWidth="true" hidden="false" outlineLevel="0" max="4" min="4" style="107" width="7.42"/>
    <col collapsed="false" customWidth="true" hidden="false" outlineLevel="0" max="5" min="5" style="107" width="7.71"/>
    <col collapsed="false" customWidth="true" hidden="false" outlineLevel="0" max="6" min="6" style="107" width="7"/>
    <col collapsed="false" customWidth="true" hidden="false" outlineLevel="0" max="7" min="7" style="107" width="6.57"/>
    <col collapsed="false" customWidth="true" hidden="false" outlineLevel="0" max="9" min="8" style="107" width="7.29"/>
    <col collapsed="false" customWidth="true" hidden="false" outlineLevel="0" max="10" min="10" style="107" width="7.42"/>
    <col collapsed="false" customWidth="true" hidden="false" outlineLevel="0" max="11" min="11" style="107" width="7.57"/>
    <col collapsed="false" customWidth="true" hidden="false" outlineLevel="0" max="12" min="12" style="107" width="7.71"/>
    <col collapsed="false" customWidth="true" hidden="false" outlineLevel="0" max="13" min="13" style="107" width="7"/>
    <col collapsed="false" customWidth="true" hidden="false" outlineLevel="0" max="14" min="14" style="107" width="7.29"/>
    <col collapsed="false" customWidth="true" hidden="false" outlineLevel="0" max="16" min="15" style="107" width="7.15"/>
    <col collapsed="false" customWidth="true" hidden="false" outlineLevel="0" max="17" min="17" style="107" width="7"/>
    <col collapsed="false" customWidth="true" hidden="false" outlineLevel="0" max="18" min="18" style="107" width="7.29"/>
    <col collapsed="false" customWidth="true" hidden="false" outlineLevel="0" max="19" min="19" style="107" width="7.86"/>
    <col collapsed="false" customWidth="true" hidden="true" outlineLevel="0" max="20" min="20" style="107" width="4.57"/>
    <col collapsed="false" customWidth="true" hidden="false" outlineLevel="0" max="21" min="21" style="107" width="7.42"/>
    <col collapsed="false" customWidth="true" hidden="false" outlineLevel="0" max="22" min="22" style="107" width="7"/>
    <col collapsed="false" customWidth="true" hidden="false" outlineLevel="0" max="23" min="23" style="107" width="6.86"/>
    <col collapsed="false" customWidth="false" hidden="false" outlineLevel="0" max="1024" min="24" style="107" width="9.14"/>
  </cols>
  <sheetData>
    <row r="1" s="108" customFormat="true" ht="14.25" hidden="false" customHeight="true" outlineLevel="0" collapsed="false">
      <c r="B1" s="109" t="s">
        <v>837</v>
      </c>
      <c r="C1" s="109"/>
      <c r="D1" s="109"/>
      <c r="E1" s="109"/>
      <c r="F1" s="109"/>
      <c r="G1" s="109"/>
      <c r="H1" s="109"/>
      <c r="I1" s="109"/>
      <c r="J1" s="109"/>
      <c r="K1" s="109"/>
      <c r="L1" s="117" t="s">
        <v>838</v>
      </c>
      <c r="M1" s="117"/>
      <c r="N1" s="117"/>
      <c r="O1" s="117"/>
      <c r="P1" s="261"/>
      <c r="Q1" s="261"/>
      <c r="R1" s="261"/>
      <c r="U1" s="109" t="s">
        <v>839</v>
      </c>
      <c r="V1" s="109"/>
      <c r="W1" s="109"/>
    </row>
    <row r="2" customFormat="false" ht="12" hidden="false" customHeight="true" outlineLevel="0" collapsed="false">
      <c r="B2" s="377"/>
      <c r="C2" s="377"/>
      <c r="D2" s="993"/>
      <c r="E2" s="993"/>
      <c r="F2" s="943"/>
      <c r="G2" s="943"/>
      <c r="H2" s="943"/>
      <c r="I2" s="943"/>
      <c r="J2" s="994" t="s">
        <v>828</v>
      </c>
      <c r="K2" s="994"/>
      <c r="L2" s="995" t="s">
        <v>829</v>
      </c>
      <c r="M2" s="995"/>
      <c r="N2" s="995"/>
      <c r="O2" s="995"/>
      <c r="P2" s="995"/>
      <c r="S2" s="377"/>
      <c r="T2" s="377"/>
      <c r="V2" s="996" t="s">
        <v>840</v>
      </c>
      <c r="W2" s="996"/>
    </row>
    <row r="3" customFormat="false" ht="13.5" hidden="false" customHeight="true" outlineLevel="0" collapsed="false">
      <c r="A3" s="266" t="s">
        <v>260</v>
      </c>
      <c r="B3" s="997" t="s">
        <v>841</v>
      </c>
      <c r="C3" s="997" t="s">
        <v>842</v>
      </c>
      <c r="D3" s="997" t="s">
        <v>843</v>
      </c>
      <c r="E3" s="997" t="s">
        <v>844</v>
      </c>
      <c r="F3" s="997" t="s">
        <v>845</v>
      </c>
      <c r="G3" s="997" t="s">
        <v>846</v>
      </c>
      <c r="H3" s="997" t="s">
        <v>847</v>
      </c>
      <c r="I3" s="997" t="s">
        <v>848</v>
      </c>
      <c r="J3" s="997" t="s">
        <v>849</v>
      </c>
      <c r="K3" s="997" t="s">
        <v>850</v>
      </c>
      <c r="L3" s="997" t="s">
        <v>851</v>
      </c>
      <c r="M3" s="997" t="s">
        <v>852</v>
      </c>
      <c r="N3" s="997" t="s">
        <v>853</v>
      </c>
      <c r="O3" s="997" t="s">
        <v>854</v>
      </c>
      <c r="P3" s="997" t="s">
        <v>855</v>
      </c>
      <c r="Q3" s="997" t="s">
        <v>856</v>
      </c>
      <c r="R3" s="997" t="s">
        <v>857</v>
      </c>
      <c r="S3" s="998" t="s">
        <v>858</v>
      </c>
      <c r="T3" s="998"/>
      <c r="U3" s="998"/>
      <c r="V3" s="998"/>
      <c r="W3" s="998"/>
    </row>
    <row r="4" s="252" customFormat="true" ht="74.25" hidden="false" customHeight="true" outlineLevel="0" collapsed="false">
      <c r="A4" s="266"/>
      <c r="B4" s="997"/>
      <c r="C4" s="997"/>
      <c r="D4" s="997"/>
      <c r="E4" s="997"/>
      <c r="F4" s="997"/>
      <c r="G4" s="997"/>
      <c r="H4" s="997"/>
      <c r="I4" s="997"/>
      <c r="J4" s="997"/>
      <c r="K4" s="997"/>
      <c r="L4" s="997"/>
      <c r="M4" s="997"/>
      <c r="N4" s="997"/>
      <c r="O4" s="997"/>
      <c r="P4" s="997"/>
      <c r="Q4" s="997"/>
      <c r="R4" s="997"/>
      <c r="S4" s="999" t="s">
        <v>841</v>
      </c>
      <c r="T4" s="999"/>
      <c r="U4" s="999" t="s">
        <v>852</v>
      </c>
      <c r="V4" s="271" t="s">
        <v>859</v>
      </c>
      <c r="W4" s="271" t="s">
        <v>860</v>
      </c>
    </row>
    <row r="5" s="1000" customFormat="true" ht="9.75" hidden="false" customHeight="true" outlineLevel="0" collapsed="false">
      <c r="A5" s="266"/>
      <c r="B5" s="151" t="n">
        <v>1</v>
      </c>
      <c r="C5" s="151" t="n">
        <v>2</v>
      </c>
      <c r="D5" s="151" t="n">
        <v>3</v>
      </c>
      <c r="E5" s="151" t="n">
        <v>4</v>
      </c>
      <c r="F5" s="151" t="n">
        <v>5</v>
      </c>
      <c r="G5" s="151" t="n">
        <v>6</v>
      </c>
      <c r="H5" s="151" t="n">
        <v>7</v>
      </c>
      <c r="I5" s="151" t="n">
        <v>8</v>
      </c>
      <c r="J5" s="151" t="n">
        <v>9</v>
      </c>
      <c r="K5" s="151" t="n">
        <v>10</v>
      </c>
      <c r="L5" s="151" t="n">
        <v>11</v>
      </c>
      <c r="M5" s="151" t="n">
        <v>12</v>
      </c>
      <c r="N5" s="151" t="n">
        <v>13</v>
      </c>
      <c r="O5" s="151" t="n">
        <v>14</v>
      </c>
      <c r="P5" s="151" t="n">
        <v>15</v>
      </c>
      <c r="Q5" s="151" t="n">
        <v>16</v>
      </c>
      <c r="R5" s="151" t="n">
        <v>17</v>
      </c>
      <c r="S5" s="151" t="n">
        <v>18</v>
      </c>
      <c r="T5" s="151"/>
      <c r="U5" s="151" t="n">
        <v>19</v>
      </c>
      <c r="V5" s="151" t="n">
        <v>20</v>
      </c>
      <c r="W5" s="151" t="n">
        <v>21</v>
      </c>
    </row>
    <row r="6" s="252" customFormat="true" ht="9.6" hidden="false" customHeight="true" outlineLevel="0" collapsed="false">
      <c r="A6" s="981" t="s">
        <v>653</v>
      </c>
      <c r="B6" s="1001" t="n">
        <v>253546</v>
      </c>
      <c r="C6" s="1001" t="n">
        <v>262387</v>
      </c>
      <c r="D6" s="1001" t="n">
        <v>2339</v>
      </c>
      <c r="E6" s="1001" t="n">
        <v>264726</v>
      </c>
      <c r="F6" s="1001" t="n">
        <v>207918</v>
      </c>
      <c r="G6" s="1001" t="s">
        <v>861</v>
      </c>
      <c r="H6" s="1001" t="n">
        <v>45628</v>
      </c>
      <c r="I6" s="1001" t="n">
        <v>56809</v>
      </c>
      <c r="J6" s="1001" t="n">
        <v>22.41</v>
      </c>
      <c r="K6" s="1001" t="n">
        <v>58536</v>
      </c>
      <c r="L6" s="1001" t="n">
        <v>23.09</v>
      </c>
      <c r="M6" s="1001" t="n">
        <v>215735</v>
      </c>
      <c r="N6" s="1001" t="n">
        <v>223258</v>
      </c>
      <c r="O6" s="1001" t="n">
        <v>6.94</v>
      </c>
      <c r="P6" s="1001" t="n">
        <v>5.27</v>
      </c>
      <c r="Q6" s="1001" t="n">
        <v>118</v>
      </c>
      <c r="R6" s="1001" t="n">
        <v>12.99</v>
      </c>
      <c r="S6" s="1001" t="n">
        <v>19518</v>
      </c>
      <c r="T6" s="1001"/>
      <c r="U6" s="1001" t="n">
        <v>16608</v>
      </c>
      <c r="V6" s="1001" t="n">
        <v>20199</v>
      </c>
      <c r="W6" s="1001" t="n">
        <v>17187</v>
      </c>
      <c r="X6" s="1002"/>
    </row>
    <row r="7" s="252" customFormat="true" ht="9.6" hidden="false" customHeight="true" outlineLevel="0" collapsed="false">
      <c r="A7" s="305"/>
      <c r="B7" s="1003" t="s">
        <v>862</v>
      </c>
      <c r="C7" s="1003" t="s">
        <v>863</v>
      </c>
      <c r="D7" s="1003" t="s">
        <v>864</v>
      </c>
      <c r="E7" s="1003" t="s">
        <v>865</v>
      </c>
      <c r="F7" s="1003" t="s">
        <v>866</v>
      </c>
      <c r="G7" s="1003"/>
      <c r="H7" s="1003" t="s">
        <v>867</v>
      </c>
      <c r="I7" s="1003" t="s">
        <v>868</v>
      </c>
      <c r="J7" s="1003"/>
      <c r="K7" s="1003" t="s">
        <v>869</v>
      </c>
      <c r="L7" s="1003"/>
      <c r="M7" s="1003"/>
      <c r="N7" s="1003"/>
      <c r="O7" s="1003"/>
      <c r="P7" s="1003"/>
      <c r="Q7" s="1003"/>
      <c r="R7" s="1003"/>
      <c r="S7" s="1003" t="s">
        <v>870</v>
      </c>
      <c r="T7" s="1003"/>
      <c r="U7" s="1003"/>
      <c r="V7" s="1003" t="s">
        <v>871</v>
      </c>
      <c r="W7" s="1003"/>
      <c r="X7" s="1002"/>
    </row>
    <row r="8" s="252" customFormat="true" ht="9.6" hidden="false" customHeight="true" outlineLevel="0" collapsed="false">
      <c r="A8" s="981" t="s">
        <v>654</v>
      </c>
      <c r="B8" s="1001" t="s">
        <v>872</v>
      </c>
      <c r="C8" s="1001" t="s">
        <v>873</v>
      </c>
      <c r="D8" s="1001" t="s">
        <v>874</v>
      </c>
      <c r="E8" s="1001" t="s">
        <v>875</v>
      </c>
      <c r="F8" s="1001" t="s">
        <v>876</v>
      </c>
      <c r="G8" s="1001" t="s">
        <v>877</v>
      </c>
      <c r="H8" s="1001" t="s">
        <v>878</v>
      </c>
      <c r="I8" s="1001" t="s">
        <v>879</v>
      </c>
      <c r="J8" s="1001" t="s">
        <v>880</v>
      </c>
      <c r="K8" s="1001" t="s">
        <v>881</v>
      </c>
      <c r="L8" s="1001" t="n">
        <v>23.15</v>
      </c>
      <c r="M8" s="1001" t="n">
        <v>225261</v>
      </c>
      <c r="N8" s="1001" t="n">
        <v>235603</v>
      </c>
      <c r="O8" s="1001" t="n">
        <v>7.75</v>
      </c>
      <c r="P8" s="1001" t="n">
        <v>4.42</v>
      </c>
      <c r="Q8" s="1001" t="n">
        <v>121</v>
      </c>
      <c r="R8" s="1001" t="n">
        <v>13.16</v>
      </c>
      <c r="S8" s="1001" t="n">
        <v>20760</v>
      </c>
      <c r="T8" s="1001"/>
      <c r="U8" s="1001" t="n">
        <v>17117</v>
      </c>
      <c r="V8" s="1001" t="s">
        <v>882</v>
      </c>
      <c r="W8" s="1001" t="n">
        <v>17903</v>
      </c>
      <c r="X8" s="1002"/>
    </row>
    <row r="9" s="252" customFormat="true" ht="9.6" hidden="false" customHeight="true" outlineLevel="0" collapsed="false">
      <c r="A9" s="305"/>
      <c r="B9" s="1003" t="s">
        <v>883</v>
      </c>
      <c r="C9" s="1003" t="s">
        <v>884</v>
      </c>
      <c r="D9" s="1003" t="s">
        <v>885</v>
      </c>
      <c r="E9" s="1003" t="s">
        <v>886</v>
      </c>
      <c r="F9" s="1003" t="s">
        <v>887</v>
      </c>
      <c r="G9" s="1003"/>
      <c r="H9" s="1003" t="s">
        <v>888</v>
      </c>
      <c r="I9" s="1003" t="s">
        <v>889</v>
      </c>
      <c r="J9" s="1003"/>
      <c r="K9" s="1003" t="s">
        <v>890</v>
      </c>
      <c r="L9" s="1003"/>
      <c r="M9" s="1003"/>
      <c r="N9" s="1003"/>
      <c r="O9" s="1003"/>
      <c r="P9" s="1003"/>
      <c r="Q9" s="1003"/>
      <c r="R9" s="1003"/>
      <c r="S9" s="1003" t="s">
        <v>891</v>
      </c>
      <c r="T9" s="1003"/>
      <c r="U9" s="1003"/>
      <c r="V9" s="1003" t="s">
        <v>892</v>
      </c>
      <c r="W9" s="1003"/>
      <c r="X9" s="1002"/>
    </row>
    <row r="10" s="252" customFormat="true" ht="9.6" hidden="false" customHeight="true" outlineLevel="0" collapsed="false">
      <c r="A10" s="981" t="s">
        <v>655</v>
      </c>
      <c r="B10" s="1001" t="s">
        <v>893</v>
      </c>
      <c r="C10" s="1001" t="n">
        <v>317163</v>
      </c>
      <c r="D10" s="1001" t="n">
        <v>2158</v>
      </c>
      <c r="E10" s="1001" t="n">
        <v>319322</v>
      </c>
      <c r="F10" s="1001" t="n">
        <v>244570</v>
      </c>
      <c r="G10" s="1001" t="n">
        <v>81.79</v>
      </c>
      <c r="H10" s="1001" t="n">
        <v>56010</v>
      </c>
      <c r="I10" s="1001" t="n">
        <v>74752</v>
      </c>
      <c r="J10" s="1001" t="n">
        <v>24.45</v>
      </c>
      <c r="K10" s="1001" t="n">
        <v>70352</v>
      </c>
      <c r="L10" s="1001" t="n">
        <v>23.41</v>
      </c>
      <c r="M10" s="1001" t="n">
        <v>237101</v>
      </c>
      <c r="N10" s="1001" t="n">
        <v>250182</v>
      </c>
      <c r="O10" s="1001" t="n">
        <v>10.02</v>
      </c>
      <c r="P10" s="1001" t="n">
        <v>5.26</v>
      </c>
      <c r="Q10" s="1001" t="n">
        <v>127</v>
      </c>
      <c r="R10" s="1001" t="n">
        <v>13.34</v>
      </c>
      <c r="S10" s="1001" t="n">
        <v>22532</v>
      </c>
      <c r="T10" s="1001"/>
      <c r="U10" s="1001" t="n">
        <v>17774</v>
      </c>
      <c r="V10" s="1001" t="n">
        <v>23773</v>
      </c>
      <c r="W10" s="1001" t="n">
        <v>18754</v>
      </c>
      <c r="X10" s="1002"/>
    </row>
    <row r="11" s="252" customFormat="true" ht="9.6" hidden="false" customHeight="true" outlineLevel="0" collapsed="false">
      <c r="A11" s="305"/>
      <c r="B11" s="1003" t="s">
        <v>894</v>
      </c>
      <c r="C11" s="1003" t="s">
        <v>895</v>
      </c>
      <c r="D11" s="1003" t="s">
        <v>896</v>
      </c>
      <c r="E11" s="1003" t="s">
        <v>897</v>
      </c>
      <c r="F11" s="1003" t="s">
        <v>898</v>
      </c>
      <c r="G11" s="1003"/>
      <c r="H11" s="1003" t="s">
        <v>899</v>
      </c>
      <c r="I11" s="1003" t="s">
        <v>900</v>
      </c>
      <c r="J11" s="1003"/>
      <c r="K11" s="1003" t="s">
        <v>901</v>
      </c>
      <c r="L11" s="1003"/>
      <c r="M11" s="1003"/>
      <c r="N11" s="1003"/>
      <c r="O11" s="1003"/>
      <c r="P11" s="1003"/>
      <c r="Q11" s="1003"/>
      <c r="R11" s="1003"/>
      <c r="S11" s="1003" t="s">
        <v>902</v>
      </c>
      <c r="T11" s="1003"/>
      <c r="U11" s="1003"/>
      <c r="V11" s="1003" t="s">
        <v>903</v>
      </c>
      <c r="W11" s="1003"/>
      <c r="X11" s="1002"/>
    </row>
    <row r="12" s="252" customFormat="true" ht="9.6" hidden="false" customHeight="true" outlineLevel="0" collapsed="false">
      <c r="A12" s="981" t="s">
        <v>656</v>
      </c>
      <c r="B12" s="1001" t="s">
        <v>904</v>
      </c>
      <c r="C12" s="1001" t="n">
        <v>350526</v>
      </c>
      <c r="D12" s="1001" t="n">
        <v>2121</v>
      </c>
      <c r="E12" s="1001" t="n">
        <v>352647</v>
      </c>
      <c r="F12" s="1001" t="n">
        <v>267927</v>
      </c>
      <c r="G12" s="1001" t="n">
        <v>80.74</v>
      </c>
      <c r="H12" s="1001" t="n">
        <v>65046</v>
      </c>
      <c r="I12" s="1001" t="n">
        <v>84719</v>
      </c>
      <c r="J12" s="1001" t="n">
        <v>25.44</v>
      </c>
      <c r="K12" s="1001" t="n">
        <v>79991</v>
      </c>
      <c r="L12" s="1001" t="n">
        <v>24.02</v>
      </c>
      <c r="M12" s="1001" t="n">
        <v>251968</v>
      </c>
      <c r="N12" s="1001" t="n">
        <v>265251</v>
      </c>
      <c r="O12" s="1001" t="n">
        <v>10.78</v>
      </c>
      <c r="P12" s="1001" t="n">
        <v>6.27</v>
      </c>
      <c r="Q12" s="1001" t="n">
        <v>132</v>
      </c>
      <c r="R12" s="1001" t="n">
        <v>13.52</v>
      </c>
      <c r="S12" s="1001" t="n">
        <v>24628</v>
      </c>
      <c r="T12" s="1001"/>
      <c r="U12" s="1001" t="n">
        <v>18637</v>
      </c>
      <c r="V12" s="1001" t="n">
        <v>25926</v>
      </c>
      <c r="W12" s="1001" t="n">
        <v>19619</v>
      </c>
      <c r="X12" s="1002"/>
    </row>
    <row r="13" s="252" customFormat="true" ht="9.6" hidden="false" customHeight="true" outlineLevel="0" collapsed="false">
      <c r="A13" s="305"/>
      <c r="B13" s="1003" t="s">
        <v>905</v>
      </c>
      <c r="C13" s="1003" t="s">
        <v>906</v>
      </c>
      <c r="D13" s="1003" t="s">
        <v>907</v>
      </c>
      <c r="E13" s="1003" t="s">
        <v>908</v>
      </c>
      <c r="F13" s="1003" t="s">
        <v>909</v>
      </c>
      <c r="G13" s="1003"/>
      <c r="H13" s="1003" t="s">
        <v>910</v>
      </c>
      <c r="I13" s="1003" t="s">
        <v>911</v>
      </c>
      <c r="J13" s="1003"/>
      <c r="K13" s="1003" t="s">
        <v>912</v>
      </c>
      <c r="L13" s="1003"/>
      <c r="M13" s="1003"/>
      <c r="N13" s="1003"/>
      <c r="O13" s="1003"/>
      <c r="P13" s="1003"/>
      <c r="Q13" s="1003"/>
      <c r="R13" s="1003"/>
      <c r="S13" s="1003" t="s">
        <v>913</v>
      </c>
      <c r="T13" s="1003"/>
      <c r="U13" s="1003"/>
      <c r="V13" s="1003" t="s">
        <v>914</v>
      </c>
      <c r="W13" s="1003"/>
      <c r="X13" s="1002"/>
    </row>
    <row r="14" s="252" customFormat="true" ht="9.6" hidden="false" customHeight="true" outlineLevel="0" collapsed="false">
      <c r="A14" s="981" t="s">
        <v>657</v>
      </c>
      <c r="B14" s="1001" t="n">
        <v>370707</v>
      </c>
      <c r="C14" s="1001" t="n">
        <v>389635</v>
      </c>
      <c r="D14" s="1001" t="n">
        <v>2681</v>
      </c>
      <c r="E14" s="1001" t="n">
        <v>392316</v>
      </c>
      <c r="F14" s="1001" t="n">
        <v>296512</v>
      </c>
      <c r="G14" s="1001" t="n">
        <v>79.99</v>
      </c>
      <c r="H14" s="1001" t="n">
        <v>74195</v>
      </c>
      <c r="I14" s="1001" t="n">
        <v>95804</v>
      </c>
      <c r="J14" s="1001" t="n">
        <v>25.84</v>
      </c>
      <c r="K14" s="1001" t="s">
        <v>915</v>
      </c>
      <c r="L14" s="1001" t="n">
        <v>24.53</v>
      </c>
      <c r="M14" s="1001" t="n">
        <v>266974</v>
      </c>
      <c r="N14" s="1001" t="n">
        <v>280606</v>
      </c>
      <c r="O14" s="1001" t="n">
        <v>11.33</v>
      </c>
      <c r="P14" s="1001" t="n">
        <v>5.96</v>
      </c>
      <c r="Q14" s="1001" t="n">
        <v>139</v>
      </c>
      <c r="R14" s="1001" t="s">
        <v>916</v>
      </c>
      <c r="S14" s="1001" t="n">
        <v>27061</v>
      </c>
      <c r="T14" s="1001"/>
      <c r="U14" s="1001" t="n">
        <v>19489</v>
      </c>
      <c r="V14" s="1001" t="n">
        <v>28443</v>
      </c>
      <c r="W14" s="1001" t="n">
        <v>20484</v>
      </c>
      <c r="X14" s="1002"/>
    </row>
    <row r="15" s="252" customFormat="true" ht="9.6" hidden="false" customHeight="true" outlineLevel="0" collapsed="false">
      <c r="A15" s="305"/>
      <c r="B15" s="1003" t="s">
        <v>917</v>
      </c>
      <c r="C15" s="1003" t="s">
        <v>918</v>
      </c>
      <c r="D15" s="1003" t="s">
        <v>919</v>
      </c>
      <c r="E15" s="1003" t="s">
        <v>920</v>
      </c>
      <c r="F15" s="1003" t="s">
        <v>921</v>
      </c>
      <c r="G15" s="1003"/>
      <c r="H15" s="1003" t="s">
        <v>922</v>
      </c>
      <c r="I15" s="1003" t="s">
        <v>923</v>
      </c>
      <c r="J15" s="1003"/>
      <c r="K15" s="1003" t="s">
        <v>924</v>
      </c>
      <c r="L15" s="1003"/>
      <c r="M15" s="1003"/>
      <c r="N15" s="1003"/>
      <c r="O15" s="1003"/>
      <c r="P15" s="1003"/>
      <c r="Q15" s="1003"/>
      <c r="R15" s="1003"/>
      <c r="S15" s="1003" t="s">
        <v>925</v>
      </c>
      <c r="T15" s="1003"/>
      <c r="U15" s="1003"/>
      <c r="V15" s="1003" t="s">
        <v>926</v>
      </c>
      <c r="W15" s="1003"/>
      <c r="X15" s="1002"/>
    </row>
    <row r="16" s="252" customFormat="true" ht="9.6" hidden="false" customHeight="true" outlineLevel="0" collapsed="false">
      <c r="A16" s="981" t="s">
        <v>658</v>
      </c>
      <c r="B16" s="1001" t="n">
        <v>415728</v>
      </c>
      <c r="C16" s="1001" t="n">
        <v>442935</v>
      </c>
      <c r="D16" s="1001" t="n">
        <v>3653</v>
      </c>
      <c r="E16" s="1001" t="s">
        <v>927</v>
      </c>
      <c r="F16" s="1001" t="n">
        <v>331552</v>
      </c>
      <c r="G16" s="1001" t="n">
        <v>79.75</v>
      </c>
      <c r="H16" s="1001" t="n">
        <v>84176</v>
      </c>
      <c r="I16" s="1001" t="n">
        <v>115036</v>
      </c>
      <c r="J16" s="1001" t="n">
        <v>27.67</v>
      </c>
      <c r="K16" s="1001" t="n">
        <v>102480</v>
      </c>
      <c r="L16" s="1001" t="n">
        <v>24.65</v>
      </c>
      <c r="M16" s="1001" t="n">
        <v>284673</v>
      </c>
      <c r="N16" s="1001" t="n">
        <v>303303</v>
      </c>
      <c r="O16" s="1001" t="n">
        <v>12.14</v>
      </c>
      <c r="P16" s="1001" t="s">
        <v>928</v>
      </c>
      <c r="Q16" s="1001" t="n">
        <v>146</v>
      </c>
      <c r="R16" s="1001" t="n">
        <v>13.88</v>
      </c>
      <c r="S16" s="1001" t="n">
        <v>29955</v>
      </c>
      <c r="T16" s="1001"/>
      <c r="U16" s="1001" t="n">
        <v>20512</v>
      </c>
      <c r="V16" s="1001" t="n">
        <v>31915</v>
      </c>
      <c r="W16" s="1001" t="n">
        <v>21854</v>
      </c>
      <c r="X16" s="1002"/>
    </row>
    <row r="17" s="252" customFormat="true" ht="9.6" hidden="false" customHeight="true" outlineLevel="0" collapsed="false">
      <c r="A17" s="305"/>
      <c r="B17" s="1003" t="s">
        <v>929</v>
      </c>
      <c r="C17" s="1003" t="s">
        <v>930</v>
      </c>
      <c r="D17" s="1003" t="s">
        <v>931</v>
      </c>
      <c r="E17" s="1003" t="s">
        <v>932</v>
      </c>
      <c r="F17" s="1003" t="s">
        <v>933</v>
      </c>
      <c r="G17" s="1003"/>
      <c r="H17" s="1003" t="s">
        <v>934</v>
      </c>
      <c r="I17" s="1003" t="s">
        <v>935</v>
      </c>
      <c r="J17" s="1003"/>
      <c r="K17" s="1003" t="s">
        <v>936</v>
      </c>
      <c r="L17" s="1003"/>
      <c r="M17" s="1003"/>
      <c r="N17" s="1003"/>
      <c r="O17" s="1003"/>
      <c r="P17" s="1003"/>
      <c r="Q17" s="1003"/>
      <c r="R17" s="1003"/>
      <c r="S17" s="1003" t="s">
        <v>937</v>
      </c>
      <c r="T17" s="1003"/>
      <c r="U17" s="1003"/>
      <c r="V17" s="1003" t="s">
        <v>938</v>
      </c>
      <c r="W17" s="1003"/>
      <c r="X17" s="1002"/>
    </row>
    <row r="18" s="252" customFormat="true" ht="9.6" hidden="false" customHeight="true" outlineLevel="0" collapsed="false">
      <c r="A18" s="279" t="s">
        <v>558</v>
      </c>
      <c r="B18" s="1001" t="s">
        <v>788</v>
      </c>
      <c r="C18" s="1001" t="s">
        <v>939</v>
      </c>
      <c r="D18" s="1001" t="s">
        <v>940</v>
      </c>
      <c r="E18" s="1001" t="s">
        <v>941</v>
      </c>
      <c r="F18" s="1001" t="s">
        <v>942</v>
      </c>
      <c r="G18" s="1001" t="s">
        <v>943</v>
      </c>
      <c r="H18" s="1001" t="s">
        <v>944</v>
      </c>
      <c r="I18" s="1001" t="s">
        <v>945</v>
      </c>
      <c r="J18" s="1001" t="s">
        <v>946</v>
      </c>
      <c r="K18" s="1001" t="s">
        <v>947</v>
      </c>
      <c r="L18" s="1004" t="s">
        <v>948</v>
      </c>
      <c r="M18" s="1004" t="s">
        <v>949</v>
      </c>
      <c r="N18" s="1004" t="s">
        <v>950</v>
      </c>
      <c r="O18" s="1004" t="s">
        <v>951</v>
      </c>
      <c r="P18" s="1004" t="s">
        <v>952</v>
      </c>
      <c r="Q18" s="1004" t="s">
        <v>953</v>
      </c>
      <c r="R18" s="281" t="n">
        <v>14.06</v>
      </c>
      <c r="S18" s="1004" t="s">
        <v>954</v>
      </c>
      <c r="T18" s="1004"/>
      <c r="U18" s="1004" t="s">
        <v>955</v>
      </c>
      <c r="V18" s="1004" t="s">
        <v>956</v>
      </c>
      <c r="W18" s="1004" t="s">
        <v>957</v>
      </c>
      <c r="X18" s="1005"/>
    </row>
    <row r="19" s="252" customFormat="true" ht="9.6" hidden="false" customHeight="true" outlineLevel="0" collapsed="false">
      <c r="A19" s="287"/>
      <c r="B19" s="1006" t="s">
        <v>958</v>
      </c>
      <c r="C19" s="1006" t="s">
        <v>959</v>
      </c>
      <c r="D19" s="1006" t="s">
        <v>960</v>
      </c>
      <c r="E19" s="1006" t="s">
        <v>961</v>
      </c>
      <c r="F19" s="1006" t="s">
        <v>962</v>
      </c>
      <c r="G19" s="1006"/>
      <c r="H19" s="1006" t="s">
        <v>963</v>
      </c>
      <c r="I19" s="1006" t="s">
        <v>964</v>
      </c>
      <c r="J19" s="1006"/>
      <c r="K19" s="1006" t="s">
        <v>965</v>
      </c>
      <c r="L19" s="1006"/>
      <c r="M19" s="1006"/>
      <c r="N19" s="1006"/>
      <c r="O19" s="1006"/>
      <c r="P19" s="1006"/>
      <c r="Q19" s="1006"/>
      <c r="R19" s="1006"/>
      <c r="S19" s="1006" t="s">
        <v>966</v>
      </c>
      <c r="T19" s="1006"/>
      <c r="U19" s="1006"/>
      <c r="V19" s="1006" t="s">
        <v>967</v>
      </c>
      <c r="W19" s="1006"/>
      <c r="X19" s="1005"/>
    </row>
    <row r="20" s="252" customFormat="true" ht="9.6" hidden="false" customHeight="true" outlineLevel="0" collapsed="false">
      <c r="A20" s="1007" t="s">
        <v>531</v>
      </c>
      <c r="B20" s="986" t="s">
        <v>805</v>
      </c>
      <c r="C20" s="986" t="n">
        <v>594212</v>
      </c>
      <c r="D20" s="986" t="s">
        <v>968</v>
      </c>
      <c r="E20" s="986" t="s">
        <v>969</v>
      </c>
      <c r="F20" s="986" t="s">
        <v>970</v>
      </c>
      <c r="G20" s="986" t="s">
        <v>971</v>
      </c>
      <c r="H20" s="986" t="s">
        <v>972</v>
      </c>
      <c r="I20" s="986" t="s">
        <v>973</v>
      </c>
      <c r="J20" s="986" t="s">
        <v>974</v>
      </c>
      <c r="K20" s="986" t="s">
        <v>975</v>
      </c>
      <c r="L20" s="986" t="s">
        <v>976</v>
      </c>
      <c r="M20" s="986" t="s">
        <v>977</v>
      </c>
      <c r="N20" s="986" t="n">
        <v>350248</v>
      </c>
      <c r="O20" s="986" t="s">
        <v>978</v>
      </c>
      <c r="P20" s="986" t="s">
        <v>979</v>
      </c>
      <c r="Q20" s="986" t="s">
        <v>980</v>
      </c>
      <c r="R20" s="281" t="s">
        <v>981</v>
      </c>
      <c r="S20" s="282" t="n">
        <v>38330</v>
      </c>
      <c r="T20" s="986"/>
      <c r="U20" s="986" t="s">
        <v>982</v>
      </c>
      <c r="V20" s="986" t="n">
        <v>41728</v>
      </c>
      <c r="W20" s="986" t="n">
        <v>24596</v>
      </c>
      <c r="X20" s="1005"/>
    </row>
    <row r="21" s="279" customFormat="true" ht="9.6" hidden="false" customHeight="true" outlineLevel="0" collapsed="false">
      <c r="A21" s="1008"/>
      <c r="B21" s="1009" t="n">
        <v>-79565.889212828</v>
      </c>
      <c r="C21" s="1009" t="n">
        <v>-86619.8250728863</v>
      </c>
      <c r="D21" s="1009" t="n">
        <v>-826.67638483965</v>
      </c>
      <c r="E21" s="1009" t="n">
        <v>-87446.501457726</v>
      </c>
      <c r="F21" s="1009" t="n">
        <v>-63406.8513119534</v>
      </c>
      <c r="G21" s="1009"/>
      <c r="H21" s="1009" t="n">
        <v>-16159.0379008746</v>
      </c>
      <c r="I21" s="1009" t="n">
        <v>-24039.6501457726</v>
      </c>
      <c r="J21" s="1009"/>
      <c r="K21" s="1009" t="n">
        <v>-19261.2244897959</v>
      </c>
      <c r="L21" s="1010"/>
      <c r="M21" s="1010"/>
      <c r="N21" s="1010"/>
      <c r="O21" s="1010"/>
      <c r="P21" s="1010"/>
      <c r="Q21" s="1010"/>
      <c r="R21" s="1010"/>
      <c r="S21" s="1011" t="n">
        <v>559</v>
      </c>
      <c r="T21" s="1010"/>
      <c r="U21" s="1010"/>
      <c r="V21" s="1009" t="n">
        <v>-608</v>
      </c>
      <c r="W21" s="1010"/>
      <c r="X21" s="1012"/>
    </row>
    <row r="22" s="252" customFormat="true" ht="9.6" hidden="false" customHeight="true" outlineLevel="0" collapsed="false">
      <c r="A22" s="1013" t="s">
        <v>532</v>
      </c>
      <c r="B22" s="986" t="n">
        <v>614795</v>
      </c>
      <c r="C22" s="986" t="n">
        <v>670696</v>
      </c>
      <c r="D22" s="986" t="n">
        <v>2407</v>
      </c>
      <c r="E22" s="986" t="n">
        <v>673103</v>
      </c>
      <c r="F22" s="986" t="n">
        <v>491291</v>
      </c>
      <c r="G22" s="281" t="n">
        <v>79.91</v>
      </c>
      <c r="H22" s="986" t="n">
        <v>123504</v>
      </c>
      <c r="I22" s="986" t="n">
        <v>181812</v>
      </c>
      <c r="J22" s="986" t="n">
        <v>29.57</v>
      </c>
      <c r="K22" s="986" t="n">
        <v>149839</v>
      </c>
      <c r="L22" s="986" t="n">
        <v>24.37</v>
      </c>
      <c r="M22" s="986" t="n">
        <v>340197</v>
      </c>
      <c r="N22" s="986" t="n">
        <v>371130</v>
      </c>
      <c r="O22" s="986" t="n">
        <v>12.64</v>
      </c>
      <c r="P22" s="986" t="n">
        <v>5.74</v>
      </c>
      <c r="Q22" s="986" t="n">
        <v>181</v>
      </c>
      <c r="R22" s="986" t="s">
        <v>983</v>
      </c>
      <c r="S22" s="986" t="n">
        <v>42628</v>
      </c>
      <c r="T22" s="986"/>
      <c r="U22" s="986" t="n">
        <v>23588</v>
      </c>
      <c r="V22" s="986" t="n">
        <v>46504</v>
      </c>
      <c r="W22" s="986" t="n">
        <v>25733</v>
      </c>
      <c r="X22" s="1002"/>
    </row>
    <row r="23" s="252" customFormat="true" ht="9.6" hidden="false" customHeight="true" outlineLevel="0" collapsed="false">
      <c r="A23" s="287"/>
      <c r="B23" s="1011" t="n">
        <f aca="false">(B22/68.8)*10</f>
        <v>89359.738372093</v>
      </c>
      <c r="C23" s="1011" t="n">
        <f aca="false">(C22/68.8)*10</f>
        <v>97484.8837209302</v>
      </c>
      <c r="D23" s="1011" t="n">
        <f aca="false">(D22/68.8)*10</f>
        <v>349.854651162791</v>
      </c>
      <c r="E23" s="1011" t="n">
        <f aca="false">(E22/68.8)*10</f>
        <v>97834.738372093</v>
      </c>
      <c r="F23" s="1011" t="n">
        <f aca="false">(F22/68.8)*10</f>
        <v>71408.5755813954</v>
      </c>
      <c r="G23" s="1011"/>
      <c r="H23" s="1011" t="n">
        <f aca="false">(H22/68.8)*10</f>
        <v>17951.1627906977</v>
      </c>
      <c r="I23" s="1011" t="n">
        <f aca="false">(I22/68.8)*10</f>
        <v>26426.1627906977</v>
      </c>
      <c r="J23" s="1011"/>
      <c r="K23" s="1011" t="n">
        <f aca="false">(K22/68.8)*10</f>
        <v>21778.9244186046</v>
      </c>
      <c r="L23" s="1006"/>
      <c r="M23" s="1006"/>
      <c r="N23" s="1006"/>
      <c r="O23" s="1006"/>
      <c r="P23" s="1006"/>
      <c r="Q23" s="1006"/>
      <c r="R23" s="1006"/>
      <c r="S23" s="1011" t="n">
        <f aca="false">(S22/68.8)</f>
        <v>619.593023255814</v>
      </c>
      <c r="T23" s="1006"/>
      <c r="U23" s="1006"/>
      <c r="V23" s="1011" t="n">
        <f aca="false">(V22/68.8)</f>
        <v>675.93023255814</v>
      </c>
      <c r="W23" s="1006"/>
      <c r="X23" s="1002"/>
    </row>
    <row r="24" s="252" customFormat="true" ht="9.6" hidden="false" customHeight="true" outlineLevel="0" collapsed="false">
      <c r="A24" s="279" t="s">
        <v>203</v>
      </c>
      <c r="B24" s="1014" t="n">
        <v>694324</v>
      </c>
      <c r="C24" s="985" t="n">
        <v>758928</v>
      </c>
      <c r="D24" s="985" t="n">
        <v>4248</v>
      </c>
      <c r="E24" s="985" t="n">
        <v>763176</v>
      </c>
      <c r="F24" s="985" t="n">
        <v>554771</v>
      </c>
      <c r="G24" s="281" t="n">
        <f aca="false">(F24/B24)*100</f>
        <v>79.9008820089756</v>
      </c>
      <c r="H24" s="985" t="n">
        <v>139553</v>
      </c>
      <c r="I24" s="985" t="n">
        <v>208405</v>
      </c>
      <c r="J24" s="281" t="n">
        <f aca="false">(I24/B24)*100</f>
        <v>30.0155258928109</v>
      </c>
      <c r="K24" s="985" t="n">
        <v>169511</v>
      </c>
      <c r="L24" s="281" t="n">
        <f aca="false">(K24/B24)*100</f>
        <v>24.4138183326516</v>
      </c>
      <c r="M24" s="1004" t="s">
        <v>984</v>
      </c>
      <c r="N24" s="1004" t="s">
        <v>985</v>
      </c>
      <c r="O24" s="1004" t="s">
        <v>986</v>
      </c>
      <c r="P24" s="1004" t="s">
        <v>987</v>
      </c>
      <c r="Q24" s="1004" t="s">
        <v>988</v>
      </c>
      <c r="R24" s="1004" t="s">
        <v>989</v>
      </c>
      <c r="S24" s="1004" t="s">
        <v>990</v>
      </c>
      <c r="T24" s="1004"/>
      <c r="U24" s="1004" t="s">
        <v>991</v>
      </c>
      <c r="V24" s="1004" t="s">
        <v>992</v>
      </c>
      <c r="W24" s="1004" t="s">
        <v>993</v>
      </c>
      <c r="X24" s="1002"/>
    </row>
    <row r="25" s="279" customFormat="true" ht="9.6" hidden="false" customHeight="true" outlineLevel="0" collapsed="false">
      <c r="A25" s="287"/>
      <c r="B25" s="1011" t="n">
        <f aca="false">(B24/69.18)*10</f>
        <v>100364.845331021</v>
      </c>
      <c r="C25" s="1011" t="n">
        <f aca="false">(C24/69.18)*10</f>
        <v>109703.382480486</v>
      </c>
      <c r="D25" s="1011" t="n">
        <f aca="false">(D24/69.18)*10</f>
        <v>614.050303555941</v>
      </c>
      <c r="E25" s="1011" t="n">
        <f aca="false">(E24/69.18)*10</f>
        <v>110317.432784042</v>
      </c>
      <c r="F25" s="1011" t="n">
        <f aca="false">(F24/69.18)*10</f>
        <v>80192.3966464296</v>
      </c>
      <c r="G25" s="1011"/>
      <c r="H25" s="1011" t="n">
        <f aca="false">(H24/69.18)*10</f>
        <v>20172.4486845909</v>
      </c>
      <c r="I25" s="1011" t="n">
        <f aca="false">(I24/69.18)*10</f>
        <v>30125.036137612</v>
      </c>
      <c r="J25" s="1011"/>
      <c r="K25" s="1011" t="n">
        <f aca="false">(K24/69.18)*10</f>
        <v>24502.8910089621</v>
      </c>
      <c r="L25" s="1006"/>
      <c r="M25" s="1006"/>
      <c r="N25" s="1006"/>
      <c r="O25" s="1006"/>
      <c r="P25" s="1006"/>
      <c r="Q25" s="1006"/>
      <c r="R25" s="1006"/>
      <c r="S25" s="1011" t="n">
        <f aca="false">S24/69.18</f>
        <v>687.135010118531</v>
      </c>
      <c r="T25" s="1006"/>
      <c r="U25" s="1006"/>
      <c r="V25" s="1011" t="n">
        <f aca="false">V24/69.18</f>
        <v>751.069673315987</v>
      </c>
      <c r="W25" s="1006"/>
      <c r="X25" s="1012"/>
    </row>
    <row r="26" s="279" customFormat="true" ht="9.6" hidden="false" customHeight="true" outlineLevel="0" collapsed="false">
      <c r="A26" s="279" t="s">
        <v>205</v>
      </c>
      <c r="B26" s="986" t="n">
        <v>796704</v>
      </c>
      <c r="C26" s="986" t="n">
        <v>869217</v>
      </c>
      <c r="D26" s="986" t="n">
        <v>3101</v>
      </c>
      <c r="E26" s="986" t="n">
        <v>872319</v>
      </c>
      <c r="F26" s="986" t="n">
        <v>643022</v>
      </c>
      <c r="G26" s="281" t="n">
        <f aca="false">(F26/B26)*100</f>
        <v>80.7102763385147</v>
      </c>
      <c r="H26" s="986" t="n">
        <v>153682</v>
      </c>
      <c r="I26" s="986" t="n">
        <v>229297</v>
      </c>
      <c r="J26" s="281" t="n">
        <f aca="false">(I26/B26)*100</f>
        <v>28.7807014901394</v>
      </c>
      <c r="K26" s="986" t="n">
        <v>200378</v>
      </c>
      <c r="L26" s="281" t="n">
        <f aca="false">(K26/B26)*100</f>
        <v>25.1508715909547</v>
      </c>
      <c r="M26" s="1004" t="s">
        <v>994</v>
      </c>
      <c r="N26" s="1004" t="s">
        <v>995</v>
      </c>
      <c r="O26" s="1004" t="s">
        <v>996</v>
      </c>
      <c r="P26" s="1004" t="s">
        <v>997</v>
      </c>
      <c r="Q26" s="1015" t="s">
        <v>998</v>
      </c>
      <c r="R26" s="1004" t="s">
        <v>999</v>
      </c>
      <c r="S26" s="986" t="n">
        <v>53238</v>
      </c>
      <c r="T26" s="1004"/>
      <c r="U26" s="1015" t="s">
        <v>1000</v>
      </c>
      <c r="V26" s="986" t="n">
        <v>58083</v>
      </c>
      <c r="W26" s="1004" t="s">
        <v>1001</v>
      </c>
      <c r="X26" s="1016"/>
    </row>
    <row r="27" s="279" customFormat="true" ht="9.6" hidden="false" customHeight="true" outlineLevel="0" collapsed="false">
      <c r="A27" s="287"/>
      <c r="B27" s="1011" t="n">
        <f aca="false">(B26/71.17)*10</f>
        <v>111943.796543487</v>
      </c>
      <c r="C27" s="1011" t="n">
        <f aca="false">(C26/71.17)*10</f>
        <v>122132.499648728</v>
      </c>
      <c r="D27" s="1011" t="n">
        <f aca="false">(D26/71.17)*10</f>
        <v>435.717296613742</v>
      </c>
      <c r="E27" s="1011" t="n">
        <f aca="false">(E26/71.17)*10</f>
        <v>122568.357453983</v>
      </c>
      <c r="F27" s="1011" t="n">
        <f aca="false">(F26/71.17)*10</f>
        <v>90350.1475340734</v>
      </c>
      <c r="G27" s="1011"/>
      <c r="H27" s="1011" t="n">
        <f aca="false">(H26/71.17)*10</f>
        <v>21593.6490094141</v>
      </c>
      <c r="I27" s="1011" t="n">
        <f aca="false">(I26/71.17)*10</f>
        <v>32218.2099199101</v>
      </c>
      <c r="J27" s="1011"/>
      <c r="K27" s="1011" t="n">
        <f aca="false">(K26/71.17)*10</f>
        <v>28154.8405226921</v>
      </c>
      <c r="L27" s="1006"/>
      <c r="M27" s="1006"/>
      <c r="N27" s="1006"/>
      <c r="O27" s="1006"/>
      <c r="P27" s="1006"/>
      <c r="Q27" s="1006"/>
      <c r="R27" s="1006"/>
      <c r="S27" s="1011" t="n">
        <f aca="false">S26/71.17</f>
        <v>748.039904454124</v>
      </c>
      <c r="T27" s="1006"/>
      <c r="U27" s="1006"/>
      <c r="V27" s="1011" t="n">
        <f aca="false">V26/71.17</f>
        <v>816.116341154981</v>
      </c>
      <c r="W27" s="1006"/>
      <c r="X27" s="1012"/>
    </row>
    <row r="28" s="279" customFormat="true" ht="9.6" hidden="false" customHeight="true" outlineLevel="0" collapsed="false">
      <c r="A28" s="279" t="s">
        <v>282</v>
      </c>
      <c r="B28" s="952" t="n">
        <v>918141</v>
      </c>
      <c r="C28" s="986" t="n">
        <v>1007443</v>
      </c>
      <c r="D28" s="986" t="n">
        <v>1791</v>
      </c>
      <c r="E28" s="986" t="n">
        <v>1009234</v>
      </c>
      <c r="F28" s="986" t="n">
        <v>741287</v>
      </c>
      <c r="G28" s="281" t="n">
        <f aca="false">(F28/B28)*100</f>
        <v>80.7378169583975</v>
      </c>
      <c r="H28" s="986" t="n">
        <v>176854</v>
      </c>
      <c r="I28" s="986" t="n">
        <v>267947</v>
      </c>
      <c r="J28" s="281" t="n">
        <f aca="false">(I28/B28)*100</f>
        <v>29.1836439065459</v>
      </c>
      <c r="K28" s="986" t="n">
        <v>243691</v>
      </c>
      <c r="L28" s="281" t="n">
        <f aca="false">(K28/B28)*100</f>
        <v>26.5417838872243</v>
      </c>
      <c r="M28" s="1004" t="n">
        <v>409053</v>
      </c>
      <c r="N28" s="1004" t="s">
        <v>1002</v>
      </c>
      <c r="O28" s="1004" t="s">
        <v>1003</v>
      </c>
      <c r="P28" s="1004" t="s">
        <v>1004</v>
      </c>
      <c r="Q28" s="1004" t="s">
        <v>1005</v>
      </c>
      <c r="R28" s="1004" t="s">
        <v>1006</v>
      </c>
      <c r="S28" s="986" t="n">
        <v>60571</v>
      </c>
      <c r="T28" s="1004"/>
      <c r="U28" s="1004" t="s">
        <v>1007</v>
      </c>
      <c r="V28" s="986" t="n">
        <v>66463</v>
      </c>
      <c r="W28" s="1004" t="s">
        <v>1008</v>
      </c>
      <c r="X28" s="1012"/>
    </row>
    <row r="29" s="279" customFormat="true" ht="9.6" hidden="false" customHeight="true" outlineLevel="0" collapsed="false">
      <c r="A29" s="287"/>
      <c r="B29" s="1011" t="n">
        <f aca="false">(B28/79.1)*10</f>
        <v>116073.451327434</v>
      </c>
      <c r="C29" s="1011" t="n">
        <f aca="false">(C28/79.1)*10</f>
        <v>127363.211125158</v>
      </c>
      <c r="D29" s="1011" t="n">
        <f aca="false">(D28/79.1)*10</f>
        <v>226.422250316056</v>
      </c>
      <c r="E29" s="1011" t="n">
        <f aca="false">(E28/79.1)*10</f>
        <v>127589.633375474</v>
      </c>
      <c r="F29" s="1011" t="n">
        <f aca="false">(F28/79.1)*10</f>
        <v>93715.1706700379</v>
      </c>
      <c r="G29" s="1011"/>
      <c r="H29" s="1011" t="n">
        <f aca="false">(H28/79.1)*10</f>
        <v>22358.2806573957</v>
      </c>
      <c r="I29" s="1011" t="n">
        <f aca="false">(I28/79.1)*10</f>
        <v>33874.4627054362</v>
      </c>
      <c r="J29" s="1011"/>
      <c r="K29" s="1011" t="n">
        <f aca="false">(K28/79.1)*10</f>
        <v>30807.9646017699</v>
      </c>
      <c r="L29" s="1006"/>
      <c r="M29" s="1006"/>
      <c r="N29" s="1006"/>
      <c r="O29" s="1006"/>
      <c r="P29" s="1006"/>
      <c r="Q29" s="1006"/>
      <c r="R29" s="1006"/>
      <c r="S29" s="1011" t="n">
        <f aca="false">S28/79.1</f>
        <v>765.752212389381</v>
      </c>
      <c r="T29" s="1006"/>
      <c r="U29" s="1006"/>
      <c r="V29" s="1011" t="n">
        <f aca="false">V28/79.1</f>
        <v>840.240202275601</v>
      </c>
      <c r="W29" s="1006"/>
      <c r="X29" s="1012"/>
    </row>
    <row r="30" s="279" customFormat="true" ht="9.6" hidden="false" customHeight="true" outlineLevel="0" collapsed="false">
      <c r="A30" s="279" t="s">
        <v>818</v>
      </c>
      <c r="B30" s="282" t="n">
        <v>482337</v>
      </c>
      <c r="C30" s="986" t="n">
        <v>509545</v>
      </c>
      <c r="D30" s="986" t="n">
        <v>3653</v>
      </c>
      <c r="E30" s="986" t="n">
        <v>513197</v>
      </c>
      <c r="F30" s="986" t="n">
        <v>378940</v>
      </c>
      <c r="G30" s="281" t="n">
        <f aca="false">(F30/B30)*100</f>
        <v>78.5633281295028</v>
      </c>
      <c r="H30" s="986" t="n">
        <v>103397</v>
      </c>
      <c r="I30" s="986" t="n">
        <v>134257</v>
      </c>
      <c r="J30" s="281" t="n">
        <f aca="false">(I30/B30)*100</f>
        <v>27.834688195183</v>
      </c>
      <c r="K30" s="986" t="n">
        <v>126103</v>
      </c>
      <c r="L30" s="281" t="n">
        <f aca="false">(K30/B30)*100</f>
        <v>26.1441689109482</v>
      </c>
      <c r="M30" s="1004" t="s">
        <v>1009</v>
      </c>
      <c r="N30" s="1004" t="s">
        <v>1010</v>
      </c>
      <c r="O30" s="1004" t="s">
        <v>986</v>
      </c>
      <c r="P30" s="1004" t="s">
        <v>1011</v>
      </c>
      <c r="Q30" s="1017" t="n">
        <f aca="false">(B30/M30)*100</f>
        <v>100</v>
      </c>
      <c r="R30" s="1004" t="s">
        <v>1012</v>
      </c>
      <c r="S30" s="986" t="n">
        <v>34502</v>
      </c>
      <c r="T30" s="1004"/>
      <c r="U30" s="1004" t="s">
        <v>1013</v>
      </c>
      <c r="V30" s="986" t="n">
        <v>36448</v>
      </c>
      <c r="W30" s="1004" t="s">
        <v>1014</v>
      </c>
      <c r="X30" s="1012"/>
    </row>
    <row r="31" s="279" customFormat="true" ht="9.6" hidden="false" customHeight="true" outlineLevel="0" collapsed="false">
      <c r="A31" s="287"/>
      <c r="B31" s="1011" t="n">
        <f aca="false">(B30/67.08)*10</f>
        <v>71904.740608229</v>
      </c>
      <c r="C31" s="1011" t="n">
        <f aca="false">(C30/67.08)*10</f>
        <v>75960.7930828861</v>
      </c>
      <c r="D31" s="1011" t="n">
        <f aca="false">(D30/67.08)*10</f>
        <v>544.573643410853</v>
      </c>
      <c r="E31" s="1011" t="n">
        <f aca="false">(E30/67.08)*10</f>
        <v>76505.2176505665</v>
      </c>
      <c r="F31" s="1011" t="n">
        <f aca="false">(F30/67.08)*10</f>
        <v>56490.7573047108</v>
      </c>
      <c r="G31" s="1011"/>
      <c r="H31" s="1011" t="n">
        <f aca="false">(H30/67.08)*10</f>
        <v>15413.9833035182</v>
      </c>
      <c r="I31" s="1011" t="n">
        <f aca="false">(I30/67.08)*10</f>
        <v>20014.4603458557</v>
      </c>
      <c r="J31" s="1011"/>
      <c r="K31" s="1011" t="n">
        <f aca="false">(K30/67.08)*10</f>
        <v>18798.8968395945</v>
      </c>
      <c r="L31" s="1006"/>
      <c r="M31" s="1006"/>
      <c r="N31" s="1006"/>
      <c r="O31" s="1006"/>
      <c r="P31" s="1006"/>
      <c r="Q31" s="1006"/>
      <c r="R31" s="1006"/>
      <c r="S31" s="1011" t="n">
        <f aca="false">S30/67.08</f>
        <v>514.341085271318</v>
      </c>
      <c r="T31" s="1006"/>
      <c r="U31" s="1006"/>
      <c r="V31" s="1011" t="n">
        <f aca="false">V30/67.08</f>
        <v>543.35122242099</v>
      </c>
      <c r="W31" s="1006"/>
      <c r="X31" s="1012"/>
    </row>
    <row r="32" s="279" customFormat="true" ht="9.6" hidden="false" customHeight="true" outlineLevel="0" collapsed="false">
      <c r="A32" s="291" t="s">
        <v>558</v>
      </c>
      <c r="B32" s="282" t="n">
        <v>549800</v>
      </c>
      <c r="C32" s="986" t="n">
        <v>585075</v>
      </c>
      <c r="D32" s="986" t="n">
        <v>3989</v>
      </c>
      <c r="E32" s="986" t="n">
        <v>589064</v>
      </c>
      <c r="F32" s="986" t="n">
        <v>435731</v>
      </c>
      <c r="G32" s="281" t="n">
        <f aca="false">(F32/B32)*100</f>
        <v>79.2526373226628</v>
      </c>
      <c r="H32" s="986" t="n">
        <v>114069</v>
      </c>
      <c r="I32" s="986" t="n">
        <v>153333</v>
      </c>
      <c r="J32" s="281" t="n">
        <f aca="false">(I32/B32)*100</f>
        <v>27.8888686795198</v>
      </c>
      <c r="K32" s="986" t="n">
        <v>143929</v>
      </c>
      <c r="L32" s="281" t="n">
        <f aca="false">(K32/B32)*100</f>
        <v>26.1784285194616</v>
      </c>
      <c r="M32" s="1004" t="s">
        <v>1015</v>
      </c>
      <c r="N32" s="1004" t="s">
        <v>1016</v>
      </c>
      <c r="O32" s="1004" t="s">
        <v>1017</v>
      </c>
      <c r="P32" s="1004" t="s">
        <v>1018</v>
      </c>
      <c r="Q32" s="1017" t="n">
        <f aca="false">(B32/M32)*100</f>
        <v>106.471359436697</v>
      </c>
      <c r="R32" s="1004" t="s">
        <v>1019</v>
      </c>
      <c r="S32" s="986" t="n">
        <v>38773</v>
      </c>
      <c r="T32" s="1004"/>
      <c r="U32" s="1004" t="s">
        <v>1020</v>
      </c>
      <c r="V32" s="986" t="n">
        <v>41261</v>
      </c>
      <c r="W32" s="1004" t="s">
        <v>1021</v>
      </c>
      <c r="X32" s="1012"/>
    </row>
    <row r="33" s="279" customFormat="true" ht="9.6" hidden="false" customHeight="true" outlineLevel="0" collapsed="false">
      <c r="A33" s="287"/>
      <c r="B33" s="1011" t="n">
        <f aca="false">(B32/69.03)*10</f>
        <v>79646.5304939881</v>
      </c>
      <c r="C33" s="1011" t="n">
        <f aca="false">(C32/69.03)*10</f>
        <v>84756.6275532377</v>
      </c>
      <c r="D33" s="1011" t="n">
        <f aca="false">(D32/69.03)*10</f>
        <v>577.864696508764</v>
      </c>
      <c r="E33" s="1011" t="n">
        <f aca="false">(E32/69.03)*10</f>
        <v>85334.4922497465</v>
      </c>
      <c r="F33" s="1011" t="n">
        <f aca="false">(F32/69.03)*10</f>
        <v>63121.9759524844</v>
      </c>
      <c r="G33" s="1011"/>
      <c r="H33" s="1011" t="n">
        <f aca="false">(H32/69.03)*10</f>
        <v>16524.5545415037</v>
      </c>
      <c r="I33" s="1011" t="n">
        <f aca="false">(I32/69.03)*10</f>
        <v>22212.5162972621</v>
      </c>
      <c r="J33" s="1011"/>
      <c r="K33" s="1011" t="n">
        <f aca="false">(K32/69.03)*10</f>
        <v>20850.2100535999</v>
      </c>
      <c r="L33" s="1006"/>
      <c r="M33" s="1006"/>
      <c r="N33" s="1006"/>
      <c r="O33" s="1006"/>
      <c r="P33" s="1006"/>
      <c r="Q33" s="1006"/>
      <c r="R33" s="1006"/>
      <c r="S33" s="1011" t="n">
        <f aca="false">S32/69.03</f>
        <v>561.683326090106</v>
      </c>
      <c r="T33" s="1006"/>
      <c r="U33" s="1006"/>
      <c r="V33" s="1011" t="n">
        <f aca="false">V32/69.03</f>
        <v>597.725626539186</v>
      </c>
      <c r="W33" s="1006"/>
      <c r="X33" s="1012"/>
    </row>
    <row r="34" s="279" customFormat="true" ht="9.6" hidden="false" customHeight="true" outlineLevel="0" collapsed="false">
      <c r="A34" s="291" t="s">
        <v>531</v>
      </c>
      <c r="B34" s="282" t="n">
        <v>628682</v>
      </c>
      <c r="C34" s="986" t="n">
        <v>677072</v>
      </c>
      <c r="D34" s="986" t="n">
        <v>5671</v>
      </c>
      <c r="E34" s="986" t="n">
        <v>682743</v>
      </c>
      <c r="F34" s="986" t="n">
        <v>508042</v>
      </c>
      <c r="G34" s="281" t="n">
        <f aca="false">(F34/B34)*100</f>
        <v>80.8106483086839</v>
      </c>
      <c r="H34" s="986" t="n">
        <v>120640</v>
      </c>
      <c r="I34" s="986" t="n">
        <v>174701</v>
      </c>
      <c r="J34" s="281" t="n">
        <f aca="false">(I34/B34)*100</f>
        <v>27.7884526676444</v>
      </c>
      <c r="K34" s="986" t="n">
        <v>164729</v>
      </c>
      <c r="L34" s="281" t="n">
        <f aca="false">(K34/B34)*100</f>
        <v>26.2022771448841</v>
      </c>
      <c r="M34" s="1004" t="s">
        <v>1022</v>
      </c>
      <c r="N34" s="1004" t="s">
        <v>1023</v>
      </c>
      <c r="O34" s="1004" t="s">
        <v>1024</v>
      </c>
      <c r="P34" s="1004" t="s">
        <v>1025</v>
      </c>
      <c r="Q34" s="1017" t="n">
        <f aca="false">(B34/M34)*100</f>
        <v>114.840977135269</v>
      </c>
      <c r="R34" s="1004" t="s">
        <v>1026</v>
      </c>
      <c r="S34" s="986" t="n">
        <v>43719</v>
      </c>
      <c r="T34" s="1004"/>
      <c r="U34" s="1004" t="s">
        <v>1027</v>
      </c>
      <c r="V34" s="986" t="n">
        <v>47084</v>
      </c>
      <c r="W34" s="1004" t="s">
        <v>1028</v>
      </c>
      <c r="X34" s="1012"/>
    </row>
    <row r="35" s="279" customFormat="true" ht="9.6" hidden="false" customHeight="true" outlineLevel="0" collapsed="false">
      <c r="A35" s="287"/>
      <c r="B35" s="1011" t="n">
        <f aca="false">(B34/68.6)*10</f>
        <v>91644.6064139942</v>
      </c>
      <c r="C35" s="1011" t="n">
        <f aca="false">(C34/68.6)*10</f>
        <v>98698.5422740525</v>
      </c>
      <c r="D35" s="1011" t="n">
        <f aca="false">(D34/68.6)*10</f>
        <v>826.67638483965</v>
      </c>
      <c r="E35" s="1011" t="n">
        <f aca="false">(E34/68.6)*10</f>
        <v>99525.2186588921</v>
      </c>
      <c r="F35" s="1011" t="n">
        <f aca="false">(F34/68.6)*10</f>
        <v>74058.6005830904</v>
      </c>
      <c r="G35" s="1011"/>
      <c r="H35" s="1011" t="n">
        <f aca="false">(H34/68.6)*10</f>
        <v>17586.0058309038</v>
      </c>
      <c r="I35" s="1011" t="n">
        <f aca="false">(I34/68.6)*10</f>
        <v>25466.6180758017</v>
      </c>
      <c r="J35" s="1011"/>
      <c r="K35" s="1011" t="n">
        <f aca="false">(K34/68.6)*10</f>
        <v>24012.9737609329</v>
      </c>
      <c r="L35" s="1006"/>
      <c r="M35" s="1006"/>
      <c r="N35" s="1006"/>
      <c r="O35" s="1006"/>
      <c r="P35" s="1006"/>
      <c r="Q35" s="1006"/>
      <c r="R35" s="1006"/>
      <c r="S35" s="1011" t="n">
        <f aca="false">S34/68.6</f>
        <v>637.303206997085</v>
      </c>
      <c r="T35" s="1006"/>
      <c r="U35" s="1006"/>
      <c r="V35" s="1011" t="n">
        <f aca="false">V34/68.6</f>
        <v>686.355685131195</v>
      </c>
      <c r="W35" s="1006"/>
      <c r="X35" s="1012"/>
    </row>
    <row r="36" s="279" customFormat="true" ht="9.6" hidden="false" customHeight="true" outlineLevel="0" collapsed="false">
      <c r="A36" s="291" t="s">
        <v>532</v>
      </c>
      <c r="B36" s="282" t="n">
        <v>705072</v>
      </c>
      <c r="C36" s="986" t="n">
        <v>760973</v>
      </c>
      <c r="D36" s="986" t="n">
        <v>2407</v>
      </c>
      <c r="E36" s="986" t="n">
        <v>763380</v>
      </c>
      <c r="F36" s="986" t="n">
        <v>561714</v>
      </c>
      <c r="G36" s="281" t="n">
        <f aca="false">(F36/B36)*100</f>
        <v>79.6676084144598</v>
      </c>
      <c r="H36" s="986" t="n">
        <v>143358</v>
      </c>
      <c r="I36" s="986" t="n">
        <v>201662</v>
      </c>
      <c r="J36" s="281" t="n">
        <f aca="false">(I36/B36)*100</f>
        <v>28.6016179907868</v>
      </c>
      <c r="K36" s="986" t="n">
        <v>184772</v>
      </c>
      <c r="L36" s="281" t="n">
        <f aca="false">(K36/B36)*100</f>
        <v>26.2061179567477</v>
      </c>
      <c r="M36" s="1004" t="s">
        <v>1029</v>
      </c>
      <c r="N36" s="1004" t="s">
        <v>1030</v>
      </c>
      <c r="O36" s="1004" t="s">
        <v>1031</v>
      </c>
      <c r="P36" s="1004" t="s">
        <v>1032</v>
      </c>
      <c r="Q36" s="1017" t="n">
        <f aca="false">(B36/M36)*100</f>
        <v>122.609276313959</v>
      </c>
      <c r="R36" s="1004" t="s">
        <v>1033</v>
      </c>
      <c r="S36" s="986" t="n">
        <v>48359</v>
      </c>
      <c r="T36" s="1004"/>
      <c r="U36" s="1004" t="s">
        <v>1034</v>
      </c>
      <c r="V36" s="986" t="n">
        <v>52193</v>
      </c>
      <c r="W36" s="1004" t="s">
        <v>1035</v>
      </c>
      <c r="X36" s="1012"/>
    </row>
    <row r="37" s="279" customFormat="true" ht="9.6" hidden="false" customHeight="true" outlineLevel="0" collapsed="false">
      <c r="A37" s="287"/>
      <c r="B37" s="1011" t="n">
        <f aca="false">(B36/68.8)*10</f>
        <v>102481.395348837</v>
      </c>
      <c r="C37" s="1011" t="n">
        <f aca="false">(C36/68.8)*10</f>
        <v>110606.540697674</v>
      </c>
      <c r="D37" s="1011" t="n">
        <f aca="false">(D36/68.8)*10</f>
        <v>349.854651162791</v>
      </c>
      <c r="E37" s="1011" t="n">
        <f aca="false">(E36/68.8)*10</f>
        <v>110956.395348837</v>
      </c>
      <c r="F37" s="1011" t="n">
        <f aca="false">(F36/68.8)*10</f>
        <v>81644.4767441861</v>
      </c>
      <c r="G37" s="1011"/>
      <c r="H37" s="1011" t="n">
        <f aca="false">(H36/68.8)*10</f>
        <v>20836.9186046512</v>
      </c>
      <c r="I37" s="1011" t="n">
        <f aca="false">(I36/68.8)*10</f>
        <v>29311.3372093023</v>
      </c>
      <c r="J37" s="1011"/>
      <c r="K37" s="1011" t="n">
        <f aca="false">(K36/68.8)*10</f>
        <v>26856.3953488372</v>
      </c>
      <c r="L37" s="1006"/>
      <c r="M37" s="1006"/>
      <c r="N37" s="1006"/>
      <c r="O37" s="1006"/>
      <c r="P37" s="1006"/>
      <c r="Q37" s="1006"/>
      <c r="R37" s="1006"/>
      <c r="S37" s="1011" t="n">
        <f aca="false">S36/68.8</f>
        <v>702.892441860465</v>
      </c>
      <c r="T37" s="1006"/>
      <c r="U37" s="1006"/>
      <c r="V37" s="1011" t="n">
        <f aca="false">V36/68.8</f>
        <v>758.619186046512</v>
      </c>
      <c r="W37" s="1006"/>
      <c r="X37" s="1012"/>
    </row>
    <row r="38" s="279" customFormat="true" ht="9.6" hidden="false" customHeight="true" outlineLevel="0" collapsed="false">
      <c r="A38" s="291" t="s">
        <v>203</v>
      </c>
      <c r="B38" s="282" t="n">
        <v>797539</v>
      </c>
      <c r="C38" s="986" t="n">
        <v>862142</v>
      </c>
      <c r="D38" s="986" t="n">
        <v>4248</v>
      </c>
      <c r="E38" s="986" t="n">
        <v>866390</v>
      </c>
      <c r="F38" s="986" t="n">
        <v>631571</v>
      </c>
      <c r="G38" s="281" t="n">
        <f aca="false">(F38/B38)*100</f>
        <v>79.1899831857752</v>
      </c>
      <c r="H38" s="986" t="n">
        <v>165968</v>
      </c>
      <c r="I38" s="986" t="n">
        <v>234819</v>
      </c>
      <c r="J38" s="281" t="n">
        <f aca="false">(I38/B38)*100</f>
        <v>29.4429488714658</v>
      </c>
      <c r="K38" s="986" t="n">
        <v>209327</v>
      </c>
      <c r="L38" s="281" t="n">
        <f aca="false">(K38/B38)*100</f>
        <v>26.2466161529405</v>
      </c>
      <c r="M38" s="1004" t="s">
        <v>1036</v>
      </c>
      <c r="N38" s="1004" t="s">
        <v>1037</v>
      </c>
      <c r="O38" s="1004" t="s">
        <v>1038</v>
      </c>
      <c r="P38" s="1004" t="s">
        <v>1039</v>
      </c>
      <c r="Q38" s="1017" t="n">
        <f aca="false">(B38/M38)*100</f>
        <v>131.36928695085</v>
      </c>
      <c r="R38" s="1004" t="s">
        <v>1040</v>
      </c>
      <c r="S38" s="986" t="n">
        <v>53961</v>
      </c>
      <c r="T38" s="1004"/>
      <c r="U38" s="1004" t="s">
        <v>1041</v>
      </c>
      <c r="V38" s="986" t="n">
        <v>58332</v>
      </c>
      <c r="W38" s="1004" t="s">
        <v>1042</v>
      </c>
      <c r="X38" s="1012"/>
    </row>
    <row r="39" s="279" customFormat="true" ht="9.6" hidden="false" customHeight="true" outlineLevel="0" collapsed="false">
      <c r="A39" s="287"/>
      <c r="B39" s="1011" t="n">
        <f aca="false">(B38/69.18)*10</f>
        <v>115284.619832321</v>
      </c>
      <c r="C39" s="1011" t="n">
        <f aca="false">(C38/69.18)*10</f>
        <v>124623.012431339</v>
      </c>
      <c r="D39" s="1011" t="n">
        <f aca="false">(D38/69.18)*10</f>
        <v>614.050303555941</v>
      </c>
      <c r="E39" s="1011" t="n">
        <f aca="false">(E38/69.18)*10</f>
        <v>125237.062734894</v>
      </c>
      <c r="F39" s="1011" t="n">
        <f aca="false">(F38/69.18)*10</f>
        <v>91293.8710610003</v>
      </c>
      <c r="G39" s="1011"/>
      <c r="H39" s="1011" t="n">
        <f aca="false">(H38/69.18)*10</f>
        <v>23990.7487713212</v>
      </c>
      <c r="I39" s="1011" t="n">
        <f aca="false">(I38/69.18)*10</f>
        <v>33943.1916738942</v>
      </c>
      <c r="J39" s="1011"/>
      <c r="K39" s="1011" t="n">
        <f aca="false">(K38/69.18)*10</f>
        <v>30258.3116507661</v>
      </c>
      <c r="L39" s="1006"/>
      <c r="M39" s="1006"/>
      <c r="N39" s="1006"/>
      <c r="O39" s="1006"/>
      <c r="P39" s="1006"/>
      <c r="Q39" s="1006"/>
      <c r="R39" s="1006"/>
      <c r="S39" s="1011" t="n">
        <f aca="false">S38/69.18</f>
        <v>780.008673026886</v>
      </c>
      <c r="T39" s="1006"/>
      <c r="U39" s="1006"/>
      <c r="V39" s="1011" t="n">
        <f aca="false">V38/69.18</f>
        <v>843.191673894189</v>
      </c>
      <c r="W39" s="1006"/>
      <c r="X39" s="1012"/>
    </row>
    <row r="40" s="279" customFormat="true" ht="9.6" hidden="false" customHeight="true" outlineLevel="0" collapsed="false">
      <c r="A40" s="279" t="s">
        <v>205</v>
      </c>
      <c r="B40" s="986" t="n">
        <v>915829</v>
      </c>
      <c r="C40" s="986" t="n">
        <v>988342</v>
      </c>
      <c r="D40" s="986" t="n">
        <v>3102</v>
      </c>
      <c r="E40" s="986" t="n">
        <v>991444</v>
      </c>
      <c r="F40" s="986" t="n">
        <v>726966</v>
      </c>
      <c r="G40" s="281" t="n">
        <f aca="false">(F40/B40)*100</f>
        <v>79.3779188036195</v>
      </c>
      <c r="H40" s="986" t="n">
        <v>188863</v>
      </c>
      <c r="I40" s="986" t="n">
        <v>264478</v>
      </c>
      <c r="J40" s="281" t="n">
        <f aca="false">(I40/B40)*100</f>
        <v>28.8785351850618</v>
      </c>
      <c r="K40" s="986" t="n">
        <v>251129</v>
      </c>
      <c r="L40" s="281" t="n">
        <f aca="false">(K40/B40)*100</f>
        <v>27.4209486705488</v>
      </c>
      <c r="M40" s="1004" t="s">
        <v>1043</v>
      </c>
      <c r="N40" s="1004" t="s">
        <v>1044</v>
      </c>
      <c r="O40" s="1004" t="s">
        <v>1045</v>
      </c>
      <c r="P40" s="1004" t="s">
        <v>1046</v>
      </c>
      <c r="Q40" s="1018" t="n">
        <f aca="false">(B40/M40)*100</f>
        <v>141.694180480303</v>
      </c>
      <c r="R40" s="1004" t="s">
        <v>999</v>
      </c>
      <c r="S40" s="986" t="n">
        <v>61198</v>
      </c>
      <c r="T40" s="1004"/>
      <c r="U40" s="1018" t="n">
        <v>43190</v>
      </c>
      <c r="V40" s="986" t="n">
        <v>66044</v>
      </c>
      <c r="W40" s="1004" t="s">
        <v>1047</v>
      </c>
      <c r="X40" s="1012"/>
    </row>
    <row r="41" s="279" customFormat="true" ht="9.6" hidden="false" customHeight="true" outlineLevel="0" collapsed="false">
      <c r="A41" s="287"/>
      <c r="B41" s="1011" t="n">
        <f aca="false">(B40/71.17)*10</f>
        <v>128681.888436139</v>
      </c>
      <c r="C41" s="1011" t="n">
        <f aca="false">(C40/71.17)*10</f>
        <v>138870.59154138</v>
      </c>
      <c r="D41" s="1011" t="n">
        <f aca="false">(D40/71.17)*10</f>
        <v>435.857805255023</v>
      </c>
      <c r="E41" s="1011" t="n">
        <f aca="false">(E40/71.17)*10</f>
        <v>139306.449346635</v>
      </c>
      <c r="F41" s="1011" t="n">
        <f aca="false">(F40/71.17)*10</f>
        <v>102145.004917802</v>
      </c>
      <c r="G41" s="1011"/>
      <c r="H41" s="1011" t="n">
        <f aca="false">(H40/71.17)*10</f>
        <v>26536.8835183364</v>
      </c>
      <c r="I41" s="1011" t="n">
        <f aca="false">(I40/71.17)*10</f>
        <v>37161.4444288324</v>
      </c>
      <c r="J41" s="1011"/>
      <c r="K41" s="1011" t="n">
        <f aca="false">(K40/71.17)*10</f>
        <v>35285.7945763664</v>
      </c>
      <c r="L41" s="1006"/>
      <c r="M41" s="1006"/>
      <c r="N41" s="1006"/>
      <c r="O41" s="1006"/>
      <c r="P41" s="1006"/>
      <c r="Q41" s="1006"/>
      <c r="R41" s="1006"/>
      <c r="S41" s="1011" t="n">
        <f aca="false">S40/71.17</f>
        <v>859.884782914149</v>
      </c>
      <c r="T41" s="1006"/>
      <c r="U41" s="1006"/>
      <c r="V41" s="1011" t="n">
        <f aca="false">V40/71.17</f>
        <v>927.975270479134</v>
      </c>
      <c r="W41" s="1006"/>
      <c r="X41" s="1012"/>
    </row>
    <row r="42" s="279" customFormat="true" ht="9.6" hidden="false" customHeight="true" outlineLevel="0" collapsed="false">
      <c r="A42" s="279" t="s">
        <v>282</v>
      </c>
      <c r="B42" s="952" t="n">
        <v>1055204</v>
      </c>
      <c r="C42" s="986" t="n">
        <v>1144506</v>
      </c>
      <c r="D42" s="986" t="n">
        <v>1791</v>
      </c>
      <c r="E42" s="986" t="n">
        <v>1146297</v>
      </c>
      <c r="F42" s="986" t="n">
        <v>831250</v>
      </c>
      <c r="G42" s="281" t="n">
        <f aca="false">(F42/B42)*100</f>
        <v>78.7762366329165</v>
      </c>
      <c r="H42" s="986" t="n">
        <v>223954</v>
      </c>
      <c r="I42" s="986" t="n">
        <v>315047</v>
      </c>
      <c r="J42" s="281" t="n">
        <f aca="false">(I42/B42)*100</f>
        <v>29.8565016811915</v>
      </c>
      <c r="K42" s="986" t="n">
        <v>298225</v>
      </c>
      <c r="L42" s="281" t="n">
        <f aca="false">(K42/B42)*100</f>
        <v>28.2623075727537</v>
      </c>
      <c r="M42" s="1004" t="s">
        <v>1048</v>
      </c>
      <c r="N42" s="1004" t="s">
        <v>1049</v>
      </c>
      <c r="O42" s="1004" t="s">
        <v>1050</v>
      </c>
      <c r="P42" s="1004" t="s">
        <v>1051</v>
      </c>
      <c r="Q42" s="1018" t="n">
        <f aca="false">(B42/M42)*100</f>
        <v>153.262850893183</v>
      </c>
      <c r="R42" s="1004" t="s">
        <v>1006</v>
      </c>
      <c r="S42" s="986" t="n">
        <v>69614</v>
      </c>
      <c r="T42" s="1004"/>
      <c r="U42" s="1018" t="n">
        <v>45421</v>
      </c>
      <c r="V42" s="986" t="n">
        <v>75505</v>
      </c>
      <c r="W42" s="1004" t="s">
        <v>1052</v>
      </c>
      <c r="X42" s="1012"/>
    </row>
    <row r="43" s="279" customFormat="true" ht="9.6" hidden="false" customHeight="true" outlineLevel="0" collapsed="false">
      <c r="A43" s="287"/>
      <c r="B43" s="1011" t="n">
        <f aca="false">(B42/79.1)*10</f>
        <v>133401.264222503</v>
      </c>
      <c r="C43" s="1011" t="n">
        <f aca="false">(C42/79.1)*10</f>
        <v>144691.024020228</v>
      </c>
      <c r="D43" s="1011" t="n">
        <f aca="false">(D42/79.1)*10</f>
        <v>226.422250316056</v>
      </c>
      <c r="E43" s="1011" t="n">
        <f aca="false">(E42/79.1)*10</f>
        <v>144917.446270544</v>
      </c>
      <c r="F43" s="1011" t="n">
        <f aca="false">(F42/79.1)*10</f>
        <v>105088.495575221</v>
      </c>
      <c r="G43" s="1011"/>
      <c r="H43" s="1011" t="n">
        <f aca="false">(H42/79.1)*10</f>
        <v>28312.7686472819</v>
      </c>
      <c r="I43" s="1011" t="n">
        <f aca="false">(I42/79.1)*10</f>
        <v>39828.9506953224</v>
      </c>
      <c r="J43" s="1011"/>
      <c r="K43" s="1011" t="n">
        <f aca="false">(K42/79.1)*10</f>
        <v>37702.2756005057</v>
      </c>
      <c r="L43" s="1006"/>
      <c r="M43" s="1006"/>
      <c r="N43" s="1006"/>
      <c r="O43" s="1006"/>
      <c r="P43" s="1006"/>
      <c r="Q43" s="1006"/>
      <c r="R43" s="1006"/>
      <c r="S43" s="1011" t="n">
        <f aca="false">S42/79.1</f>
        <v>880.07585335019</v>
      </c>
      <c r="T43" s="1006"/>
      <c r="U43" s="1006"/>
      <c r="V43" s="1011" t="n">
        <f aca="false">V42/79.1</f>
        <v>954.551201011378</v>
      </c>
      <c r="W43" s="1006"/>
      <c r="X43" s="1012"/>
    </row>
    <row r="44" s="279" customFormat="true" ht="9.6" hidden="false" customHeight="true" outlineLevel="0" collapsed="false">
      <c r="A44" s="279" t="s">
        <v>207</v>
      </c>
      <c r="B44" s="282" t="n">
        <v>1198923</v>
      </c>
      <c r="C44" s="986" t="n">
        <v>1295352</v>
      </c>
      <c r="D44" s="986" t="n">
        <v>5375</v>
      </c>
      <c r="E44" s="986" t="n">
        <v>1300727</v>
      </c>
      <c r="F44" s="986" t="n">
        <v>934727</v>
      </c>
      <c r="G44" s="281" t="n">
        <f aca="false">(F44/B44)*100</f>
        <v>77.9638892572751</v>
      </c>
      <c r="H44" s="986" t="n">
        <v>264196</v>
      </c>
      <c r="I44" s="986" t="n">
        <v>365999.9</v>
      </c>
      <c r="J44" s="281" t="n">
        <f aca="false">(I44/B44)*100</f>
        <v>30.5273899991909</v>
      </c>
      <c r="K44" s="986" t="n">
        <v>340370</v>
      </c>
      <c r="L44" s="281" t="n">
        <f aca="false">(K44/B44)*100</f>
        <v>28.3896463742876</v>
      </c>
      <c r="M44" s="1004" t="s">
        <v>1053</v>
      </c>
      <c r="N44" s="1004" t="s">
        <v>1054</v>
      </c>
      <c r="O44" s="1004" t="s">
        <v>1055</v>
      </c>
      <c r="P44" s="1004" t="s">
        <v>1025</v>
      </c>
      <c r="Q44" s="1018" t="n">
        <f aca="false">(B44/M44)*100</f>
        <v>164.259203695864</v>
      </c>
      <c r="R44" s="1004" t="s">
        <v>1056</v>
      </c>
      <c r="S44" s="986" t="n">
        <v>78009</v>
      </c>
      <c r="T44" s="1004"/>
      <c r="U44" s="1018" t="n">
        <v>47491</v>
      </c>
      <c r="V44" s="986" t="n">
        <v>84283</v>
      </c>
      <c r="W44" s="1004" t="s">
        <v>1057</v>
      </c>
      <c r="X44" s="1012"/>
    </row>
    <row r="45" s="279" customFormat="true" ht="9.6" hidden="false" customHeight="true" outlineLevel="0" collapsed="false">
      <c r="A45" s="287"/>
      <c r="B45" s="1011" t="n">
        <f aca="false">(B44/79.93)*10</f>
        <v>149996.622044289</v>
      </c>
      <c r="C45" s="1011" t="n">
        <f aca="false">(C44/79.93)*10</f>
        <v>162060.803202802</v>
      </c>
      <c r="D45" s="1011" t="n">
        <f aca="false">(D44/79.93)*10</f>
        <v>672.463405479795</v>
      </c>
      <c r="E45" s="1011" t="n">
        <f aca="false">(E44/79.93)*10</f>
        <v>162733.266608282</v>
      </c>
      <c r="F45" s="1011" t="n">
        <f aca="false">(F44/79.93)*10</f>
        <v>116943.200300263</v>
      </c>
      <c r="G45" s="1011"/>
      <c r="H45" s="1011" t="n">
        <f aca="false">(H44/79.93)*10</f>
        <v>33053.421744026</v>
      </c>
      <c r="I45" s="1011" t="n">
        <f aca="false">(I44/79.93)*10</f>
        <v>45790.0537970724</v>
      </c>
      <c r="J45" s="1011"/>
      <c r="K45" s="1011" t="n">
        <f aca="false">(K44/79.93)*10</f>
        <v>42583.5105717503</v>
      </c>
      <c r="L45" s="1006"/>
      <c r="M45" s="1006"/>
      <c r="N45" s="1006"/>
      <c r="O45" s="1006"/>
      <c r="P45" s="1006"/>
      <c r="Q45" s="1006"/>
      <c r="R45" s="1006"/>
      <c r="S45" s="1011" t="n">
        <f aca="false">S44/79.93</f>
        <v>975.966470661829</v>
      </c>
      <c r="T45" s="1006"/>
      <c r="U45" s="1006"/>
      <c r="V45" s="1011" t="n">
        <f aca="false">V44/79.93</f>
        <v>1054.46015263355</v>
      </c>
      <c r="W45" s="1006"/>
      <c r="X45" s="1012"/>
    </row>
    <row r="46" s="279" customFormat="true" ht="9.6" hidden="false" customHeight="true" outlineLevel="0" collapsed="false">
      <c r="A46" s="279" t="s">
        <v>208</v>
      </c>
      <c r="B46" s="282" t="n">
        <v>1343674</v>
      </c>
      <c r="C46" s="986" t="n">
        <v>1433224</v>
      </c>
      <c r="D46" s="986" t="n">
        <v>6334</v>
      </c>
      <c r="E46" s="986" t="n">
        <v>1439558</v>
      </c>
      <c r="F46" s="986" t="n">
        <v>1046856</v>
      </c>
      <c r="G46" s="281" t="n">
        <f aca="false">(F46/B46)*100</f>
        <v>77.9099692336088</v>
      </c>
      <c r="H46" s="986" t="n">
        <v>296817</v>
      </c>
      <c r="I46" s="986" t="n">
        <v>392701</v>
      </c>
      <c r="J46" s="281" t="n">
        <f aca="false">(I46/B46)*100</f>
        <v>29.225913428406</v>
      </c>
      <c r="K46" s="986" t="n">
        <v>383994</v>
      </c>
      <c r="L46" s="281" t="n">
        <f aca="false">(K46/B46)*100</f>
        <v>28.5779139880656</v>
      </c>
      <c r="M46" s="1004" t="s">
        <v>1058</v>
      </c>
      <c r="N46" s="1004" t="n">
        <v>825728</v>
      </c>
      <c r="O46" s="1004" t="s">
        <v>1059</v>
      </c>
      <c r="P46" s="1004" t="s">
        <v>1060</v>
      </c>
      <c r="Q46" s="1018" t="n">
        <f aca="false">(B46/M46)*100</f>
        <v>173.570793762336</v>
      </c>
      <c r="R46" s="1004" t="s">
        <v>1061</v>
      </c>
      <c r="S46" s="986" t="n">
        <v>86266</v>
      </c>
      <c r="T46" s="1004"/>
      <c r="U46" s="1018" t="n">
        <v>49701</v>
      </c>
      <c r="V46" s="986" t="n">
        <v>92015</v>
      </c>
      <c r="W46" s="1004" t="s">
        <v>1062</v>
      </c>
      <c r="X46" s="1012"/>
    </row>
    <row r="47" s="279" customFormat="true" ht="9.6" hidden="false" customHeight="true" outlineLevel="0" collapsed="false">
      <c r="A47" s="287"/>
      <c r="B47" s="1011" t="n">
        <f aca="false">(B46/77.72)*10</f>
        <v>172886.515697375</v>
      </c>
      <c r="C47" s="1011" t="n">
        <f aca="false">(C46/77.72)*10</f>
        <v>184408.646423057</v>
      </c>
      <c r="D47" s="1011" t="n">
        <f aca="false">(D46/77.72)*10</f>
        <v>814.97683993824</v>
      </c>
      <c r="E47" s="1011" t="n">
        <f aca="false">(E46/77.72)*10</f>
        <v>185223.623262995</v>
      </c>
      <c r="F47" s="1011" t="n">
        <f aca="false">(F46/77.72)*10</f>
        <v>134695.831188883</v>
      </c>
      <c r="G47" s="1011"/>
      <c r="H47" s="1011" t="n">
        <f aca="false">(H46/77.72)*10</f>
        <v>38190.5558414822</v>
      </c>
      <c r="I47" s="1011" t="n">
        <f aca="false">(I46/77.72)*10</f>
        <v>50527.6634071024</v>
      </c>
      <c r="J47" s="1011"/>
      <c r="K47" s="1011" t="n">
        <f aca="false">(K46/77.72)*10</f>
        <v>49407.3597529594</v>
      </c>
      <c r="L47" s="1006"/>
      <c r="M47" s="1006"/>
      <c r="N47" s="1006"/>
      <c r="O47" s="1006"/>
      <c r="P47" s="1006"/>
      <c r="Q47" s="1006"/>
      <c r="R47" s="1006"/>
      <c r="S47" s="1011" t="n">
        <f aca="false">S46/77.72</f>
        <v>1109.95882655687</v>
      </c>
      <c r="T47" s="1006"/>
      <c r="U47" s="1006"/>
      <c r="V47" s="1011" t="n">
        <f aca="false">V46/77.72</f>
        <v>1183.92949047864</v>
      </c>
      <c r="W47" s="1006"/>
      <c r="X47" s="1012"/>
    </row>
    <row r="48" s="279" customFormat="true" ht="9.6" hidden="false" customHeight="true" outlineLevel="0" collapsed="false">
      <c r="A48" s="279" t="s">
        <v>209</v>
      </c>
      <c r="B48" s="282" t="n">
        <v>1515802</v>
      </c>
      <c r="C48" s="986" t="n">
        <v>1614204</v>
      </c>
      <c r="D48" s="986" t="n">
        <v>5600</v>
      </c>
      <c r="E48" s="986" t="n">
        <v>1619804</v>
      </c>
      <c r="F48" s="986" t="n">
        <v>1179924</v>
      </c>
      <c r="G48" s="281" t="n">
        <f aca="false">(F48/B48)*100</f>
        <v>77.8415650592887</v>
      </c>
      <c r="H48" s="986" t="n">
        <v>335879</v>
      </c>
      <c r="I48" s="986" t="n">
        <v>439881</v>
      </c>
      <c r="J48" s="281" t="n">
        <f aca="false">(I48/B48)*100</f>
        <v>29.0196872678622</v>
      </c>
      <c r="K48" s="986" t="n">
        <v>437865</v>
      </c>
      <c r="L48" s="281" t="n">
        <f aca="false">(K48/B48)*100</f>
        <v>28.8866883669503</v>
      </c>
      <c r="M48" s="1004" t="s">
        <v>1063</v>
      </c>
      <c r="N48" s="1004" t="s">
        <v>1064</v>
      </c>
      <c r="O48" s="1004" t="s">
        <v>1065</v>
      </c>
      <c r="P48" s="1004" t="s">
        <v>1066</v>
      </c>
      <c r="Q48" s="1018" t="n">
        <f aca="false">(B48/M48)*100</f>
        <v>183.76431451564</v>
      </c>
      <c r="R48" s="1004" t="s">
        <v>1067</v>
      </c>
      <c r="S48" s="986" t="n">
        <v>96004</v>
      </c>
      <c r="T48" s="1004"/>
      <c r="U48" s="986" t="n">
        <v>52240</v>
      </c>
      <c r="V48" s="986" t="n">
        <v>102236</v>
      </c>
      <c r="W48" s="1004" t="s">
        <v>1068</v>
      </c>
      <c r="X48" s="1012"/>
    </row>
    <row r="49" s="279" customFormat="true" ht="9.6" hidden="false" customHeight="true" outlineLevel="0" collapsed="false">
      <c r="A49" s="287"/>
      <c r="B49" s="1011" t="n">
        <f aca="false">(B48/77.67)*10</f>
        <v>195159.263550921</v>
      </c>
      <c r="C49" s="1011" t="n">
        <f aca="false">(C48/77.67)*10</f>
        <v>207828.505214368</v>
      </c>
      <c r="D49" s="1011" t="n">
        <f aca="false">(D48/77.67)*10</f>
        <v>720.999098751127</v>
      </c>
      <c r="E49" s="1011" t="n">
        <f aca="false">(E48/77.67)*10</f>
        <v>208549.50431312</v>
      </c>
      <c r="F49" s="1011" t="n">
        <f aca="false">(F48/77.67)*10</f>
        <v>151915.025106219</v>
      </c>
      <c r="G49" s="1011"/>
      <c r="H49" s="1011" t="n">
        <f aca="false">(H48/77.67)*10</f>
        <v>43244.367194541</v>
      </c>
      <c r="I49" s="1011" t="n">
        <f aca="false">(I48/77.67)*10</f>
        <v>56634.6079567401</v>
      </c>
      <c r="J49" s="1011"/>
      <c r="K49" s="1011" t="n">
        <f aca="false">(K48/77.67)*10</f>
        <v>56375.0482811897</v>
      </c>
      <c r="L49" s="1006"/>
      <c r="M49" s="1006"/>
      <c r="N49" s="1006"/>
      <c r="O49" s="1006"/>
      <c r="P49" s="1006"/>
      <c r="Q49" s="1006"/>
      <c r="R49" s="1006"/>
      <c r="S49" s="1011" t="n">
        <f aca="false">S48/77.67</f>
        <v>1236.04995493756</v>
      </c>
      <c r="T49" s="1006"/>
      <c r="U49" s="1006"/>
      <c r="V49" s="1011" t="n">
        <f aca="false">V48/77.67</f>
        <v>1316.28685464143</v>
      </c>
      <c r="W49" s="1006"/>
      <c r="X49" s="1012"/>
    </row>
    <row r="50" s="279" customFormat="true" ht="9.6" hidden="false" customHeight="true" outlineLevel="0" collapsed="false">
      <c r="A50" s="988" t="s">
        <v>211</v>
      </c>
      <c r="B50" s="952" t="n">
        <v>1732864</v>
      </c>
      <c r="C50" s="952" t="n">
        <v>1832675</v>
      </c>
      <c r="D50" s="952" t="n">
        <v>583</v>
      </c>
      <c r="E50" s="952" t="n">
        <v>1833258</v>
      </c>
      <c r="F50" s="952" t="n">
        <v>1300034</v>
      </c>
      <c r="G50" s="281" t="n">
        <f aca="false">(F50/B50)*100</f>
        <v>75.0222752622249</v>
      </c>
      <c r="H50" s="952" t="n">
        <v>432830</v>
      </c>
      <c r="I50" s="952" t="n">
        <v>533224</v>
      </c>
      <c r="J50" s="281" t="n">
        <f aca="false">(I50/B50)*100</f>
        <v>30.7712549859654</v>
      </c>
      <c r="K50" s="952" t="n">
        <v>513839</v>
      </c>
      <c r="L50" s="281" t="n">
        <f aca="false">(K50/B50)*100</f>
        <v>29.6525867003989</v>
      </c>
      <c r="M50" s="952" t="n">
        <v>883539</v>
      </c>
      <c r="N50" s="952" t="n">
        <v>934430</v>
      </c>
      <c r="O50" s="187" t="n">
        <v>14.32</v>
      </c>
      <c r="P50" s="952" t="n">
        <v>7.11</v>
      </c>
      <c r="Q50" s="1018" t="n">
        <f aca="false">(B50/M50)*100</f>
        <v>196.127618588427</v>
      </c>
      <c r="R50" s="952" t="n">
        <v>15.99</v>
      </c>
      <c r="S50" s="952" t="n">
        <v>108378</v>
      </c>
      <c r="T50" s="952"/>
      <c r="U50" s="986" t="n">
        <v>55259</v>
      </c>
      <c r="V50" s="952" t="n">
        <v>114621</v>
      </c>
      <c r="W50" s="952" t="n">
        <v>58442</v>
      </c>
      <c r="X50" s="1012"/>
    </row>
    <row r="51" s="279" customFormat="true" ht="9.6" hidden="false" customHeight="true" outlineLevel="0" collapsed="false">
      <c r="A51" s="287"/>
      <c r="B51" s="1011" t="n">
        <f aca="false">(B50/78.2658)*10</f>
        <v>221407.562434678</v>
      </c>
      <c r="C51" s="1011" t="n">
        <f aca="false">(C50/78.2658)*10</f>
        <v>234160.386784521</v>
      </c>
      <c r="D51" s="1011" t="n">
        <f aca="false">(D50/78.2658)*10</f>
        <v>74.4897515900943</v>
      </c>
      <c r="E51" s="1011" t="n">
        <f aca="false">(E50/78.2658)*10</f>
        <v>234234.876536112</v>
      </c>
      <c r="F51" s="1011" t="n">
        <f aca="false">(F50/78.2658)*10</f>
        <v>166104.990941126</v>
      </c>
      <c r="G51" s="1011"/>
      <c r="H51" s="1011" t="n">
        <f aca="false">(H50/78.2658)*10</f>
        <v>55302.5714935515</v>
      </c>
      <c r="I51" s="1011" t="n">
        <f aca="false">(I50/78.2658)*10</f>
        <v>68129.8855949853</v>
      </c>
      <c r="J51" s="1011"/>
      <c r="K51" s="1011" t="n">
        <f aca="false">(K50/78.2658)*10</f>
        <v>65653.0694121826</v>
      </c>
      <c r="L51" s="1006"/>
      <c r="M51" s="1006"/>
      <c r="N51" s="1006"/>
      <c r="O51" s="1006"/>
      <c r="P51" s="1006"/>
      <c r="Q51" s="1006"/>
      <c r="R51" s="1006"/>
      <c r="S51" s="1011" t="n">
        <f aca="false">(S50/78.2658)</f>
        <v>1384.74276120604</v>
      </c>
      <c r="T51" s="1006"/>
      <c r="U51" s="1006"/>
      <c r="V51" s="1011" t="n">
        <f aca="false">(V50/78.2658)</f>
        <v>1464.5094025743</v>
      </c>
      <c r="W51" s="1006"/>
      <c r="X51" s="1012"/>
    </row>
    <row r="52" s="291" customFormat="true" ht="9.6" hidden="false" customHeight="true" outlineLevel="0" collapsed="false">
      <c r="A52" s="291" t="s">
        <v>212</v>
      </c>
      <c r="B52" s="952" t="n">
        <v>1975817</v>
      </c>
      <c r="C52" s="952" t="n">
        <v>2060718</v>
      </c>
      <c r="D52" s="952" t="n">
        <v>353</v>
      </c>
      <c r="E52" s="952" t="n">
        <v>2061069</v>
      </c>
      <c r="F52" s="952" t="n">
        <v>1475356</v>
      </c>
      <c r="G52" s="281" t="n">
        <f aca="false">(F52/B52)*100</f>
        <v>74.6706805336729</v>
      </c>
      <c r="H52" s="952" t="n">
        <v>500460</v>
      </c>
      <c r="I52" s="952" t="n">
        <v>585714</v>
      </c>
      <c r="J52" s="281" t="n">
        <f aca="false">(I52/B52)*100</f>
        <v>29.6441421447432</v>
      </c>
      <c r="K52" s="952" t="n">
        <v>602830</v>
      </c>
      <c r="L52" s="281" t="n">
        <f aca="false">(K52/B52)*100</f>
        <v>30.5104167035712</v>
      </c>
      <c r="M52" s="952" t="n">
        <v>947899</v>
      </c>
      <c r="N52" s="952" t="n">
        <v>988630</v>
      </c>
      <c r="O52" s="952" t="n">
        <v>14.02</v>
      </c>
      <c r="P52" s="952" t="n">
        <v>7.28</v>
      </c>
      <c r="Q52" s="1018" t="n">
        <f aca="false">(B52/M52)*100</f>
        <v>208.441722166602</v>
      </c>
      <c r="R52" s="187" t="n">
        <v>16.175</v>
      </c>
      <c r="S52" s="952" t="n">
        <v>122152</v>
      </c>
      <c r="T52" s="952"/>
      <c r="U52" s="188" t="n">
        <f aca="false">M52/R52</f>
        <v>58602.7202472952</v>
      </c>
      <c r="V52" s="188" t="n">
        <f aca="false">C52/R52</f>
        <v>127401.42194745</v>
      </c>
      <c r="W52" s="188" t="n">
        <f aca="false">N52/R52</f>
        <v>61120.8655332303</v>
      </c>
      <c r="X52" s="1019"/>
    </row>
    <row r="53" s="279" customFormat="true" ht="9.6" hidden="false" customHeight="true" outlineLevel="0" collapsed="false">
      <c r="A53" s="287"/>
      <c r="B53" s="1011" t="n">
        <f aca="false">(B52/79.119175)*10</f>
        <v>249726.69393987</v>
      </c>
      <c r="C53" s="1011" t="n">
        <f aca="false">(C52/79.119175)*10</f>
        <v>260457.468116926</v>
      </c>
      <c r="D53" s="1011" t="n">
        <f aca="false">(D52/79.119175)*10</f>
        <v>44.6162387310029</v>
      </c>
      <c r="E53" s="1011" t="n">
        <f aca="false">(E52/79.119175)*10</f>
        <v>260501.831572435</v>
      </c>
      <c r="F53" s="1011" t="n">
        <f aca="false">(F52/79.119175)*10</f>
        <v>186472.621839143</v>
      </c>
      <c r="G53" s="1011"/>
      <c r="H53" s="1011" t="n">
        <f aca="false">(H52/79.119175)*10</f>
        <v>63253.9457091154</v>
      </c>
      <c r="I53" s="1011" t="n">
        <f aca="false">(I52/79.119175)*10</f>
        <v>74029.3361249027</v>
      </c>
      <c r="J53" s="1011"/>
      <c r="K53" s="1011" t="n">
        <f aca="false">(K52/79.119175)*10</f>
        <v>76192.6549411063</v>
      </c>
      <c r="L53" s="1006"/>
      <c r="M53" s="1006"/>
      <c r="N53" s="1006"/>
      <c r="O53" s="1006"/>
      <c r="P53" s="1006"/>
      <c r="Q53" s="1006"/>
      <c r="R53" s="1006"/>
      <c r="S53" s="1011" t="n">
        <f aca="false">(S52/79.119175)</f>
        <v>1543.89880834829</v>
      </c>
      <c r="T53" s="1006"/>
      <c r="U53" s="1006"/>
      <c r="V53" s="1011" t="n">
        <f aca="false">(V52/79.119175)</f>
        <v>1610.24709809537</v>
      </c>
      <c r="W53" s="1006"/>
      <c r="X53" s="1012"/>
    </row>
    <row r="54" s="291" customFormat="true" ht="9.6" hidden="false" customHeight="true" outlineLevel="0" collapsed="false">
      <c r="A54" s="291" t="s">
        <v>213</v>
      </c>
      <c r="B54" s="952" t="n">
        <v>2250481</v>
      </c>
      <c r="C54" s="952" t="n">
        <v>2353109</v>
      </c>
      <c r="D54" s="952" t="n">
        <v>495</v>
      </c>
      <c r="E54" s="952" t="n">
        <v>2353603</v>
      </c>
      <c r="F54" s="952" t="n">
        <v>1736587</v>
      </c>
      <c r="G54" s="187" t="n">
        <f aca="false">(F54/B54)*100</f>
        <v>77.1651482505296</v>
      </c>
      <c r="H54" s="952" t="n">
        <v>513892</v>
      </c>
      <c r="I54" s="952" t="n">
        <v>617016</v>
      </c>
      <c r="J54" s="187" t="n">
        <f aca="false">(I54/B54)*100</f>
        <v>27.4170721725711</v>
      </c>
      <c r="K54" s="952" t="n">
        <v>702936</v>
      </c>
      <c r="L54" s="187" t="n">
        <f aca="false">(K54/B54)*100</f>
        <v>31.234922667643</v>
      </c>
      <c r="M54" s="952" t="n">
        <v>1022438</v>
      </c>
      <c r="N54" s="952" t="n">
        <v>1069064</v>
      </c>
      <c r="O54" s="187" t="n">
        <v>13.9</v>
      </c>
      <c r="P54" s="952" t="n">
        <v>7.86</v>
      </c>
      <c r="Q54" s="1017" t="n">
        <f aca="false">(B54/M54)*100</f>
        <v>220.109287800336</v>
      </c>
      <c r="R54" s="187" t="n">
        <v>16.365</v>
      </c>
      <c r="S54" s="188" t="n">
        <f aca="false">B54/R54</f>
        <v>137517.93461656</v>
      </c>
      <c r="T54" s="952"/>
      <c r="U54" s="188" t="n">
        <f aca="false">M54/R54</f>
        <v>62477.1157959059</v>
      </c>
      <c r="V54" s="952" t="n">
        <f aca="false">ROUND((C54/R54),0)</f>
        <v>143789</v>
      </c>
      <c r="W54" s="188" t="n">
        <f aca="false">N54/R54</f>
        <v>65326.245035136</v>
      </c>
      <c r="X54" s="1019"/>
    </row>
    <row r="55" s="279" customFormat="true" ht="9.6" hidden="false" customHeight="true" outlineLevel="0" collapsed="false">
      <c r="A55" s="287"/>
      <c r="B55" s="1011" t="n">
        <f aca="false">(B54/82.100874)*10</f>
        <v>274111.698250618</v>
      </c>
      <c r="C55" s="1011" t="n">
        <f aca="false">(C54/82.100874)*10</f>
        <v>286611.930586756</v>
      </c>
      <c r="D55" s="1011" t="n">
        <f aca="false">(D54/82.100874)*10</f>
        <v>60.2916845927852</v>
      </c>
      <c r="E55" s="1011" t="n">
        <f aca="false">(E54/82.100874)*10</f>
        <v>286672.100469966</v>
      </c>
      <c r="F55" s="1011" t="n">
        <f aca="false">(F54/82.100874)*10</f>
        <v>211518.698327133</v>
      </c>
      <c r="G55" s="1011"/>
      <c r="H55" s="1011" t="n">
        <f aca="false">(H54/82.100874)*10</f>
        <v>62592.7563207183</v>
      </c>
      <c r="I55" s="1011" t="n">
        <f aca="false">(I54/82.100874)*10</f>
        <v>75153.4021428322</v>
      </c>
      <c r="J55" s="1011"/>
      <c r="K55" s="1011" t="n">
        <f aca="false">(K54/82.100874)*10</f>
        <v>85618.5769715436</v>
      </c>
      <c r="L55" s="1006"/>
      <c r="M55" s="1006"/>
      <c r="N55" s="1006"/>
      <c r="O55" s="1006"/>
      <c r="P55" s="1006"/>
      <c r="Q55" s="1006"/>
      <c r="R55" s="1006"/>
      <c r="S55" s="1011" t="n">
        <f aca="false">(S54/82.100874)</f>
        <v>1674.98746257634</v>
      </c>
      <c r="T55" s="1006"/>
      <c r="U55" s="1006"/>
      <c r="V55" s="1011" t="n">
        <f aca="false">(V54/82.100874)</f>
        <v>1751.36990624485</v>
      </c>
      <c r="W55" s="1006"/>
      <c r="X55" s="1012"/>
    </row>
    <row r="56" s="291" customFormat="true" ht="9.6" hidden="false" customHeight="true" outlineLevel="0" collapsed="false">
      <c r="A56" s="304" t="s">
        <v>226</v>
      </c>
      <c r="B56" s="952" t="n">
        <v>2542484</v>
      </c>
      <c r="C56" s="952" t="n">
        <v>2656094</v>
      </c>
      <c r="D56" s="952" t="n">
        <v>215</v>
      </c>
      <c r="E56" s="952" t="n">
        <v>2656307</v>
      </c>
      <c r="F56" s="952" t="n">
        <v>1906266</v>
      </c>
      <c r="G56" s="187" t="n">
        <f aca="false">(F56/B56)*100</f>
        <v>74.9765190262751</v>
      </c>
      <c r="H56" s="952" t="n">
        <v>636217</v>
      </c>
      <c r="I56" s="952" t="n">
        <v>750041</v>
      </c>
      <c r="J56" s="187" t="n">
        <f aca="false">(I56/B56)*100</f>
        <v>29.5003233058694</v>
      </c>
      <c r="K56" s="952" t="n">
        <v>802670</v>
      </c>
      <c r="L56" s="187" t="n">
        <f aca="false">(K56/B56)*100</f>
        <v>31.5703068337893</v>
      </c>
      <c r="M56" s="952" t="n">
        <v>1105794</v>
      </c>
      <c r="N56" s="952" t="n">
        <v>1155206</v>
      </c>
      <c r="O56" s="952" t="n">
        <v>12.98</v>
      </c>
      <c r="P56" s="952" t="n">
        <v>8.15</v>
      </c>
      <c r="Q56" s="1017" t="n">
        <f aca="false">(B56/M56)*100</f>
        <v>229.923837532126</v>
      </c>
      <c r="R56" s="187" t="n">
        <v>16.555</v>
      </c>
      <c r="S56" s="188" t="n">
        <f aca="false">B56/R56</f>
        <v>153578.012684989</v>
      </c>
      <c r="T56" s="952"/>
      <c r="U56" s="188" t="n">
        <f aca="false">M56/R56</f>
        <v>66795.1676230746</v>
      </c>
      <c r="V56" s="952" t="n">
        <f aca="false">ROUND((C56/R56),0)</f>
        <v>160441</v>
      </c>
      <c r="W56" s="188" t="n">
        <f aca="false">N56/R56</f>
        <v>69779.885231048</v>
      </c>
      <c r="X56" s="1019"/>
    </row>
    <row r="57" s="279" customFormat="true" ht="9.6" hidden="false" customHeight="true" outlineLevel="0" collapsed="false">
      <c r="A57" s="287"/>
      <c r="B57" s="1011" t="n">
        <f aca="false">(B56/84.03)*10</f>
        <v>302568.606450077</v>
      </c>
      <c r="C57" s="1011" t="n">
        <f aca="false">(C56/84.03)*10</f>
        <v>316088.777817446</v>
      </c>
      <c r="D57" s="1011" t="n">
        <f aca="false">(D56/84.03)*10</f>
        <v>25.5861002023087</v>
      </c>
      <c r="E57" s="1011" t="n">
        <f aca="false">(E56/84.03)*10</f>
        <v>316114.125907414</v>
      </c>
      <c r="F57" s="1011" t="n">
        <f aca="false">(F56/84.03)*10</f>
        <v>226855.408782578</v>
      </c>
      <c r="G57" s="1011"/>
      <c r="H57" s="1011" t="n">
        <f aca="false">(H56/84.03)*10</f>
        <v>75713.0786623825</v>
      </c>
      <c r="I57" s="1011" t="n">
        <f aca="false">(I56/84.03)*10</f>
        <v>89258.7171248364</v>
      </c>
      <c r="J57" s="1011"/>
      <c r="K57" s="1011" t="n">
        <f aca="false">(K56/84.03)*10</f>
        <v>95521.8374390099</v>
      </c>
      <c r="L57" s="1006"/>
      <c r="M57" s="1006"/>
      <c r="N57" s="1006"/>
      <c r="O57" s="1006"/>
      <c r="P57" s="1006"/>
      <c r="Q57" s="1006"/>
      <c r="R57" s="1006"/>
      <c r="S57" s="1011" t="n">
        <f aca="false">(S56/84.03)</f>
        <v>1827.6569401998</v>
      </c>
      <c r="T57" s="1006"/>
      <c r="U57" s="1006"/>
      <c r="V57" s="1011" t="n">
        <f aca="false">(V56/84.03)</f>
        <v>1909.33000119005</v>
      </c>
      <c r="W57" s="1006"/>
      <c r="X57" s="1012"/>
    </row>
    <row r="58" s="279" customFormat="true" ht="11.25" hidden="false" customHeight="true" outlineLevel="0" collapsed="false">
      <c r="A58" s="291" t="s">
        <v>819</v>
      </c>
      <c r="B58" s="952" t="n">
        <v>2796378</v>
      </c>
      <c r="C58" s="952" t="n">
        <v>2930426</v>
      </c>
      <c r="D58" s="952" t="n">
        <v>211</v>
      </c>
      <c r="E58" s="952" t="n">
        <v>2930637</v>
      </c>
      <c r="F58" s="952" t="n">
        <v>2088672</v>
      </c>
      <c r="G58" s="187" t="n">
        <f aca="false">(F58/B58)*100</f>
        <v>74.6920480707544</v>
      </c>
      <c r="H58" s="952" t="n">
        <v>707706</v>
      </c>
      <c r="I58" s="952" t="n">
        <v>841965</v>
      </c>
      <c r="J58" s="187" t="n">
        <f aca="false">(I58/B58)*100</f>
        <v>30.1091268776968</v>
      </c>
      <c r="K58" s="952" t="n">
        <v>887988</v>
      </c>
      <c r="L58" s="187" t="n">
        <f aca="false">(K58/B58)*100</f>
        <v>31.7549344187374</v>
      </c>
      <c r="M58" s="952" t="n">
        <v>1163740</v>
      </c>
      <c r="N58" s="952" t="n">
        <v>1219525</v>
      </c>
      <c r="O58" s="952" t="n">
        <v>9.99</v>
      </c>
      <c r="P58" s="952" t="n">
        <v>5.24</v>
      </c>
      <c r="Q58" s="1017" t="n">
        <f aca="false">(B58/M58)*100</f>
        <v>240.292333339062</v>
      </c>
      <c r="R58" s="187" t="n">
        <v>16.756</v>
      </c>
      <c r="S58" s="188" t="n">
        <f aca="false">B58/R58</f>
        <v>166888.159465266</v>
      </c>
      <c r="T58" s="952"/>
      <c r="U58" s="188" t="n">
        <f aca="false">M58/R58</f>
        <v>69452.1365481022</v>
      </c>
      <c r="V58" s="952" t="n">
        <f aca="false">ROUND((C58/R58),0)</f>
        <v>174888</v>
      </c>
      <c r="W58" s="188" t="n">
        <f aca="false">N58/R58</f>
        <v>72781.3917402721</v>
      </c>
      <c r="X58" s="1012"/>
    </row>
    <row r="59" s="279" customFormat="true" ht="9.6" hidden="false" customHeight="true" outlineLevel="0" collapsed="false">
      <c r="A59" s="1020"/>
      <c r="B59" s="1021" t="n">
        <f aca="false">(B58/84.71)*10</f>
        <v>330111.911226538</v>
      </c>
      <c r="C59" s="1021" t="n">
        <f aca="false">(C58/84.71)*10</f>
        <v>345936.253098808</v>
      </c>
      <c r="D59" s="1021" t="n">
        <f aca="false">(D58/84.71)*10</f>
        <v>24.9085113918073</v>
      </c>
      <c r="E59" s="1021" t="n">
        <f aca="false">(E58/84.71)*10</f>
        <v>345961.1616102</v>
      </c>
      <c r="F59" s="1021" t="n">
        <f aca="false">(F58/84.71)*10</f>
        <v>246567.347420611</v>
      </c>
      <c r="G59" s="1021"/>
      <c r="H59" s="1021" t="n">
        <f aca="false">(H58/84.71)*10</f>
        <v>83544.5638059261</v>
      </c>
      <c r="I59" s="1021" t="n">
        <f aca="false">(I58/84.71)*10</f>
        <v>99393.814189588</v>
      </c>
      <c r="J59" s="1021"/>
      <c r="K59" s="1021" t="n">
        <f aca="false">(K58/84.71)*10</f>
        <v>104826.820918428</v>
      </c>
      <c r="L59" s="1022"/>
      <c r="M59" s="1022"/>
      <c r="N59" s="1022"/>
      <c r="O59" s="1022"/>
      <c r="P59" s="1022"/>
      <c r="Q59" s="1022"/>
      <c r="R59" s="1022"/>
      <c r="S59" s="1021" t="n">
        <f aca="false">(S58/84.71)</f>
        <v>1970.11166881438</v>
      </c>
      <c r="T59" s="1022"/>
      <c r="U59" s="1022"/>
      <c r="V59" s="1021" t="n">
        <f aca="false">(V58/84.71)</f>
        <v>2064.54963994806</v>
      </c>
      <c r="W59" s="1022"/>
      <c r="X59" s="1012"/>
    </row>
    <row r="60" customFormat="false" ht="10.5" hidden="false" customHeight="true" outlineLevel="0" collapsed="false">
      <c r="A60" s="1023" t="s">
        <v>1069</v>
      </c>
      <c r="B60" s="1023"/>
      <c r="C60" s="1023"/>
      <c r="D60" s="1023"/>
      <c r="E60" s="1023"/>
      <c r="F60" s="1023"/>
      <c r="G60" s="221"/>
      <c r="I60" s="946"/>
      <c r="J60" s="946"/>
      <c r="K60" s="946"/>
      <c r="L60" s="1024" t="s">
        <v>1070</v>
      </c>
      <c r="M60" s="1024"/>
      <c r="N60" s="1024"/>
      <c r="O60" s="1024"/>
      <c r="P60" s="377"/>
      <c r="Q60" s="962"/>
      <c r="R60" s="962"/>
      <c r="S60" s="377"/>
      <c r="T60" s="946"/>
      <c r="U60" s="737"/>
      <c r="V60" s="735"/>
      <c r="W60" s="946"/>
      <c r="X60" s="1025"/>
    </row>
    <row r="61" customFormat="false" ht="9.75" hidden="false" customHeight="true" outlineLevel="0" collapsed="false">
      <c r="A61" s="898" t="s">
        <v>1071</v>
      </c>
      <c r="B61" s="898"/>
      <c r="C61" s="898"/>
      <c r="D61" s="898"/>
      <c r="E61" s="1026"/>
      <c r="F61" s="962" t="s">
        <v>825</v>
      </c>
      <c r="G61" s="962"/>
      <c r="H61" s="1026"/>
      <c r="I61" s="946"/>
      <c r="J61" s="946"/>
      <c r="K61" s="946"/>
      <c r="L61" s="1027"/>
      <c r="M61" s="1027"/>
      <c r="N61" s="1027"/>
      <c r="O61" s="946"/>
      <c r="P61" s="946"/>
      <c r="Q61" s="946"/>
      <c r="R61" s="946"/>
      <c r="S61" s="162"/>
      <c r="T61" s="946"/>
      <c r="U61" s="946"/>
      <c r="V61" s="946"/>
      <c r="W61" s="946"/>
      <c r="X61" s="1025"/>
    </row>
    <row r="62" customFormat="false" ht="11.25" hidden="false" customHeight="false" outlineLevel="0" collapsed="false">
      <c r="N62" s="1025"/>
      <c r="S62" s="162"/>
    </row>
    <row r="63" customFormat="false" ht="11.25" hidden="false" customHeight="false" outlineLevel="0" collapsed="false">
      <c r="G63" s="258"/>
      <c r="S63" s="162"/>
      <c r="W63" s="1028"/>
    </row>
    <row r="64" customFormat="false" ht="11.25" hidden="false" customHeight="false" outlineLevel="0" collapsed="false">
      <c r="M64" s="1025"/>
    </row>
    <row r="65" customFormat="false" ht="11.25" hidden="false" customHeight="false" outlineLevel="0" collapsed="false">
      <c r="M65" s="1025"/>
      <c r="P65" s="1025"/>
      <c r="Q65" s="1025"/>
      <c r="R65" s="1025"/>
    </row>
    <row r="66" customFormat="false" ht="11.25" hidden="false" customHeight="false" outlineLevel="0" collapsed="false">
      <c r="M66" s="1025"/>
      <c r="N66" s="1025"/>
    </row>
    <row r="67" customFormat="false" ht="11.25" hidden="false" customHeight="false" outlineLevel="0" collapsed="false">
      <c r="M67" s="1025"/>
    </row>
    <row r="68" customFormat="false" ht="11.25" hidden="false" customHeight="false" outlineLevel="0" collapsed="false">
      <c r="M68" s="1025"/>
      <c r="N68" s="1025"/>
    </row>
    <row r="69" customFormat="false" ht="11.25" hidden="false" customHeight="false" outlineLevel="0" collapsed="false">
      <c r="M69" s="1025"/>
    </row>
    <row r="70" customFormat="false" ht="11.25" hidden="false" customHeight="false" outlineLevel="0" collapsed="false">
      <c r="M70" s="1025"/>
      <c r="N70" s="1025"/>
    </row>
    <row r="71" customFormat="false" ht="11.25" hidden="false" customHeight="false" outlineLevel="0" collapsed="false">
      <c r="M71" s="1025"/>
      <c r="N71" s="1025"/>
    </row>
    <row r="72" customFormat="false" ht="11.25" hidden="false" customHeight="false" outlineLevel="0" collapsed="false">
      <c r="M72" s="1025"/>
      <c r="N72" s="1025"/>
    </row>
    <row r="73" customFormat="false" ht="11.25" hidden="false" customHeight="false" outlineLevel="0" collapsed="false">
      <c r="M73" s="1025"/>
      <c r="N73" s="1025"/>
    </row>
    <row r="74" customFormat="false" ht="11.25" hidden="false" customHeight="false" outlineLevel="0" collapsed="false">
      <c r="M74" s="1025"/>
      <c r="N74" s="1025"/>
    </row>
    <row r="75" customFormat="false" ht="11.25" hidden="false" customHeight="false" outlineLevel="0" collapsed="false">
      <c r="N75" s="1025"/>
    </row>
    <row r="76" customFormat="false" ht="11.25" hidden="false" customHeight="false" outlineLevel="0" collapsed="false">
      <c r="N76" s="1025"/>
    </row>
  </sheetData>
  <mergeCells count="46">
    <mergeCell ref="B1:K1"/>
    <mergeCell ref="L1:O1"/>
    <mergeCell ref="U1:W1"/>
    <mergeCell ref="D2:E2"/>
    <mergeCell ref="J2:K2"/>
    <mergeCell ref="L2:P2"/>
    <mergeCell ref="V2:W2"/>
    <mergeCell ref="A3:A5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W3"/>
    <mergeCell ref="S4:T4"/>
    <mergeCell ref="S5:T5"/>
    <mergeCell ref="S6:T6"/>
    <mergeCell ref="S7:T7"/>
    <mergeCell ref="S8:T8"/>
    <mergeCell ref="S9:T9"/>
    <mergeCell ref="S10:T10"/>
    <mergeCell ref="S11:T11"/>
    <mergeCell ref="S12:T12"/>
    <mergeCell ref="S13:T13"/>
    <mergeCell ref="S14:T14"/>
    <mergeCell ref="S15:T15"/>
    <mergeCell ref="S16:T16"/>
    <mergeCell ref="S17:T17"/>
    <mergeCell ref="A60:F60"/>
    <mergeCell ref="L60:O60"/>
    <mergeCell ref="Q60:R60"/>
    <mergeCell ref="A61:D61"/>
    <mergeCell ref="F61:G61"/>
    <mergeCell ref="L61:N61"/>
  </mergeCells>
  <printOptions headings="false" gridLines="false" gridLinesSet="true" horizontalCentered="false" verticalCentered="false"/>
  <pageMargins left="0.472222222222222" right="0.472222222222222" top="0.511805555555555" bottom="0" header="0.511805555555555" footer="0"/>
  <pageSetup paperSize="1" scale="100" firstPageNumber="50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>&amp;C&amp;"Times New Roman,Regular"&amp;8&amp;P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4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pane xSplit="1" ySplit="3" topLeftCell="B42" activePane="bottomRight" state="frozen"/>
      <selection pane="topLeft" activeCell="A1" activeCellId="0" sqref="A1"/>
      <selection pane="topRight" activeCell="B1" activeCellId="0" sqref="B1"/>
      <selection pane="bottomLeft" activeCell="A42" activeCellId="0" sqref="A42"/>
      <selection pane="bottomRight" activeCell="A4" activeCellId="0" sqref="A4"/>
    </sheetView>
  </sheetViews>
  <sheetFormatPr defaultColWidth="9.15625" defaultRowHeight="12.75" zeroHeight="false" outlineLevelRow="0" outlineLevelCol="0"/>
  <cols>
    <col collapsed="false" customWidth="true" hidden="false" outlineLevel="0" max="1" min="1" style="264" width="10.71"/>
    <col collapsed="false" customWidth="true" hidden="false" outlineLevel="0" max="2" min="2" style="1029" width="15.71"/>
    <col collapsed="false" customWidth="true" hidden="false" outlineLevel="0" max="3" min="3" style="1029" width="16.86"/>
    <col collapsed="false" customWidth="true" hidden="false" outlineLevel="0" max="5" min="4" style="1029" width="17.14"/>
    <col collapsed="false" customWidth="true" hidden="false" outlineLevel="0" max="6" min="6" style="264" width="13.29"/>
    <col collapsed="false" customWidth="true" hidden="false" outlineLevel="0" max="7" min="7" style="264" width="15.71"/>
    <col collapsed="false" customWidth="true" hidden="false" outlineLevel="0" max="8" min="8" style="264" width="15.42"/>
    <col collapsed="false" customWidth="true" hidden="false" outlineLevel="0" max="9" min="9" style="264" width="16.86"/>
    <col collapsed="false" customWidth="true" hidden="false" outlineLevel="0" max="10" min="10" style="264" width="13.7"/>
    <col collapsed="false" customWidth="false" hidden="false" outlineLevel="0" max="1024" min="11" style="264" width="9.14"/>
  </cols>
  <sheetData>
    <row r="1" s="1032" customFormat="true" ht="15.75" hidden="false" customHeight="true" outlineLevel="0" collapsed="false">
      <c r="A1" s="1030" t="s">
        <v>1072</v>
      </c>
      <c r="B1" s="1030"/>
      <c r="C1" s="1030"/>
      <c r="D1" s="1030"/>
      <c r="E1" s="1030"/>
      <c r="F1" s="1031" t="s">
        <v>1073</v>
      </c>
      <c r="G1" s="1031"/>
      <c r="H1" s="1031"/>
      <c r="I1" s="1031"/>
      <c r="J1" s="1030" t="s">
        <v>1074</v>
      </c>
    </row>
    <row r="2" s="1032" customFormat="true" ht="11.1" hidden="false" customHeight="true" outlineLevel="0" collapsed="false">
      <c r="A2" s="1033"/>
      <c r="B2" s="1033"/>
      <c r="C2" s="1033"/>
      <c r="D2" s="1033"/>
      <c r="G2" s="839"/>
      <c r="H2" s="1034"/>
      <c r="I2" s="1034"/>
      <c r="J2" s="1035"/>
    </row>
    <row r="3" s="127" customFormat="true" ht="26.45" hidden="false" customHeight="true" outlineLevel="0" collapsed="false">
      <c r="A3" s="266" t="s">
        <v>1075</v>
      </c>
      <c r="B3" s="1036" t="s">
        <v>1076</v>
      </c>
      <c r="C3" s="131" t="s">
        <v>1077</v>
      </c>
      <c r="D3" s="131" t="s">
        <v>1078</v>
      </c>
      <c r="E3" s="131" t="s">
        <v>1079</v>
      </c>
      <c r="F3" s="266" t="s">
        <v>1080</v>
      </c>
      <c r="G3" s="266" t="s">
        <v>1081</v>
      </c>
      <c r="H3" s="266" t="s">
        <v>1082</v>
      </c>
      <c r="I3" s="266" t="s">
        <v>1078</v>
      </c>
      <c r="J3" s="266" t="s">
        <v>1083</v>
      </c>
    </row>
    <row r="4" s="353" customFormat="true" ht="11.25" hidden="false" customHeight="true" outlineLevel="0" collapsed="false">
      <c r="A4" s="507" t="s">
        <v>203</v>
      </c>
      <c r="B4" s="170" t="n">
        <v>6153.68</v>
      </c>
      <c r="C4" s="172" t="n">
        <v>256353.551</v>
      </c>
      <c r="D4" s="172" t="n">
        <v>21744.6</v>
      </c>
      <c r="E4" s="170" t="n">
        <v>273</v>
      </c>
      <c r="F4" s="1037" t="n">
        <v>44014</v>
      </c>
      <c r="G4" s="172" t="n">
        <v>3986.74</v>
      </c>
      <c r="H4" s="1038" t="n">
        <v>81.19</v>
      </c>
      <c r="I4" s="1038" t="n">
        <f aca="false">D52</f>
        <v>75201.4</v>
      </c>
      <c r="J4" s="170" t="n">
        <f aca="false">E52</f>
        <v>361</v>
      </c>
    </row>
    <row r="5" s="492" customFormat="true" ht="11.25" hidden="false" customHeight="true" outlineLevel="0" collapsed="false">
      <c r="A5" s="506" t="s">
        <v>205</v>
      </c>
      <c r="B5" s="161" t="n">
        <v>6117.23</v>
      </c>
      <c r="C5" s="160" t="n">
        <v>325879.77</v>
      </c>
      <c r="D5" s="160" t="n">
        <v>30104.5</v>
      </c>
      <c r="E5" s="161" t="n">
        <v>267</v>
      </c>
      <c r="F5" s="1039" t="n">
        <v>44017</v>
      </c>
      <c r="G5" s="883" t="n">
        <v>3981.52</v>
      </c>
      <c r="H5" s="883" t="n">
        <v>73.41</v>
      </c>
      <c r="I5" s="1040" t="n">
        <f aca="false">D52</f>
        <v>75201.4</v>
      </c>
      <c r="J5" s="1041" t="n">
        <f aca="false">J4</f>
        <v>361</v>
      </c>
    </row>
    <row r="6" s="1044" customFormat="true" ht="11.25" hidden="false" customHeight="true" outlineLevel="0" collapsed="false">
      <c r="A6" s="305" t="s">
        <v>282</v>
      </c>
      <c r="B6" s="193" t="n">
        <v>4572.88</v>
      </c>
      <c r="C6" s="193" t="n">
        <v>117145.07</v>
      </c>
      <c r="D6" s="193" t="n">
        <v>38410.9</v>
      </c>
      <c r="E6" s="288" t="n">
        <v>279</v>
      </c>
      <c r="F6" s="1042" t="n">
        <v>44018</v>
      </c>
      <c r="G6" s="1043" t="n">
        <v>3994.65</v>
      </c>
      <c r="H6" s="1043" t="n">
        <v>150.06</v>
      </c>
      <c r="I6" s="1038" t="n">
        <f aca="false">D52</f>
        <v>75201.4</v>
      </c>
      <c r="J6" s="170" t="n">
        <f aca="false">J5</f>
        <v>361</v>
      </c>
    </row>
    <row r="7" s="1046" customFormat="true" ht="11.25" hidden="false" customHeight="true" outlineLevel="0" collapsed="false">
      <c r="A7" s="304" t="s">
        <v>207</v>
      </c>
      <c r="B7" s="187" t="n">
        <v>4385.77</v>
      </c>
      <c r="C7" s="187" t="n">
        <v>85716.56</v>
      </c>
      <c r="D7" s="187" t="n">
        <v>43407.3</v>
      </c>
      <c r="E7" s="184" t="n">
        <v>296</v>
      </c>
      <c r="F7" s="1039" t="n">
        <v>44019</v>
      </c>
      <c r="G7" s="883" t="n">
        <v>4001.81</v>
      </c>
      <c r="H7" s="883" t="n">
        <v>138.57</v>
      </c>
      <c r="I7" s="1045" t="n">
        <f aca="false">I6</f>
        <v>75201.4</v>
      </c>
      <c r="J7" s="1041" t="n">
        <f aca="false">J6</f>
        <v>361</v>
      </c>
    </row>
    <row r="8" s="950" customFormat="true" ht="11.25" hidden="false" customHeight="true" outlineLevel="0" collapsed="false">
      <c r="A8" s="507" t="s">
        <v>208</v>
      </c>
      <c r="B8" s="172" t="n">
        <v>4480.52</v>
      </c>
      <c r="C8" s="172" t="n">
        <v>112539.858</v>
      </c>
      <c r="D8" s="172" t="n">
        <v>48255.5</v>
      </c>
      <c r="E8" s="170" t="n">
        <v>307</v>
      </c>
      <c r="F8" s="1042" t="n">
        <v>44020</v>
      </c>
      <c r="G8" s="1043" t="n">
        <v>4034.65</v>
      </c>
      <c r="H8" s="1043" t="n">
        <v>231.06</v>
      </c>
      <c r="I8" s="1038" t="n">
        <f aca="false">I7</f>
        <v>75201.4</v>
      </c>
      <c r="J8" s="170" t="n">
        <f aca="false">J7</f>
        <v>361</v>
      </c>
    </row>
    <row r="9" s="408" customFormat="true" ht="11.25" hidden="false" customHeight="true" outlineLevel="0" collapsed="false">
      <c r="A9" s="304" t="s">
        <v>209</v>
      </c>
      <c r="B9" s="187" t="n">
        <v>4583.11</v>
      </c>
      <c r="C9" s="187" t="n">
        <v>112351.911</v>
      </c>
      <c r="D9" s="187" t="n">
        <v>54300.8</v>
      </c>
      <c r="E9" s="184" t="n">
        <v>326</v>
      </c>
      <c r="F9" s="1039" t="n">
        <v>44021</v>
      </c>
      <c r="G9" s="883" t="n">
        <v>4061.57</v>
      </c>
      <c r="H9" s="883" t="n">
        <v>347.47</v>
      </c>
      <c r="I9" s="1045" t="n">
        <f aca="false">I8</f>
        <v>75201.4</v>
      </c>
      <c r="J9" s="1041" t="n">
        <v>361</v>
      </c>
    </row>
    <row r="10" s="950" customFormat="true" ht="11.25" hidden="false" customHeight="true" outlineLevel="0" collapsed="false">
      <c r="A10" s="305" t="s">
        <v>211</v>
      </c>
      <c r="B10" s="193" t="n">
        <v>4507.58</v>
      </c>
      <c r="C10" s="193" t="n">
        <v>107246.071</v>
      </c>
      <c r="D10" s="193" t="n">
        <v>57846.4</v>
      </c>
      <c r="E10" s="288" t="n">
        <v>330</v>
      </c>
      <c r="F10" s="1042" t="n">
        <v>44024</v>
      </c>
      <c r="G10" s="1043" t="n">
        <v>4099.42</v>
      </c>
      <c r="H10" s="1043" t="n">
        <v>346.97</v>
      </c>
      <c r="I10" s="1038" t="n">
        <f aca="false">I9</f>
        <v>75201.4</v>
      </c>
      <c r="J10" s="170" t="n">
        <f aca="false">J9</f>
        <v>361</v>
      </c>
    </row>
    <row r="11" s="408" customFormat="true" ht="11.25" hidden="false" customHeight="true" outlineLevel="0" collapsed="false">
      <c r="A11" s="1047" t="s">
        <v>212</v>
      </c>
      <c r="B11" s="212" t="n">
        <v>5656.05</v>
      </c>
      <c r="C11" s="212" t="n">
        <v>180522.2</v>
      </c>
      <c r="D11" s="212" t="n">
        <v>61656.5</v>
      </c>
      <c r="E11" s="858" t="n">
        <v>334</v>
      </c>
      <c r="F11" s="1039" t="n">
        <v>44025</v>
      </c>
      <c r="G11" s="883" t="n">
        <v>4089.52</v>
      </c>
      <c r="H11" s="883" t="n">
        <v>377.96</v>
      </c>
      <c r="I11" s="1045" t="n">
        <f aca="false">I10</f>
        <v>75201.4</v>
      </c>
      <c r="J11" s="1041" t="n">
        <f aca="false">J10</f>
        <v>361</v>
      </c>
    </row>
    <row r="12" s="408" customFormat="true" ht="11.25" hidden="false" customHeight="true" outlineLevel="0" collapsed="false">
      <c r="A12" s="510" t="s">
        <v>213</v>
      </c>
      <c r="B12" s="204" t="n">
        <f aca="false">B24</f>
        <v>5405.46</v>
      </c>
      <c r="C12" s="204" t="n">
        <f aca="false">SUM(C13:C24)</f>
        <v>159085.192</v>
      </c>
      <c r="D12" s="204" t="n">
        <f aca="false">D24</f>
        <v>67071.9</v>
      </c>
      <c r="E12" s="303" t="n">
        <f aca="false">E24</f>
        <v>343</v>
      </c>
      <c r="F12" s="1042" t="n">
        <v>44026</v>
      </c>
      <c r="G12" s="1043" t="n">
        <v>4082.15</v>
      </c>
      <c r="H12" s="1043" t="n">
        <v>289.31</v>
      </c>
      <c r="I12" s="1038" t="n">
        <f aca="false">I11</f>
        <v>75201.4</v>
      </c>
      <c r="J12" s="170" t="n">
        <f aca="false">J11</f>
        <v>361</v>
      </c>
    </row>
    <row r="13" s="408" customFormat="true" ht="11.25" hidden="false" customHeight="true" outlineLevel="0" collapsed="false">
      <c r="A13" s="304" t="s">
        <v>214</v>
      </c>
      <c r="B13" s="187" t="n">
        <v>5860.65</v>
      </c>
      <c r="C13" s="187" t="n">
        <v>20929.46</v>
      </c>
      <c r="D13" s="187" t="n">
        <f aca="false">61539+585</f>
        <v>62124</v>
      </c>
      <c r="E13" s="184" t="n">
        <f aca="false">333+2</f>
        <v>335</v>
      </c>
      <c r="F13" s="1039" t="n">
        <v>44027</v>
      </c>
      <c r="G13" s="883" t="n">
        <v>4079.07</v>
      </c>
      <c r="H13" s="883" t="n">
        <v>267.84</v>
      </c>
      <c r="I13" s="1045" t="n">
        <f aca="false">I12</f>
        <v>75201.4</v>
      </c>
      <c r="J13" s="1041" t="n">
        <f aca="false">J12</f>
        <v>361</v>
      </c>
    </row>
    <row r="14" s="408" customFormat="true" ht="11.25" hidden="false" customHeight="true" outlineLevel="0" collapsed="false">
      <c r="A14" s="305" t="s">
        <v>215</v>
      </c>
      <c r="B14" s="193" t="n">
        <v>6006.43</v>
      </c>
      <c r="C14" s="193" t="n">
        <v>19589.244</v>
      </c>
      <c r="D14" s="193" t="n">
        <f aca="false">62074.9+585</f>
        <v>62659.9</v>
      </c>
      <c r="E14" s="288" t="n">
        <f aca="false">333+2</f>
        <v>335</v>
      </c>
      <c r="F14" s="1042" t="n">
        <v>44028</v>
      </c>
      <c r="G14" s="1043" t="n">
        <v>4069.11</v>
      </c>
      <c r="H14" s="1038" t="n">
        <v>225.97</v>
      </c>
      <c r="I14" s="1038" t="n">
        <f aca="false">I13</f>
        <v>75201.4</v>
      </c>
      <c r="J14" s="170" t="n">
        <f aca="false">J13</f>
        <v>361</v>
      </c>
    </row>
    <row r="15" s="408" customFormat="true" ht="11.25" hidden="false" customHeight="true" outlineLevel="0" collapsed="false">
      <c r="A15" s="304" t="s">
        <v>216</v>
      </c>
      <c r="B15" s="187" t="n">
        <v>6092.84</v>
      </c>
      <c r="C15" s="187" t="n">
        <v>19944.121</v>
      </c>
      <c r="D15" s="187" t="n">
        <f aca="false">62325.8+585</f>
        <v>62910.8</v>
      </c>
      <c r="E15" s="184" t="n">
        <f aca="false">333+2</f>
        <v>335</v>
      </c>
      <c r="F15" s="1039" t="n">
        <v>44031</v>
      </c>
      <c r="G15" s="883" t="n">
        <v>4050.65</v>
      </c>
      <c r="H15" s="1048" t="n">
        <v>234.45</v>
      </c>
      <c r="I15" s="1045" t="n">
        <f aca="false">I14</f>
        <v>75201.4</v>
      </c>
      <c r="J15" s="1041" t="n">
        <f aca="false">J14</f>
        <v>361</v>
      </c>
    </row>
    <row r="16" s="408" customFormat="true" ht="11.25" hidden="false" customHeight="true" outlineLevel="0" collapsed="false">
      <c r="A16" s="305" t="s">
        <v>217</v>
      </c>
      <c r="B16" s="193" t="n">
        <v>6019.59</v>
      </c>
      <c r="C16" s="193" t="n">
        <v>15697.432</v>
      </c>
      <c r="D16" s="193" t="n">
        <f aca="false">62672.3+585</f>
        <v>63257.3</v>
      </c>
      <c r="E16" s="288" t="n">
        <f aca="false">335+2</f>
        <v>337</v>
      </c>
      <c r="F16" s="1042" t="n">
        <v>44032</v>
      </c>
      <c r="G16" s="1043" t="n">
        <v>4070.15</v>
      </c>
      <c r="H16" s="1038" t="n">
        <v>240.47</v>
      </c>
      <c r="I16" s="1038" t="n">
        <f aca="false">I15</f>
        <v>75201.4</v>
      </c>
      <c r="J16" s="170" t="n">
        <f aca="false">J15</f>
        <v>361</v>
      </c>
    </row>
    <row r="17" s="408" customFormat="true" ht="11.25" hidden="false" customHeight="true" outlineLevel="0" collapsed="false">
      <c r="A17" s="304" t="s">
        <v>218</v>
      </c>
      <c r="B17" s="187" t="n">
        <v>6306.86</v>
      </c>
      <c r="C17" s="187" t="n">
        <v>18421.802</v>
      </c>
      <c r="D17" s="187" t="n">
        <f aca="false">62768.883+585</f>
        <v>63353.883</v>
      </c>
      <c r="E17" s="184" t="n">
        <f aca="false">336+2</f>
        <v>338</v>
      </c>
      <c r="F17" s="1039" t="n">
        <v>44033</v>
      </c>
      <c r="G17" s="883" t="n">
        <v>4085.8</v>
      </c>
      <c r="H17" s="1048" t="n">
        <v>252.89</v>
      </c>
      <c r="I17" s="1045" t="n">
        <f aca="false">I16</f>
        <v>75201.4</v>
      </c>
      <c r="J17" s="1041" t="n">
        <f aca="false">J16</f>
        <v>361</v>
      </c>
    </row>
    <row r="18" s="408" customFormat="true" ht="11.25" hidden="false" customHeight="true" outlineLevel="0" collapsed="false">
      <c r="A18" s="305" t="s">
        <v>219</v>
      </c>
      <c r="B18" s="193" t="n">
        <v>6244.52</v>
      </c>
      <c r="C18" s="193" t="n">
        <v>9238.275</v>
      </c>
      <c r="D18" s="193" t="n">
        <f aca="false">63936.603+585</f>
        <v>64521.603</v>
      </c>
      <c r="E18" s="288" t="n">
        <f aca="false">338+2</f>
        <v>340</v>
      </c>
      <c r="F18" s="1042" t="n">
        <v>44034</v>
      </c>
      <c r="G18" s="1043" t="n">
        <v>4076.79</v>
      </c>
      <c r="H18" s="1038" t="n">
        <v>247.48</v>
      </c>
      <c r="I18" s="1038" t="n">
        <f aca="false">I17</f>
        <v>75201.4</v>
      </c>
      <c r="J18" s="170" t="n">
        <f aca="false">J17</f>
        <v>361</v>
      </c>
    </row>
    <row r="19" s="408" customFormat="true" ht="11.25" hidden="false" customHeight="true" outlineLevel="0" collapsed="false">
      <c r="A19" s="304" t="s">
        <v>220</v>
      </c>
      <c r="B19" s="187" t="n">
        <v>6039.78</v>
      </c>
      <c r="C19" s="187" t="n">
        <v>10072.161</v>
      </c>
      <c r="D19" s="187" t="n">
        <f aca="false">64267.2+300</f>
        <v>64567.2</v>
      </c>
      <c r="E19" s="184" t="n">
        <f aca="false">338+1</f>
        <v>339</v>
      </c>
      <c r="F19" s="1039" t="n">
        <v>44035</v>
      </c>
      <c r="G19" s="883" t="n">
        <v>4080.94</v>
      </c>
      <c r="H19" s="1048" t="n">
        <v>262.51</v>
      </c>
      <c r="I19" s="1045" t="n">
        <f aca="false">I18</f>
        <v>75201.4</v>
      </c>
      <c r="J19" s="1041" t="n">
        <f aca="false">J18</f>
        <v>361</v>
      </c>
    </row>
    <row r="20" s="408" customFormat="true" ht="11.25" hidden="false" customHeight="true" outlineLevel="0" collapsed="false">
      <c r="A20" s="305" t="s">
        <v>221</v>
      </c>
      <c r="B20" s="193" t="n">
        <v>5804.94</v>
      </c>
      <c r="C20" s="193" t="n">
        <v>7679.69</v>
      </c>
      <c r="D20" s="193" t="n">
        <f aca="false">64276.649+300</f>
        <v>64576.649</v>
      </c>
      <c r="E20" s="288" t="n">
        <f aca="false">338+1</f>
        <v>339</v>
      </c>
      <c r="F20" s="1042" t="n">
        <v>44038</v>
      </c>
      <c r="G20" s="1043" t="n">
        <v>4129.08</v>
      </c>
      <c r="H20" s="1038" t="n">
        <v>371.55</v>
      </c>
      <c r="I20" s="1038" t="n">
        <f aca="false">I19</f>
        <v>75201.4</v>
      </c>
      <c r="J20" s="170" t="n">
        <f aca="false">J19</f>
        <v>361</v>
      </c>
    </row>
    <row r="21" s="408" customFormat="true" ht="11.25" hidden="false" customHeight="true" outlineLevel="0" collapsed="false">
      <c r="A21" s="304" t="s">
        <v>222</v>
      </c>
      <c r="B21" s="187" t="n">
        <v>5597.44</v>
      </c>
      <c r="C21" s="187" t="n">
        <v>6714.941</v>
      </c>
      <c r="D21" s="187" t="n">
        <f aca="false">64549.1+300</f>
        <v>64849.1</v>
      </c>
      <c r="E21" s="184" t="n">
        <f aca="false">340+1</f>
        <v>341</v>
      </c>
      <c r="F21" s="1039" t="n">
        <v>44039</v>
      </c>
      <c r="G21" s="883" t="n">
        <v>4145.38</v>
      </c>
      <c r="H21" s="1048" t="n">
        <v>437.18</v>
      </c>
      <c r="I21" s="1045" t="n">
        <f aca="false">I20</f>
        <v>75201.4</v>
      </c>
      <c r="J21" s="1041" t="n">
        <f aca="false">J20</f>
        <v>361</v>
      </c>
    </row>
    <row r="22" s="408" customFormat="true" ht="11.25" hidden="false" customHeight="true" outlineLevel="0" collapsed="false">
      <c r="A22" s="305" t="s">
        <v>223</v>
      </c>
      <c r="B22" s="193" t="n">
        <v>5739.23</v>
      </c>
      <c r="C22" s="193" t="n">
        <v>11494.731</v>
      </c>
      <c r="D22" s="193" t="n">
        <f aca="false">64915.3+300</f>
        <v>65215.3</v>
      </c>
      <c r="E22" s="288" t="n">
        <f aca="false">341+1</f>
        <v>342</v>
      </c>
      <c r="F22" s="1042" t="n">
        <v>44040</v>
      </c>
      <c r="G22" s="1043" t="n">
        <v>4156.55</v>
      </c>
      <c r="H22" s="1038" t="n">
        <v>444.6</v>
      </c>
      <c r="I22" s="1038" t="n">
        <f aca="false">I21</f>
        <v>75201.4</v>
      </c>
      <c r="J22" s="170" t="n">
        <f aca="false">J21</f>
        <v>361</v>
      </c>
    </row>
    <row r="23" s="408" customFormat="true" ht="11.25" hidden="false" customHeight="true" outlineLevel="0" collapsed="false">
      <c r="A23" s="304" t="s">
        <v>224</v>
      </c>
      <c r="B23" s="187" t="n">
        <v>5343.88</v>
      </c>
      <c r="C23" s="187" t="n">
        <v>9667.634</v>
      </c>
      <c r="D23" s="187" t="n">
        <f aca="false">65621.8+300</f>
        <v>65921.8</v>
      </c>
      <c r="E23" s="184" t="n">
        <f aca="false">342+1</f>
        <v>343</v>
      </c>
      <c r="F23" s="1039" t="n">
        <v>44041</v>
      </c>
      <c r="G23" s="883" t="n">
        <v>4171.21</v>
      </c>
      <c r="H23" s="1048" t="n">
        <v>399.52</v>
      </c>
      <c r="I23" s="1045" t="n">
        <f aca="false">I22</f>
        <v>75201.4</v>
      </c>
      <c r="J23" s="1041" t="n">
        <f aca="false">J22</f>
        <v>361</v>
      </c>
    </row>
    <row r="24" s="408" customFormat="true" ht="11.25" hidden="false" customHeight="true" outlineLevel="0" collapsed="false">
      <c r="A24" s="305" t="s">
        <v>225</v>
      </c>
      <c r="B24" s="193" t="n">
        <v>5405.46</v>
      </c>
      <c r="C24" s="193" t="n">
        <v>9635.701</v>
      </c>
      <c r="D24" s="193" t="n">
        <f aca="false">66771.9+300</f>
        <v>67071.9</v>
      </c>
      <c r="E24" s="288" t="n">
        <f aca="false">342+1</f>
        <v>343</v>
      </c>
      <c r="F24" s="1049" t="n">
        <v>44042</v>
      </c>
      <c r="G24" s="1050" t="n">
        <v>4214.43</v>
      </c>
      <c r="H24" s="1051" t="n">
        <v>580.91</v>
      </c>
      <c r="I24" s="1051" t="n">
        <f aca="false">I23</f>
        <v>75201.4</v>
      </c>
      <c r="J24" s="1052" t="n">
        <f aca="false">J22</f>
        <v>361</v>
      </c>
    </row>
    <row r="25" s="408" customFormat="true" ht="11.25" hidden="false" customHeight="true" outlineLevel="0" collapsed="false">
      <c r="A25" s="1047" t="s">
        <v>226</v>
      </c>
      <c r="B25" s="212" t="n">
        <f aca="false">B37</f>
        <v>5421.62</v>
      </c>
      <c r="C25" s="212" t="n">
        <f aca="false">SUM(C26:C37)</f>
        <v>145965.539</v>
      </c>
      <c r="D25" s="212" t="n">
        <f aca="false">D37</f>
        <v>71962.9</v>
      </c>
      <c r="E25" s="858" t="n">
        <f aca="false">E37</f>
        <v>355</v>
      </c>
      <c r="F25" s="1039"/>
      <c r="G25" s="883"/>
      <c r="H25" s="1048"/>
      <c r="I25" s="1045"/>
      <c r="J25" s="1041"/>
    </row>
    <row r="26" s="408" customFormat="true" ht="11.25" hidden="false" customHeight="true" outlineLevel="0" collapsed="false">
      <c r="A26" s="305" t="s">
        <v>214</v>
      </c>
      <c r="B26" s="193" t="n">
        <v>5302.64</v>
      </c>
      <c r="C26" s="193" t="n">
        <v>18676.947</v>
      </c>
      <c r="D26" s="193" t="n">
        <f aca="false">67113.716+300</f>
        <v>67413.716</v>
      </c>
      <c r="E26" s="288" t="n">
        <f aca="false">342+1</f>
        <v>343</v>
      </c>
      <c r="F26" s="1053"/>
      <c r="G26" s="883"/>
      <c r="H26" s="1048"/>
      <c r="I26" s="160"/>
      <c r="J26" s="161"/>
    </row>
    <row r="27" s="408" customFormat="true" ht="11.25" hidden="false" customHeight="true" outlineLevel="0" collapsed="false">
      <c r="A27" s="304" t="s">
        <v>215</v>
      </c>
      <c r="B27" s="187" t="n">
        <v>5600.64</v>
      </c>
      <c r="C27" s="187" t="n">
        <v>11495.259</v>
      </c>
      <c r="D27" s="187" t="n">
        <f aca="false">67214.5+300</f>
        <v>67514.5</v>
      </c>
      <c r="E27" s="184" t="n">
        <f aca="false">343+1</f>
        <v>344</v>
      </c>
      <c r="F27" s="1053"/>
      <c r="G27" s="883"/>
      <c r="H27" s="1048"/>
      <c r="I27" s="160"/>
      <c r="J27" s="161"/>
    </row>
    <row r="28" s="408" customFormat="true" ht="11.25" hidden="false" customHeight="true" outlineLevel="0" collapsed="false">
      <c r="A28" s="305" t="s">
        <v>216</v>
      </c>
      <c r="B28" s="193" t="n">
        <v>5368.96</v>
      </c>
      <c r="C28" s="193" t="n">
        <v>14810.267</v>
      </c>
      <c r="D28" s="193" t="n">
        <f aca="false">67655.4+300</f>
        <v>67955.4</v>
      </c>
      <c r="E28" s="288" t="n">
        <f aca="false">345+1</f>
        <v>346</v>
      </c>
      <c r="F28" s="1053"/>
      <c r="G28" s="883"/>
      <c r="H28" s="1048"/>
      <c r="I28" s="160"/>
      <c r="J28" s="161"/>
    </row>
    <row r="29" s="408" customFormat="true" ht="11.25" hidden="false" customHeight="true" outlineLevel="0" collapsed="false">
      <c r="A29" s="304" t="s">
        <v>217</v>
      </c>
      <c r="B29" s="187" t="n">
        <v>5284.13</v>
      </c>
      <c r="C29" s="187" t="n">
        <v>12737.053</v>
      </c>
      <c r="D29" s="187" t="n">
        <f aca="false">67997.9+300</f>
        <v>68297.9</v>
      </c>
      <c r="E29" s="184" t="n">
        <f aca="false">347+1</f>
        <v>348</v>
      </c>
      <c r="F29" s="1053"/>
      <c r="G29" s="883"/>
      <c r="H29" s="1048"/>
      <c r="I29" s="160"/>
      <c r="J29" s="161"/>
    </row>
    <row r="30" s="408" customFormat="true" ht="11.25" hidden="false" customHeight="true" outlineLevel="0" collapsed="false">
      <c r="A30" s="305" t="s">
        <v>218</v>
      </c>
      <c r="B30" s="193" t="n">
        <v>5281.25</v>
      </c>
      <c r="C30" s="193" t="n">
        <v>11673.793</v>
      </c>
      <c r="D30" s="193" t="n">
        <f aca="false">68183+300</f>
        <v>68483</v>
      </c>
      <c r="E30" s="288" t="n">
        <f aca="false">348+1</f>
        <v>349</v>
      </c>
      <c r="F30" s="1053"/>
      <c r="G30" s="883"/>
      <c r="H30" s="1048"/>
      <c r="I30" s="160"/>
      <c r="J30" s="161"/>
    </row>
    <row r="31" s="408" customFormat="true" ht="11.25" hidden="false" customHeight="true" outlineLevel="0" collapsed="false">
      <c r="A31" s="304" t="s">
        <v>219</v>
      </c>
      <c r="B31" s="187" t="n">
        <v>5385.64</v>
      </c>
      <c r="C31" s="187" t="n">
        <v>8705.642</v>
      </c>
      <c r="D31" s="187" t="n">
        <f aca="false">69106.1+300</f>
        <v>69406.1</v>
      </c>
      <c r="E31" s="184" t="n">
        <f aca="false">348+1</f>
        <v>349</v>
      </c>
      <c r="F31" s="1053"/>
      <c r="G31" s="883"/>
      <c r="H31" s="715"/>
      <c r="I31" s="160"/>
      <c r="J31" s="161"/>
    </row>
    <row r="32" s="408" customFormat="true" ht="11.25" hidden="false" customHeight="true" outlineLevel="0" collapsed="false">
      <c r="A32" s="305" t="s">
        <v>220</v>
      </c>
      <c r="B32" s="193" t="n">
        <v>5821.01</v>
      </c>
      <c r="C32" s="193" t="n">
        <v>22347.945</v>
      </c>
      <c r="D32" s="193" t="n">
        <f aca="false">69358.3+300</f>
        <v>69658.3</v>
      </c>
      <c r="E32" s="288" t="n">
        <f aca="false">349+1</f>
        <v>350</v>
      </c>
      <c r="F32" s="1053"/>
      <c r="G32" s="883"/>
      <c r="H32" s="715"/>
      <c r="I32" s="160"/>
      <c r="J32" s="161"/>
    </row>
    <row r="33" s="408" customFormat="true" ht="11.25" hidden="false" customHeight="true" outlineLevel="0" collapsed="false">
      <c r="A33" s="304" t="s">
        <v>221</v>
      </c>
      <c r="B33" s="187" t="n">
        <v>5711.83</v>
      </c>
      <c r="C33" s="187" t="n">
        <v>13779.138</v>
      </c>
      <c r="D33" s="187" t="n">
        <f aca="false">69439.9+300</f>
        <v>69739.9</v>
      </c>
      <c r="E33" s="184" t="n">
        <f aca="false">350+1</f>
        <v>351</v>
      </c>
      <c r="F33" s="1053"/>
      <c r="G33" s="883"/>
      <c r="H33" s="1048"/>
      <c r="I33" s="160"/>
      <c r="J33" s="161"/>
    </row>
    <row r="34" s="408" customFormat="true" ht="11.25" hidden="false" customHeight="true" outlineLevel="0" collapsed="false">
      <c r="A34" s="305" t="s">
        <v>222</v>
      </c>
      <c r="B34" s="193" t="n">
        <v>5491.91</v>
      </c>
      <c r="C34" s="193" t="n">
        <v>9391.785</v>
      </c>
      <c r="D34" s="193" t="n">
        <f aca="false">69560.2+300</f>
        <v>69860.2</v>
      </c>
      <c r="E34" s="288" t="n">
        <f aca="false">351+1</f>
        <v>352</v>
      </c>
      <c r="F34" s="1053"/>
      <c r="G34" s="883"/>
      <c r="H34" s="1048"/>
      <c r="I34" s="160"/>
      <c r="J34" s="161"/>
    </row>
    <row r="35" s="408" customFormat="true" ht="11.25" hidden="false" customHeight="true" outlineLevel="0" collapsed="false">
      <c r="A35" s="304" t="s">
        <v>223</v>
      </c>
      <c r="B35" s="187" t="n">
        <v>5202.85</v>
      </c>
      <c r="C35" s="187" t="n">
        <v>6981.572</v>
      </c>
      <c r="D35" s="187" t="n">
        <f aca="false">70397.4+300</f>
        <v>70697.4</v>
      </c>
      <c r="E35" s="184" t="n">
        <f aca="false">352+1</f>
        <v>353</v>
      </c>
      <c r="F35" s="1053"/>
      <c r="G35" s="883"/>
      <c r="H35" s="1048"/>
      <c r="I35" s="160"/>
      <c r="J35" s="161"/>
    </row>
    <row r="36" s="408" customFormat="true" ht="11.25" hidden="false" customHeight="true" outlineLevel="0" collapsed="false">
      <c r="A36" s="305" t="s">
        <v>224</v>
      </c>
      <c r="B36" s="193" t="n">
        <v>5377.75</v>
      </c>
      <c r="C36" s="193" t="n">
        <v>7716.125</v>
      </c>
      <c r="D36" s="193" t="n">
        <f aca="false">70954.2+300</f>
        <v>71254.2</v>
      </c>
      <c r="E36" s="288" t="n">
        <f aca="false">354+1</f>
        <v>355</v>
      </c>
      <c r="F36" s="1053"/>
      <c r="G36" s="883"/>
      <c r="H36" s="1048"/>
      <c r="I36" s="160"/>
      <c r="J36" s="161"/>
    </row>
    <row r="37" s="408" customFormat="true" ht="11.25" hidden="false" customHeight="true" outlineLevel="0" collapsed="false">
      <c r="A37" s="304" t="s">
        <v>225</v>
      </c>
      <c r="B37" s="187" t="n">
        <v>5421.62</v>
      </c>
      <c r="C37" s="187" t="n">
        <v>7650.013</v>
      </c>
      <c r="D37" s="187" t="n">
        <f aca="false">71662.9+300</f>
        <v>71962.9</v>
      </c>
      <c r="E37" s="184" t="n">
        <f aca="false">354+1</f>
        <v>355</v>
      </c>
      <c r="F37" s="1053"/>
      <c r="G37" s="883"/>
      <c r="H37" s="1048"/>
      <c r="I37" s="160"/>
      <c r="J37" s="161"/>
    </row>
    <row r="38" s="408" customFormat="true" ht="11.25" hidden="false" customHeight="true" outlineLevel="0" collapsed="false">
      <c r="A38" s="888" t="s">
        <v>227</v>
      </c>
      <c r="B38" s="204" t="n">
        <f aca="false">B50</f>
        <v>3989.09</v>
      </c>
      <c r="C38" s="204" t="n">
        <f aca="false">SUM(C39:C50)</f>
        <v>78042.763</v>
      </c>
      <c r="D38" s="204" t="n">
        <f aca="false">D50</f>
        <v>75486.8</v>
      </c>
      <c r="E38" s="303" t="n">
        <f aca="false">E50</f>
        <v>362</v>
      </c>
      <c r="F38" s="1053"/>
      <c r="G38" s="883"/>
      <c r="H38" s="1048"/>
      <c r="I38" s="160"/>
      <c r="J38" s="161"/>
    </row>
    <row r="39" s="408" customFormat="true" ht="11.25" hidden="false" customHeight="true" outlineLevel="0" collapsed="false">
      <c r="A39" s="889" t="s">
        <v>214</v>
      </c>
      <c r="B39" s="187" t="n">
        <v>5138.79</v>
      </c>
      <c r="C39" s="187" t="n">
        <v>8946.859</v>
      </c>
      <c r="D39" s="187" t="n">
        <f aca="false">72012.8+300</f>
        <v>72312.8</v>
      </c>
      <c r="E39" s="184" t="n">
        <f aca="false">355+1</f>
        <v>356</v>
      </c>
      <c r="F39" s="1053"/>
      <c r="G39" s="161"/>
      <c r="H39" s="1048"/>
      <c r="I39" s="160"/>
      <c r="J39" s="161"/>
    </row>
    <row r="40" s="408" customFormat="true" ht="11.25" hidden="false" customHeight="true" outlineLevel="0" collapsed="false">
      <c r="A40" s="890" t="s">
        <v>215</v>
      </c>
      <c r="B40" s="193" t="n">
        <v>5095.78</v>
      </c>
      <c r="C40" s="193" t="n">
        <v>7397.764</v>
      </c>
      <c r="D40" s="193" t="n">
        <f aca="false">72547.134+300</f>
        <v>72847.134</v>
      </c>
      <c r="E40" s="288" t="n">
        <f aca="false">356+1</f>
        <v>357</v>
      </c>
      <c r="F40" s="1053"/>
      <c r="G40" s="161"/>
      <c r="H40" s="1048"/>
      <c r="I40" s="160"/>
      <c r="J40" s="161"/>
    </row>
    <row r="41" s="408" customFormat="true" ht="11.25" hidden="false" customHeight="true" outlineLevel="0" collapsed="false">
      <c r="A41" s="889" t="s">
        <v>216</v>
      </c>
      <c r="B41" s="187" t="n">
        <v>4947.64</v>
      </c>
      <c r="C41" s="187" t="n">
        <v>8495.246</v>
      </c>
      <c r="D41" s="187" t="n">
        <f aca="false">72722.5+300</f>
        <v>73022.5</v>
      </c>
      <c r="E41" s="184" t="n">
        <f aca="false">356+1</f>
        <v>357</v>
      </c>
      <c r="F41" s="1053"/>
      <c r="G41" s="161"/>
      <c r="H41" s="1048"/>
      <c r="I41" s="160"/>
      <c r="J41" s="161"/>
    </row>
    <row r="42" s="408" customFormat="true" ht="11.25" hidden="false" customHeight="true" outlineLevel="0" collapsed="false">
      <c r="A42" s="890" t="s">
        <v>217</v>
      </c>
      <c r="B42" s="193" t="n">
        <v>4682.9</v>
      </c>
      <c r="C42" s="193" t="n">
        <v>7020.225</v>
      </c>
      <c r="D42" s="193" t="n">
        <f aca="false">72750.9+300</f>
        <v>73050.9</v>
      </c>
      <c r="E42" s="288" t="n">
        <f aca="false">356+1</f>
        <v>357</v>
      </c>
      <c r="F42" s="1053"/>
      <c r="G42" s="161"/>
      <c r="H42" s="1048"/>
      <c r="I42" s="160"/>
      <c r="J42" s="161"/>
    </row>
    <row r="43" s="408" customFormat="true" ht="11.25" hidden="false" customHeight="true" outlineLevel="0" collapsed="false">
      <c r="A43" s="889" t="s">
        <v>218</v>
      </c>
      <c r="B43" s="187" t="n">
        <v>4731.44</v>
      </c>
      <c r="C43" s="187" t="n">
        <v>7410.881</v>
      </c>
      <c r="D43" s="187" t="n">
        <f aca="false">72808.5+300</f>
        <v>73108.5</v>
      </c>
      <c r="E43" s="184" t="n">
        <f aca="false">356+1</f>
        <v>357</v>
      </c>
      <c r="F43" s="1053"/>
      <c r="G43" s="161"/>
      <c r="H43" s="1048"/>
      <c r="I43" s="160"/>
      <c r="J43" s="161"/>
    </row>
    <row r="44" s="408" customFormat="true" ht="11.25" hidden="false" customHeight="true" outlineLevel="0" collapsed="false">
      <c r="A44" s="890" t="s">
        <v>219</v>
      </c>
      <c r="B44" s="193" t="n">
        <v>4452.93</v>
      </c>
      <c r="C44" s="193" t="n">
        <v>6702.728</v>
      </c>
      <c r="D44" s="193" t="n">
        <f aca="false">74286.6+300</f>
        <v>74586.6</v>
      </c>
      <c r="E44" s="288" t="n">
        <f aca="false">357+1</f>
        <v>358</v>
      </c>
      <c r="F44" s="1053"/>
      <c r="G44" s="161"/>
      <c r="H44" s="1048"/>
      <c r="I44" s="160"/>
      <c r="J44" s="161"/>
    </row>
    <row r="45" s="408" customFormat="true" ht="11.25" hidden="false" customHeight="true" outlineLevel="0" collapsed="false">
      <c r="A45" s="889" t="s">
        <v>220</v>
      </c>
      <c r="B45" s="187" t="n">
        <v>4469.66</v>
      </c>
      <c r="C45" s="187" t="n">
        <v>8072.23</v>
      </c>
      <c r="D45" s="187" t="n">
        <f aca="false">74447.5+400</f>
        <v>74847.5</v>
      </c>
      <c r="E45" s="184" t="n">
        <f aca="false">358+2</f>
        <v>360</v>
      </c>
      <c r="F45" s="1053"/>
      <c r="G45" s="161"/>
      <c r="H45" s="1048"/>
      <c r="I45" s="160"/>
      <c r="J45" s="161"/>
    </row>
    <row r="46" s="408" customFormat="true" ht="11.25" hidden="false" customHeight="true" outlineLevel="0" collapsed="false">
      <c r="A46" s="890" t="s">
        <v>221</v>
      </c>
      <c r="B46" s="193" t="n">
        <v>4480.23</v>
      </c>
      <c r="C46" s="193" t="n">
        <v>12427.77</v>
      </c>
      <c r="D46" s="193" t="n">
        <f aca="false">74449.2+400</f>
        <v>74849.2</v>
      </c>
      <c r="E46" s="288" t="n">
        <f aca="false">358+2</f>
        <v>360</v>
      </c>
      <c r="F46" s="1053"/>
      <c r="G46" s="161"/>
      <c r="H46" s="1048"/>
      <c r="I46" s="160"/>
      <c r="J46" s="161"/>
    </row>
    <row r="47" s="408" customFormat="true" ht="11.25" hidden="false" customHeight="true" outlineLevel="0" collapsed="false">
      <c r="A47" s="889" t="s">
        <v>222</v>
      </c>
      <c r="B47" s="187" t="n">
        <v>4008.29</v>
      </c>
      <c r="C47" s="187" t="n">
        <v>6645.64</v>
      </c>
      <c r="D47" s="187" t="n">
        <v>74849.2</v>
      </c>
      <c r="E47" s="184" t="n">
        <v>360</v>
      </c>
      <c r="F47" s="1053"/>
      <c r="G47" s="161"/>
      <c r="H47" s="1048"/>
      <c r="I47" s="160"/>
      <c r="J47" s="161"/>
    </row>
    <row r="48" s="408" customFormat="true" ht="11.25" hidden="false" customHeight="true" outlineLevel="0" collapsed="false">
      <c r="A48" s="890" t="s">
        <v>223</v>
      </c>
      <c r="B48" s="193" t="s">
        <v>204</v>
      </c>
      <c r="C48" s="193" t="s">
        <v>204</v>
      </c>
      <c r="D48" s="193" t="n">
        <v>74849.2</v>
      </c>
      <c r="E48" s="288" t="n">
        <v>360</v>
      </c>
      <c r="F48" s="1053"/>
      <c r="G48" s="161"/>
      <c r="H48" s="1048"/>
      <c r="I48" s="160"/>
      <c r="J48" s="161"/>
    </row>
    <row r="49" s="408" customFormat="true" ht="11.25" hidden="false" customHeight="true" outlineLevel="0" collapsed="false">
      <c r="A49" s="889" t="s">
        <v>224</v>
      </c>
      <c r="B49" s="187" t="n">
        <v>4060.45</v>
      </c>
      <c r="C49" s="187" t="n">
        <v>143.29</v>
      </c>
      <c r="D49" s="187" t="n">
        <v>74849.2</v>
      </c>
      <c r="E49" s="184" t="n">
        <v>360</v>
      </c>
      <c r="F49" s="1053"/>
      <c r="G49" s="161"/>
      <c r="H49" s="1048"/>
      <c r="I49" s="160"/>
      <c r="J49" s="161"/>
    </row>
    <row r="50" s="408" customFormat="true" ht="11.25" hidden="false" customHeight="true" outlineLevel="0" collapsed="false">
      <c r="A50" s="890" t="s">
        <v>225</v>
      </c>
      <c r="B50" s="193" t="n">
        <v>3989.09</v>
      </c>
      <c r="C50" s="193" t="n">
        <v>4780.13</v>
      </c>
      <c r="D50" s="193" t="n">
        <v>75486.8</v>
      </c>
      <c r="E50" s="288" t="n">
        <v>362</v>
      </c>
      <c r="F50" s="1053"/>
      <c r="G50" s="161"/>
      <c r="H50" s="1048"/>
      <c r="I50" s="160"/>
      <c r="J50" s="161"/>
    </row>
    <row r="51" s="408" customFormat="true" ht="11.25" hidden="false" customHeight="true" outlineLevel="0" collapsed="false">
      <c r="A51" s="1054" t="s">
        <v>284</v>
      </c>
      <c r="B51" s="187"/>
      <c r="C51" s="187"/>
      <c r="D51" s="187"/>
      <c r="E51" s="184"/>
      <c r="F51" s="1053"/>
      <c r="G51" s="161"/>
      <c r="H51" s="1048"/>
      <c r="I51" s="160"/>
      <c r="J51" s="161"/>
    </row>
    <row r="52" s="408" customFormat="true" ht="11.25" hidden="false" customHeight="true" outlineLevel="0" collapsed="false">
      <c r="A52" s="1055" t="s">
        <v>214</v>
      </c>
      <c r="B52" s="308" t="n">
        <v>4214.43</v>
      </c>
      <c r="C52" s="308" t="n">
        <v>6001.37</v>
      </c>
      <c r="D52" s="308" t="n">
        <v>75201.4</v>
      </c>
      <c r="E52" s="846" t="n">
        <v>361</v>
      </c>
      <c r="F52" s="1053"/>
      <c r="G52" s="161"/>
      <c r="H52" s="1048"/>
      <c r="I52" s="160"/>
      <c r="J52" s="161"/>
    </row>
    <row r="53" s="408" customFormat="true" ht="11.25" hidden="false" customHeight="true" outlineLevel="0" collapsed="false">
      <c r="A53" s="429" t="s">
        <v>1084</v>
      </c>
      <c r="B53" s="152"/>
      <c r="C53" s="152"/>
      <c r="D53" s="152"/>
      <c r="E53" s="152"/>
      <c r="F53" s="1053"/>
      <c r="G53" s="161"/>
      <c r="H53" s="1048"/>
      <c r="I53" s="160"/>
      <c r="J53" s="161"/>
    </row>
    <row r="54" s="950" customFormat="true" ht="9.95" hidden="false" customHeight="true" outlineLevel="0" collapsed="false">
      <c r="A54" s="677" t="s">
        <v>1085</v>
      </c>
      <c r="B54" s="152"/>
      <c r="C54" s="160"/>
      <c r="D54" s="1056" t="s">
        <v>1086</v>
      </c>
      <c r="E54" s="1056"/>
      <c r="F54" s="1053"/>
      <c r="G54" s="161"/>
      <c r="H54" s="1048"/>
      <c r="I54" s="160"/>
      <c r="J54" s="161"/>
    </row>
    <row r="55" s="950" customFormat="true" ht="10.5" hidden="false" customHeight="true" outlineLevel="0" collapsed="false">
      <c r="F55" s="1053"/>
      <c r="G55" s="161"/>
      <c r="H55" s="1048"/>
      <c r="I55" s="160"/>
      <c r="J55" s="161"/>
    </row>
    <row r="56" s="950" customFormat="true" ht="15.75" hidden="false" customHeight="true" outlineLevel="0" collapsed="false">
      <c r="F56" s="1053"/>
      <c r="G56" s="883"/>
      <c r="H56" s="883"/>
      <c r="I56" s="160"/>
      <c r="J56" s="161"/>
    </row>
    <row r="57" s="950" customFormat="true" ht="13.5" hidden="false" customHeight="true" outlineLevel="0" collapsed="false">
      <c r="F57" s="1053"/>
      <c r="G57" s="883"/>
      <c r="H57" s="883"/>
      <c r="I57" s="160"/>
      <c r="J57" s="161"/>
    </row>
    <row r="58" s="950" customFormat="true" ht="9" hidden="false" customHeight="true" outlineLevel="0" collapsed="false">
      <c r="F58" s="1053"/>
      <c r="G58" s="883"/>
      <c r="H58" s="883"/>
      <c r="I58" s="160"/>
      <c r="J58" s="161"/>
    </row>
    <row r="59" s="950" customFormat="true" ht="8.85" hidden="false" customHeight="true" outlineLevel="0" collapsed="false">
      <c r="F59" s="1053"/>
      <c r="G59" s="883"/>
      <c r="H59" s="883"/>
      <c r="I59" s="160"/>
      <c r="J59" s="161"/>
    </row>
    <row r="60" s="950" customFormat="true" ht="8.85" hidden="false" customHeight="true" outlineLevel="0" collapsed="false">
      <c r="F60" s="1053"/>
      <c r="G60" s="883"/>
      <c r="H60" s="883"/>
      <c r="I60" s="160"/>
      <c r="J60" s="161"/>
    </row>
    <row r="61" s="950" customFormat="true" ht="8.85" hidden="false" customHeight="true" outlineLevel="0" collapsed="false">
      <c r="F61" s="1053"/>
      <c r="G61" s="883"/>
      <c r="H61" s="883"/>
      <c r="I61" s="160"/>
      <c r="J61" s="161"/>
    </row>
    <row r="62" s="950" customFormat="true" ht="8.85" hidden="false" customHeight="true" outlineLevel="0" collapsed="false">
      <c r="F62" s="1053"/>
      <c r="G62" s="883"/>
      <c r="H62" s="883"/>
      <c r="I62" s="160"/>
      <c r="J62" s="161"/>
    </row>
    <row r="63" s="950" customFormat="true" ht="8.85" hidden="false" customHeight="true" outlineLevel="0" collapsed="false">
      <c r="F63" s="1053"/>
      <c r="G63" s="883"/>
      <c r="H63" s="883"/>
      <c r="I63" s="160"/>
      <c r="J63" s="161"/>
    </row>
    <row r="64" s="950" customFormat="true" ht="8.85" hidden="false" customHeight="true" outlineLevel="0" collapsed="false">
      <c r="F64" s="1053"/>
      <c r="G64" s="883"/>
      <c r="H64" s="883"/>
      <c r="I64" s="160"/>
      <c r="J64" s="161"/>
    </row>
    <row r="65" s="950" customFormat="true" ht="9.95" hidden="false" customHeight="true" outlineLevel="0" collapsed="false">
      <c r="F65" s="333"/>
      <c r="G65" s="408"/>
      <c r="H65" s="408"/>
      <c r="I65" s="408"/>
      <c r="J65" s="408"/>
    </row>
    <row r="66" s="950" customFormat="true" ht="9.95" hidden="false" customHeight="true" outlineLevel="0" collapsed="false">
      <c r="F66" s="333"/>
      <c r="G66" s="408"/>
      <c r="H66" s="408"/>
      <c r="I66" s="408"/>
      <c r="J66" s="408"/>
    </row>
    <row r="67" s="950" customFormat="true" ht="9.95" hidden="false" customHeight="true" outlineLevel="0" collapsed="false">
      <c r="F67" s="333"/>
      <c r="G67" s="408"/>
      <c r="H67" s="408"/>
      <c r="I67" s="408"/>
      <c r="J67" s="408"/>
    </row>
    <row r="68" s="950" customFormat="true" ht="11.1" hidden="false" customHeight="true" outlineLevel="0" collapsed="false">
      <c r="F68" s="333"/>
      <c r="G68" s="408"/>
      <c r="H68" s="408"/>
      <c r="I68" s="408"/>
      <c r="J68" s="408"/>
    </row>
    <row r="69" s="950" customFormat="true" ht="11.1" hidden="false" customHeight="true" outlineLevel="0" collapsed="false">
      <c r="F69" s="333"/>
      <c r="G69" s="408"/>
      <c r="H69" s="408"/>
      <c r="I69" s="408"/>
      <c r="J69" s="408"/>
    </row>
    <row r="70" s="950" customFormat="true" ht="11.1" hidden="false" customHeight="true" outlineLevel="0" collapsed="false">
      <c r="F70" s="333"/>
      <c r="G70" s="408"/>
      <c r="H70" s="408"/>
      <c r="I70" s="408"/>
      <c r="J70" s="408"/>
    </row>
    <row r="71" s="950" customFormat="true" ht="11.1" hidden="false" customHeight="true" outlineLevel="0" collapsed="false">
      <c r="A71" s="408"/>
      <c r="B71" s="408"/>
      <c r="C71" s="408"/>
      <c r="D71" s="408"/>
      <c r="E71" s="408"/>
      <c r="F71" s="333"/>
      <c r="G71" s="408"/>
      <c r="H71" s="408"/>
      <c r="I71" s="408"/>
      <c r="J71" s="408"/>
    </row>
    <row r="72" s="408" customFormat="true" ht="11.1" hidden="false" customHeight="true" outlineLevel="0" collapsed="false">
      <c r="A72" s="264"/>
      <c r="B72" s="264"/>
      <c r="C72" s="264"/>
      <c r="D72" s="264"/>
      <c r="E72" s="264"/>
      <c r="F72" s="333"/>
    </row>
    <row r="73" s="264" customFormat="true" ht="11.1" hidden="false" customHeight="true" outlineLevel="0" collapsed="false">
      <c r="F73" s="333"/>
      <c r="G73" s="408"/>
      <c r="H73" s="408"/>
      <c r="I73" s="408"/>
      <c r="J73" s="408"/>
    </row>
    <row r="74" customFormat="false" ht="11.1" hidden="false" customHeight="true" outlineLevel="0" collapsed="false">
      <c r="A74" s="1057"/>
      <c r="B74" s="1058"/>
      <c r="C74" s="1058"/>
      <c r="D74" s="892"/>
      <c r="E74" s="1059"/>
      <c r="F74" s="333"/>
      <c r="G74" s="408"/>
      <c r="H74" s="408"/>
      <c r="I74" s="408"/>
      <c r="J74" s="408"/>
    </row>
    <row r="75" customFormat="false" ht="12.75" hidden="false" customHeight="false" outlineLevel="0" collapsed="false">
      <c r="A75" s="1060"/>
      <c r="B75" s="1061"/>
      <c r="C75" s="1061"/>
      <c r="D75" s="892"/>
      <c r="E75" s="1062"/>
      <c r="F75" s="333"/>
      <c r="G75" s="408"/>
      <c r="H75" s="408"/>
      <c r="I75" s="408"/>
      <c r="J75" s="408"/>
    </row>
    <row r="76" customFormat="false" ht="12.75" hidden="false" customHeight="false" outlineLevel="0" collapsed="false">
      <c r="A76" s="1060"/>
      <c r="B76" s="1061"/>
      <c r="C76" s="1061"/>
      <c r="D76" s="892"/>
      <c r="E76" s="1062"/>
      <c r="F76" s="333"/>
      <c r="G76" s="408"/>
      <c r="H76" s="408"/>
      <c r="I76" s="408"/>
      <c r="J76" s="408"/>
    </row>
    <row r="77" customFormat="false" ht="12.75" hidden="false" customHeight="false" outlineLevel="0" collapsed="false">
      <c r="A77" s="1060"/>
      <c r="B77" s="1061"/>
      <c r="C77" s="1061"/>
      <c r="D77" s="892"/>
      <c r="E77" s="1062"/>
      <c r="F77" s="333"/>
      <c r="G77" s="408"/>
      <c r="H77" s="408"/>
      <c r="I77" s="408"/>
      <c r="J77" s="408"/>
    </row>
    <row r="78" customFormat="false" ht="12.75" hidden="false" customHeight="false" outlineLevel="0" collapsed="false">
      <c r="A78" s="1060"/>
      <c r="B78" s="1061"/>
      <c r="C78" s="1061"/>
      <c r="D78" s="892"/>
      <c r="E78" s="1062"/>
      <c r="G78" s="408"/>
      <c r="H78" s="408"/>
      <c r="I78" s="408"/>
      <c r="J78" s="408"/>
    </row>
    <row r="79" customFormat="false" ht="12.75" hidden="false" customHeight="false" outlineLevel="0" collapsed="false">
      <c r="A79" s="1060"/>
      <c r="B79" s="1061"/>
      <c r="C79" s="1061"/>
      <c r="D79" s="892"/>
      <c r="E79" s="1062"/>
      <c r="G79" s="408"/>
      <c r="H79" s="408"/>
      <c r="I79" s="408"/>
      <c r="J79" s="408"/>
    </row>
    <row r="80" customFormat="false" ht="12.75" hidden="false" customHeight="false" outlineLevel="0" collapsed="false">
      <c r="A80" s="1060"/>
      <c r="B80" s="1061"/>
      <c r="C80" s="1061"/>
      <c r="D80" s="892"/>
      <c r="E80" s="1062"/>
      <c r="G80" s="408"/>
      <c r="H80" s="408"/>
      <c r="I80" s="408"/>
      <c r="J80" s="408"/>
    </row>
    <row r="81" customFormat="false" ht="12.75" hidden="false" customHeight="false" outlineLevel="0" collapsed="false">
      <c r="A81" s="1060"/>
      <c r="B81" s="1061"/>
      <c r="C81" s="1061"/>
      <c r="D81" s="892"/>
      <c r="E81" s="1062"/>
      <c r="G81" s="408"/>
      <c r="H81" s="408"/>
      <c r="I81" s="408"/>
      <c r="J81" s="408"/>
    </row>
    <row r="82" customFormat="false" ht="12.75" hidden="false" customHeight="false" outlineLevel="0" collapsed="false">
      <c r="A82" s="1060"/>
      <c r="B82" s="1061"/>
      <c r="C82" s="1061"/>
      <c r="D82" s="892"/>
      <c r="E82" s="1062"/>
      <c r="G82" s="408"/>
      <c r="H82" s="408"/>
      <c r="I82" s="408"/>
      <c r="J82" s="408"/>
    </row>
    <row r="83" customFormat="false" ht="12.75" hidden="false" customHeight="false" outlineLevel="0" collapsed="false">
      <c r="A83" s="1060"/>
      <c r="B83" s="1061"/>
      <c r="C83" s="1061"/>
      <c r="D83" s="892"/>
      <c r="E83" s="1062"/>
      <c r="G83" s="408"/>
      <c r="H83" s="408"/>
      <c r="I83" s="408"/>
      <c r="J83" s="408"/>
    </row>
    <row r="84" customFormat="false" ht="12.75" hidden="false" customHeight="false" outlineLevel="0" collapsed="false">
      <c r="A84" s="1060"/>
      <c r="B84" s="1061"/>
      <c r="C84" s="1061"/>
      <c r="D84" s="892"/>
      <c r="E84" s="1062"/>
      <c r="G84" s="408"/>
      <c r="H84" s="408"/>
      <c r="I84" s="408"/>
      <c r="J84" s="408"/>
    </row>
    <row r="85" customFormat="false" ht="12.75" hidden="false" customHeight="false" outlineLevel="0" collapsed="false">
      <c r="A85" s="1060"/>
      <c r="B85" s="1061"/>
      <c r="C85" s="1061"/>
      <c r="D85" s="892"/>
      <c r="E85" s="1062"/>
      <c r="G85" s="408"/>
      <c r="H85" s="408"/>
      <c r="I85" s="408"/>
      <c r="J85" s="408"/>
    </row>
    <row r="86" customFormat="false" ht="12.75" hidden="false" customHeight="false" outlineLevel="0" collapsed="false">
      <c r="G86" s="408"/>
      <c r="H86" s="408"/>
      <c r="I86" s="408"/>
      <c r="J86" s="408"/>
    </row>
    <row r="87" customFormat="false" ht="12.75" hidden="false" customHeight="false" outlineLevel="0" collapsed="false">
      <c r="G87" s="408"/>
      <c r="H87" s="408"/>
      <c r="I87" s="408"/>
      <c r="J87" s="408"/>
    </row>
    <row r="88" customFormat="false" ht="12.75" hidden="false" customHeight="false" outlineLevel="0" collapsed="false">
      <c r="G88" s="408"/>
      <c r="H88" s="408"/>
      <c r="I88" s="408"/>
      <c r="J88" s="408"/>
    </row>
    <row r="89" customFormat="false" ht="12.75" hidden="false" customHeight="false" outlineLevel="0" collapsed="false">
      <c r="G89" s="408"/>
      <c r="H89" s="408"/>
      <c r="I89" s="408"/>
      <c r="J89" s="408"/>
    </row>
    <row r="90" customFormat="false" ht="12.75" hidden="false" customHeight="false" outlineLevel="0" collapsed="false">
      <c r="A90" s="1060"/>
      <c r="B90" s="1058"/>
      <c r="C90" s="1061"/>
      <c r="D90" s="892"/>
      <c r="E90" s="1062"/>
      <c r="G90" s="408"/>
      <c r="H90" s="408"/>
      <c r="I90" s="408"/>
      <c r="J90" s="408"/>
    </row>
    <row r="91" customFormat="false" ht="12.75" hidden="false" customHeight="false" outlineLevel="0" collapsed="false">
      <c r="A91" s="1060"/>
      <c r="B91" s="1058"/>
      <c r="C91" s="1061"/>
      <c r="D91" s="892"/>
      <c r="E91" s="1062"/>
      <c r="G91" s="408"/>
      <c r="H91" s="408"/>
      <c r="I91" s="408"/>
      <c r="J91" s="408"/>
    </row>
    <row r="92" customFormat="false" ht="12.75" hidden="false" customHeight="false" outlineLevel="0" collapsed="false">
      <c r="A92" s="1060"/>
      <c r="B92" s="1061"/>
      <c r="C92" s="1058"/>
      <c r="D92" s="892"/>
      <c r="E92" s="1062"/>
      <c r="G92" s="408"/>
      <c r="H92" s="408"/>
      <c r="I92" s="408"/>
      <c r="J92" s="408"/>
    </row>
    <row r="93" customFormat="false" ht="12.75" hidden="false" customHeight="false" outlineLevel="0" collapsed="false">
      <c r="A93" s="1060"/>
      <c r="B93" s="1061"/>
      <c r="C93" s="1061"/>
      <c r="D93" s="892"/>
      <c r="E93" s="1062"/>
      <c r="G93" s="408"/>
      <c r="H93" s="408"/>
      <c r="I93" s="408"/>
      <c r="J93" s="408"/>
    </row>
    <row r="94" customFormat="false" ht="12.75" hidden="false" customHeight="false" outlineLevel="0" collapsed="false">
      <c r="A94" s="1060"/>
      <c r="B94" s="1058"/>
      <c r="C94" s="1061"/>
      <c r="D94" s="892"/>
      <c r="E94" s="1062"/>
    </row>
    <row r="95" customFormat="false" ht="12.75" hidden="false" customHeight="false" outlineLevel="0" collapsed="false">
      <c r="A95" s="1060"/>
      <c r="B95" s="1062"/>
      <c r="C95" s="1061"/>
      <c r="D95" s="892"/>
      <c r="E95" s="1062"/>
    </row>
    <row r="96" customFormat="false" ht="12.75" hidden="false" customHeight="false" outlineLevel="0" collapsed="false">
      <c r="A96" s="1060"/>
      <c r="B96" s="1059"/>
      <c r="C96" s="1058"/>
      <c r="D96" s="892"/>
      <c r="E96" s="1062"/>
    </row>
    <row r="98" customFormat="false" ht="12.75" hidden="false" customHeight="false" outlineLevel="0" collapsed="false">
      <c r="A98" s="1060"/>
      <c r="B98" s="892"/>
      <c r="C98" s="892"/>
      <c r="D98" s="892"/>
      <c r="E98" s="1062"/>
    </row>
    <row r="99" customFormat="false" ht="12.75" hidden="false" customHeight="false" outlineLevel="0" collapsed="false">
      <c r="A99" s="1060"/>
      <c r="B99" s="892"/>
      <c r="C99" s="892"/>
      <c r="D99" s="892"/>
      <c r="E99" s="1062"/>
    </row>
    <row r="101" s="264" customFormat="true" ht="12.75" hidden="false" customHeight="false" outlineLevel="0" collapsed="false">
      <c r="A101" s="1060"/>
      <c r="D101" s="892"/>
      <c r="E101" s="1062"/>
    </row>
    <row r="102" customFormat="false" ht="12.75" hidden="false" customHeight="false" outlineLevel="0" collapsed="false">
      <c r="A102" s="1060"/>
      <c r="B102" s="1062"/>
      <c r="C102" s="1062"/>
      <c r="D102" s="892"/>
      <c r="E102" s="1062"/>
    </row>
    <row r="104" customFormat="false" ht="12.75" hidden="false" customHeight="false" outlineLevel="0" collapsed="false">
      <c r="A104" s="1060"/>
      <c r="B104" s="1062"/>
      <c r="C104" s="1062"/>
      <c r="D104" s="892"/>
      <c r="E104" s="1062"/>
    </row>
    <row r="105" customFormat="false" ht="12.75" hidden="false" customHeight="false" outlineLevel="0" collapsed="false">
      <c r="A105" s="1060"/>
      <c r="B105" s="1062"/>
      <c r="C105" s="1062"/>
      <c r="D105" s="892"/>
      <c r="E105" s="1062"/>
    </row>
    <row r="107" customFormat="false" ht="12.75" hidden="false" customHeight="false" outlineLevel="0" collapsed="false">
      <c r="A107" s="1060"/>
      <c r="B107" s="1062"/>
      <c r="C107" s="1061"/>
      <c r="D107" s="892"/>
      <c r="E107" s="1062"/>
    </row>
    <row r="108" customFormat="false" ht="12.75" hidden="false" customHeight="false" outlineLevel="0" collapsed="false">
      <c r="A108" s="1060"/>
      <c r="B108" s="1058"/>
      <c r="C108" s="1059"/>
      <c r="D108" s="892"/>
      <c r="E108" s="1062"/>
    </row>
    <row r="109" customFormat="false" ht="12.75" hidden="false" customHeight="false" outlineLevel="0" collapsed="false">
      <c r="A109" s="107"/>
      <c r="B109" s="152"/>
      <c r="C109" s="152"/>
      <c r="D109" s="152"/>
      <c r="E109" s="152"/>
    </row>
    <row r="110" customFormat="false" ht="12.75" hidden="false" customHeight="false" outlineLevel="0" collapsed="false">
      <c r="A110" s="107"/>
      <c r="B110" s="152"/>
      <c r="C110" s="152"/>
      <c r="D110" s="152"/>
      <c r="E110" s="152"/>
    </row>
    <row r="111" customFormat="false" ht="12.75" hidden="false" customHeight="false" outlineLevel="0" collapsed="false">
      <c r="C111" s="152"/>
      <c r="D111" s="152"/>
      <c r="E111" s="152"/>
    </row>
    <row r="112" customFormat="false" ht="12.75" hidden="false" customHeight="false" outlineLevel="0" collapsed="false">
      <c r="A112" s="107"/>
      <c r="B112" s="152"/>
      <c r="C112" s="152"/>
      <c r="D112" s="152"/>
      <c r="E112" s="152"/>
    </row>
    <row r="113" customFormat="false" ht="12.75" hidden="false" customHeight="false" outlineLevel="0" collapsed="false">
      <c r="A113" s="107"/>
      <c r="B113" s="152"/>
      <c r="C113" s="152"/>
      <c r="D113" s="152"/>
      <c r="E113" s="152"/>
    </row>
    <row r="114" customFormat="false" ht="12.75" hidden="false" customHeight="false" outlineLevel="0" collapsed="false">
      <c r="A114" s="107"/>
      <c r="B114" s="152"/>
      <c r="C114" s="152"/>
      <c r="D114" s="152"/>
      <c r="E114" s="152"/>
    </row>
  </sheetData>
  <mergeCells count="2">
    <mergeCell ref="A1:E1"/>
    <mergeCell ref="F1:I1"/>
  </mergeCells>
  <printOptions headings="false" gridLines="false" gridLinesSet="true" horizontalCentered="false" verticalCentered="false"/>
  <pageMargins left="0.590277777777778" right="0.511805555555555" top="0.511805555555555" bottom="0.511805555555555" header="0.511805555555555" footer="0"/>
  <pageSetup paperSize="1" scale="100" firstPageNumber="52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>&amp;C&amp;"Times New Roman,Regular"&amp;8&amp;P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6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1" ySplit="4" topLeftCell="B50" activePane="bottomRight" state="frozen"/>
      <selection pane="topLeft" activeCell="A1" activeCellId="0" sqref="A1"/>
      <selection pane="topRight" activeCell="B1" activeCellId="0" sqref="B1"/>
      <selection pane="bottomLeft" activeCell="A50" activeCellId="0" sqref="A50"/>
      <selection pane="bottomRight" activeCell="A5" activeCellId="0" sqref="A5"/>
    </sheetView>
  </sheetViews>
  <sheetFormatPr defaultColWidth="9.15625" defaultRowHeight="11.25" zeroHeight="false" outlineLevelRow="0" outlineLevelCol="0"/>
  <cols>
    <col collapsed="false" customWidth="true" hidden="false" outlineLevel="0" max="1" min="1" style="730" width="8.29"/>
    <col collapsed="false" customWidth="true" hidden="false" outlineLevel="0" max="2" min="2" style="107" width="8.29"/>
    <col collapsed="false" customWidth="true" hidden="false" outlineLevel="0" max="3" min="3" style="107" width="9.29"/>
    <col collapsed="false" customWidth="true" hidden="false" outlineLevel="0" max="4" min="4" style="107" width="7.15"/>
    <col collapsed="false" customWidth="true" hidden="false" outlineLevel="0" max="5" min="5" style="107" width="9.71"/>
    <col collapsed="false" customWidth="true" hidden="false" outlineLevel="0" max="6" min="6" style="107" width="8.57"/>
    <col collapsed="false" customWidth="true" hidden="false" outlineLevel="0" max="7" min="7" style="107" width="8.14"/>
    <col collapsed="false" customWidth="true" hidden="false" outlineLevel="0" max="8" min="8" style="107" width="7.86"/>
    <col collapsed="false" customWidth="true" hidden="false" outlineLevel="0" max="9" min="9" style="107" width="8.42"/>
    <col collapsed="false" customWidth="true" hidden="false" outlineLevel="0" max="10" min="10" style="107" width="9.58"/>
    <col collapsed="false" customWidth="true" hidden="false" outlineLevel="0" max="11" min="11" style="107" width="7.15"/>
    <col collapsed="false" customWidth="true" hidden="false" outlineLevel="0" max="14" min="12" style="107" width="7.71"/>
    <col collapsed="false" customWidth="true" hidden="false" outlineLevel="0" max="15" min="15" style="107" width="9.71"/>
    <col collapsed="false" customWidth="true" hidden="false" outlineLevel="0" max="16" min="16" style="107" width="7.71"/>
    <col collapsed="false" customWidth="true" hidden="false" outlineLevel="0" max="17" min="17" style="107" width="10.42"/>
    <col collapsed="false" customWidth="true" hidden="false" outlineLevel="0" max="18" min="18" style="107" width="9"/>
    <col collapsed="false" customWidth="false" hidden="false" outlineLevel="0" max="1024" min="19" style="107" width="9.14"/>
  </cols>
  <sheetData>
    <row r="1" s="1066" customFormat="true" ht="12.75" hidden="false" customHeight="true" outlineLevel="0" collapsed="false">
      <c r="A1" s="1063" t="s">
        <v>1087</v>
      </c>
      <c r="B1" s="1063"/>
      <c r="C1" s="1063"/>
      <c r="D1" s="1063"/>
      <c r="E1" s="1063"/>
      <c r="F1" s="1063"/>
      <c r="G1" s="1063"/>
      <c r="H1" s="1063"/>
      <c r="I1" s="1063"/>
      <c r="J1" s="1064" t="s">
        <v>1088</v>
      </c>
      <c r="K1" s="1064"/>
      <c r="L1" s="1064"/>
      <c r="M1" s="1064"/>
      <c r="N1" s="1064"/>
      <c r="O1" s="1064"/>
      <c r="P1" s="1064"/>
      <c r="Q1" s="1065" t="s">
        <v>1089</v>
      </c>
      <c r="R1" s="1065"/>
    </row>
    <row r="2" s="747" customFormat="true" ht="10.5" hidden="false" customHeight="true" outlineLevel="0" collapsed="false">
      <c r="B2" s="1067"/>
      <c r="C2" s="1067"/>
      <c r="D2" s="1067"/>
      <c r="E2" s="1067"/>
      <c r="F2" s="1067"/>
      <c r="G2" s="1067"/>
      <c r="J2" s="1067"/>
      <c r="K2" s="1067"/>
      <c r="L2" s="1067"/>
      <c r="M2" s="1067"/>
      <c r="N2" s="1067"/>
      <c r="O2" s="1067"/>
      <c r="P2" s="1067"/>
      <c r="Q2" s="1068" t="s">
        <v>1090</v>
      </c>
      <c r="R2" s="1068"/>
    </row>
    <row r="3" s="1070" customFormat="true" ht="12.75" hidden="false" customHeight="true" outlineLevel="0" collapsed="false">
      <c r="A3" s="834" t="s">
        <v>384</v>
      </c>
      <c r="B3" s="1069" t="s">
        <v>1091</v>
      </c>
      <c r="C3" s="1069"/>
      <c r="D3" s="1069"/>
      <c r="E3" s="1069"/>
      <c r="F3" s="1069"/>
      <c r="G3" s="1069"/>
      <c r="H3" s="1069"/>
      <c r="I3" s="1069"/>
      <c r="J3" s="1069"/>
      <c r="K3" s="1069"/>
      <c r="L3" s="1069"/>
      <c r="M3" s="1069"/>
      <c r="N3" s="1069"/>
      <c r="O3" s="1069"/>
      <c r="P3" s="1069"/>
      <c r="Q3" s="1069"/>
      <c r="R3" s="834" t="s">
        <v>364</v>
      </c>
    </row>
    <row r="4" s="1071" customFormat="true" ht="39.75" hidden="false" customHeight="true" outlineLevel="0" collapsed="false">
      <c r="A4" s="834"/>
      <c r="B4" s="749" t="s">
        <v>1092</v>
      </c>
      <c r="C4" s="749" t="s">
        <v>1093</v>
      </c>
      <c r="D4" s="749" t="s">
        <v>1094</v>
      </c>
      <c r="E4" s="749" t="s">
        <v>1095</v>
      </c>
      <c r="F4" s="749" t="s">
        <v>1096</v>
      </c>
      <c r="G4" s="749" t="s">
        <v>1097</v>
      </c>
      <c r="H4" s="749" t="s">
        <v>1098</v>
      </c>
      <c r="I4" s="749" t="s">
        <v>1099</v>
      </c>
      <c r="J4" s="749" t="s">
        <v>1100</v>
      </c>
      <c r="K4" s="749" t="s">
        <v>1101</v>
      </c>
      <c r="L4" s="749" t="s">
        <v>1102</v>
      </c>
      <c r="M4" s="749" t="s">
        <v>1103</v>
      </c>
      <c r="N4" s="749" t="s">
        <v>1104</v>
      </c>
      <c r="O4" s="749" t="s">
        <v>1105</v>
      </c>
      <c r="P4" s="749" t="s">
        <v>1106</v>
      </c>
      <c r="Q4" s="749" t="s">
        <v>1107</v>
      </c>
      <c r="R4" s="834"/>
    </row>
    <row r="5" s="252" customFormat="true" ht="11.25" hidden="false" customHeight="true" outlineLevel="0" collapsed="false">
      <c r="A5" s="1072" t="s">
        <v>203</v>
      </c>
      <c r="B5" s="193" t="n">
        <v>64408.3</v>
      </c>
      <c r="C5" s="1073" t="n">
        <v>28352.9</v>
      </c>
      <c r="D5" s="193" t="n">
        <v>2723.1</v>
      </c>
      <c r="E5" s="193" t="n">
        <v>9507.8</v>
      </c>
      <c r="F5" s="193" t="n">
        <v>4335.1</v>
      </c>
      <c r="G5" s="193" t="n">
        <v>30142.7</v>
      </c>
      <c r="H5" s="193" t="n">
        <v>61.1</v>
      </c>
      <c r="I5" s="193" t="n">
        <v>6098</v>
      </c>
      <c r="J5" s="193" t="n">
        <v>16282.4</v>
      </c>
      <c r="K5" s="193" t="n">
        <v>85.9</v>
      </c>
      <c r="L5" s="193" t="n">
        <v>2684.7</v>
      </c>
      <c r="M5" s="193" t="n">
        <v>5476.9</v>
      </c>
      <c r="N5" s="193" t="n">
        <v>10591.1</v>
      </c>
      <c r="O5" s="193" t="n">
        <v>31826.6</v>
      </c>
      <c r="P5" s="193" t="n">
        <v>15064.2</v>
      </c>
      <c r="Q5" s="193" t="n">
        <v>227640.8</v>
      </c>
      <c r="R5" s="1074" t="s">
        <v>203</v>
      </c>
    </row>
    <row r="6" s="363" customFormat="true" ht="11.25" hidden="false" customHeight="true" outlineLevel="0" collapsed="false">
      <c r="A6" s="1075" t="s">
        <v>205</v>
      </c>
      <c r="B6" s="187" t="n">
        <v>68061.9</v>
      </c>
      <c r="C6" s="1076" t="n">
        <v>28715.5</v>
      </c>
      <c r="D6" s="187" t="n">
        <v>3595.5</v>
      </c>
      <c r="E6" s="187" t="n">
        <v>12054.8</v>
      </c>
      <c r="F6" s="187" t="n">
        <v>5342</v>
      </c>
      <c r="G6" s="187" t="n">
        <v>28931.4</v>
      </c>
      <c r="H6" s="187" t="n">
        <v>79</v>
      </c>
      <c r="I6" s="187" t="n">
        <v>8229.2</v>
      </c>
      <c r="J6" s="187" t="n">
        <v>18080.8</v>
      </c>
      <c r="K6" s="187" t="n">
        <v>90.6</v>
      </c>
      <c r="L6" s="187" t="n">
        <v>1871.8</v>
      </c>
      <c r="M6" s="187" t="n">
        <v>7703</v>
      </c>
      <c r="N6" s="187" t="n">
        <v>14010.4</v>
      </c>
      <c r="O6" s="187" t="n">
        <v>22131.4</v>
      </c>
      <c r="P6" s="187" t="n">
        <v>13804.3</v>
      </c>
      <c r="Q6" s="187" t="n">
        <v>232701.6</v>
      </c>
      <c r="R6" s="1077" t="s">
        <v>205</v>
      </c>
    </row>
    <row r="7" s="252" customFormat="true" ht="11.25" hidden="false" customHeight="true" outlineLevel="0" collapsed="false">
      <c r="A7" s="1072" t="s">
        <v>282</v>
      </c>
      <c r="B7" s="193" t="n">
        <v>51238.6</v>
      </c>
      <c r="C7" s="1073" t="n">
        <v>18987.8</v>
      </c>
      <c r="D7" s="193" t="n">
        <v>3588.1</v>
      </c>
      <c r="E7" s="193" t="n">
        <v>8631.4</v>
      </c>
      <c r="F7" s="193" t="n">
        <v>5117.6</v>
      </c>
      <c r="G7" s="193" t="n">
        <v>24813</v>
      </c>
      <c r="H7" s="193" t="n">
        <v>49.8</v>
      </c>
      <c r="I7" s="193" t="n">
        <v>4585</v>
      </c>
      <c r="J7" s="193" t="n">
        <v>16465.8</v>
      </c>
      <c r="K7" s="193" t="n">
        <v>48.8</v>
      </c>
      <c r="L7" s="193" t="n">
        <v>1187.3</v>
      </c>
      <c r="M7" s="193" t="n">
        <v>8386.3</v>
      </c>
      <c r="N7" s="193" t="n">
        <v>10716.9</v>
      </c>
      <c r="O7" s="193" t="n">
        <v>28924.3</v>
      </c>
      <c r="P7" s="193" t="n">
        <v>10503.38</v>
      </c>
      <c r="Q7" s="193" t="n">
        <v>193244.08</v>
      </c>
      <c r="R7" s="1074" t="s">
        <v>282</v>
      </c>
    </row>
    <row r="8" s="363" customFormat="true" ht="11.25" hidden="false" customHeight="true" outlineLevel="0" collapsed="false">
      <c r="A8" s="1075" t="s">
        <v>207</v>
      </c>
      <c r="B8" s="187" t="n">
        <v>41710.1</v>
      </c>
      <c r="C8" s="1076" t="n">
        <v>16994.6</v>
      </c>
      <c r="D8" s="187" t="n">
        <v>4130.8</v>
      </c>
      <c r="E8" s="187" t="n">
        <v>9567</v>
      </c>
      <c r="F8" s="187" t="n">
        <v>8581.6</v>
      </c>
      <c r="G8" s="187" t="n">
        <v>29036.7</v>
      </c>
      <c r="H8" s="187" t="n">
        <v>49.5</v>
      </c>
      <c r="I8" s="187" t="n">
        <v>6418.5</v>
      </c>
      <c r="J8" s="187" t="n">
        <v>19754.1</v>
      </c>
      <c r="K8" s="187" t="n">
        <v>32.9</v>
      </c>
      <c r="L8" s="187" t="n">
        <v>954.1</v>
      </c>
      <c r="M8" s="187" t="n">
        <v>9156.1</v>
      </c>
      <c r="N8" s="187" t="n">
        <v>10675.2</v>
      </c>
      <c r="O8" s="187" t="n">
        <v>27168.2</v>
      </c>
      <c r="P8" s="187" t="n">
        <v>13513.613</v>
      </c>
      <c r="Q8" s="187" t="n">
        <v>197743.013</v>
      </c>
      <c r="R8" s="1077" t="s">
        <v>207</v>
      </c>
    </row>
    <row r="9" s="207" customFormat="true" ht="11.25" hidden="false" customHeight="true" outlineLevel="0" collapsed="false">
      <c r="A9" s="581" t="s">
        <v>208</v>
      </c>
      <c r="B9" s="172" t="n">
        <v>39281.1</v>
      </c>
      <c r="C9" s="172" t="n">
        <v>15318.1</v>
      </c>
      <c r="D9" s="172" t="n">
        <v>3431.1</v>
      </c>
      <c r="E9" s="172" t="n">
        <v>9860.7</v>
      </c>
      <c r="F9" s="172" t="n">
        <v>18418.5</v>
      </c>
      <c r="G9" s="172" t="n">
        <v>29365.5</v>
      </c>
      <c r="H9" s="172" t="n">
        <v>66.9</v>
      </c>
      <c r="I9" s="172" t="n">
        <v>8245.8</v>
      </c>
      <c r="J9" s="172" t="n">
        <v>30676.8</v>
      </c>
      <c r="K9" s="172" t="n">
        <v>50.9</v>
      </c>
      <c r="L9" s="172" t="n">
        <v>1002.3</v>
      </c>
      <c r="M9" s="172" t="n">
        <v>15672.4</v>
      </c>
      <c r="N9" s="172" t="n">
        <v>9972.4</v>
      </c>
      <c r="O9" s="172" t="n">
        <v>43364.9</v>
      </c>
      <c r="P9" s="172" t="n">
        <v>13898.901</v>
      </c>
      <c r="Q9" s="172" t="n">
        <v>238626.301</v>
      </c>
      <c r="R9" s="1078" t="s">
        <v>208</v>
      </c>
    </row>
    <row r="10" s="207" customFormat="true" ht="11.25" hidden="false" customHeight="true" outlineLevel="0" collapsed="false">
      <c r="A10" s="1079" t="s">
        <v>209</v>
      </c>
      <c r="B10" s="187" t="n">
        <v>36607.3</v>
      </c>
      <c r="C10" s="187" t="n">
        <v>15119.2</v>
      </c>
      <c r="D10" s="187" t="n">
        <v>2884.8</v>
      </c>
      <c r="E10" s="187" t="n">
        <v>13566.4</v>
      </c>
      <c r="F10" s="187" t="n">
        <v>23673.8</v>
      </c>
      <c r="G10" s="187" t="n">
        <v>38616.1</v>
      </c>
      <c r="H10" s="187" t="n">
        <v>71.1</v>
      </c>
      <c r="I10" s="187" t="n">
        <v>9181.1</v>
      </c>
      <c r="J10" s="187" t="n">
        <v>38646.1</v>
      </c>
      <c r="K10" s="187" t="n">
        <v>256.6</v>
      </c>
      <c r="L10" s="187" t="n">
        <v>2095.3</v>
      </c>
      <c r="M10" s="187" t="n">
        <v>19413.8</v>
      </c>
      <c r="N10" s="187" t="n">
        <v>7528.3</v>
      </c>
      <c r="O10" s="187" t="n">
        <v>46505.8</v>
      </c>
      <c r="P10" s="187" t="n">
        <v>16021.86</v>
      </c>
      <c r="Q10" s="187" t="n">
        <v>270187.56</v>
      </c>
      <c r="R10" s="474" t="s">
        <v>209</v>
      </c>
    </row>
    <row r="11" s="1081" customFormat="true" ht="11.25" hidden="false" customHeight="true" outlineLevel="0" collapsed="false">
      <c r="A11" s="1080" t="s">
        <v>211</v>
      </c>
      <c r="B11" s="193" t="n">
        <v>39555.603</v>
      </c>
      <c r="C11" s="193" t="n">
        <v>14567.243</v>
      </c>
      <c r="D11" s="193" t="n">
        <v>3028.443</v>
      </c>
      <c r="E11" s="193" t="n">
        <v>15529.823</v>
      </c>
      <c r="F11" s="193" t="n">
        <v>24410.639</v>
      </c>
      <c r="G11" s="193" t="n">
        <v>35133.678</v>
      </c>
      <c r="H11" s="193" t="n">
        <v>79.347</v>
      </c>
      <c r="I11" s="193" t="n">
        <v>8184.891</v>
      </c>
      <c r="J11" s="193" t="n">
        <v>43424.768</v>
      </c>
      <c r="K11" s="193" t="n">
        <v>150.286</v>
      </c>
      <c r="L11" s="193" t="n">
        <v>1834.004</v>
      </c>
      <c r="M11" s="193" t="n">
        <v>14872.711</v>
      </c>
      <c r="N11" s="193" t="n">
        <v>7141.958</v>
      </c>
      <c r="O11" s="193" t="n">
        <v>36209.4</v>
      </c>
      <c r="P11" s="193" t="n">
        <v>17324.168</v>
      </c>
      <c r="Q11" s="193" t="n">
        <v>261446.962</v>
      </c>
      <c r="R11" s="472" t="s">
        <v>211</v>
      </c>
    </row>
    <row r="12" s="207" customFormat="true" ht="11.25" hidden="false" customHeight="true" outlineLevel="0" collapsed="false">
      <c r="A12" s="1082" t="s">
        <v>212</v>
      </c>
      <c r="B12" s="212" t="n">
        <v>56058.838</v>
      </c>
      <c r="C12" s="212" t="n">
        <v>23379.763</v>
      </c>
      <c r="D12" s="212" t="n">
        <v>4250.066</v>
      </c>
      <c r="E12" s="212" t="n">
        <v>19062.416</v>
      </c>
      <c r="F12" s="212" t="n">
        <v>24719.442</v>
      </c>
      <c r="G12" s="212" t="n">
        <v>40486.986</v>
      </c>
      <c r="H12" s="212" t="n">
        <v>154.69</v>
      </c>
      <c r="I12" s="212" t="n">
        <v>12634.068</v>
      </c>
      <c r="J12" s="212" t="n">
        <v>50185.283</v>
      </c>
      <c r="K12" s="212" t="n">
        <v>192.57</v>
      </c>
      <c r="L12" s="212" t="n">
        <v>2533.12</v>
      </c>
      <c r="M12" s="212" t="n">
        <v>13144.56</v>
      </c>
      <c r="N12" s="212" t="n">
        <v>8648.96</v>
      </c>
      <c r="O12" s="212" t="n">
        <v>48484.848</v>
      </c>
      <c r="P12" s="212" t="n">
        <v>20005.73</v>
      </c>
      <c r="Q12" s="212" t="n">
        <v>323941.34</v>
      </c>
      <c r="R12" s="480" t="s">
        <v>212</v>
      </c>
    </row>
    <row r="13" s="207" customFormat="true" ht="11.25" hidden="false" customHeight="true" outlineLevel="0" collapsed="false">
      <c r="A13" s="1083" t="s">
        <v>213</v>
      </c>
      <c r="B13" s="204" t="n">
        <f aca="false">B25</f>
        <v>56693.462</v>
      </c>
      <c r="C13" s="204" t="n">
        <f aca="false">C25</f>
        <v>21015.175</v>
      </c>
      <c r="D13" s="204" t="n">
        <f aca="false">D25</f>
        <v>4080.935</v>
      </c>
      <c r="E13" s="204" t="n">
        <f aca="false">E25</f>
        <v>19059.029</v>
      </c>
      <c r="F13" s="204" t="n">
        <f aca="false">F25</f>
        <v>27614.215</v>
      </c>
      <c r="G13" s="204" t="n">
        <f aca="false">G25</f>
        <v>39752.845</v>
      </c>
      <c r="H13" s="204" t="n">
        <f aca="false">H25</f>
        <v>194.551</v>
      </c>
      <c r="I13" s="204" t="n">
        <f aca="false">I25</f>
        <v>11658.181</v>
      </c>
      <c r="J13" s="204" t="n">
        <f aca="false">J25</f>
        <v>52211.76</v>
      </c>
      <c r="K13" s="204" t="n">
        <f aca="false">K25</f>
        <v>215.678</v>
      </c>
      <c r="L13" s="204" t="n">
        <f aca="false">L25</f>
        <v>1912.181</v>
      </c>
      <c r="M13" s="204" t="n">
        <f aca="false">M25</f>
        <v>11754.667</v>
      </c>
      <c r="N13" s="204" t="n">
        <f aca="false">N25</f>
        <v>8559.257</v>
      </c>
      <c r="O13" s="204" t="n">
        <f aca="false">O25</f>
        <v>54210.046</v>
      </c>
      <c r="P13" s="204" t="n">
        <f aca="false">P25</f>
        <v>17379.813</v>
      </c>
      <c r="Q13" s="204" t="n">
        <f aca="false">Q25</f>
        <v>326311.795</v>
      </c>
      <c r="R13" s="477" t="s">
        <v>213</v>
      </c>
    </row>
    <row r="14" s="207" customFormat="true" ht="11.25" hidden="false" customHeight="true" outlineLevel="0" collapsed="false">
      <c r="A14" s="1079" t="s">
        <v>214</v>
      </c>
      <c r="B14" s="715" t="n">
        <v>62267.713</v>
      </c>
      <c r="C14" s="715" t="n">
        <v>25487.59</v>
      </c>
      <c r="D14" s="715" t="n">
        <v>4351.511</v>
      </c>
      <c r="E14" s="715" t="n">
        <v>20689.067</v>
      </c>
      <c r="F14" s="715" t="n">
        <v>26176.551</v>
      </c>
      <c r="G14" s="715" t="n">
        <v>40381.881</v>
      </c>
      <c r="H14" s="715" t="n">
        <v>167.154</v>
      </c>
      <c r="I14" s="715" t="n">
        <v>12800.245</v>
      </c>
      <c r="J14" s="715" t="n">
        <v>49694.307</v>
      </c>
      <c r="K14" s="715" t="n">
        <v>227.834</v>
      </c>
      <c r="L14" s="715" t="n">
        <v>2594.487</v>
      </c>
      <c r="M14" s="715" t="n">
        <v>13091.636</v>
      </c>
      <c r="N14" s="715" t="n">
        <v>8863.33</v>
      </c>
      <c r="O14" s="715" t="n">
        <v>53267.276</v>
      </c>
      <c r="P14" s="715" t="n">
        <f aca="false">2692.549+2920.929+1401.151+2537.557+10341.857+575.115</f>
        <v>20469.158</v>
      </c>
      <c r="Q14" s="715" t="n">
        <f aca="false">SUM(B14:P14)</f>
        <v>340529.74</v>
      </c>
      <c r="R14" s="474" t="s">
        <v>214</v>
      </c>
    </row>
    <row r="15" s="207" customFormat="true" ht="11.25" hidden="false" customHeight="true" outlineLevel="0" collapsed="false">
      <c r="A15" s="1080" t="s">
        <v>215</v>
      </c>
      <c r="B15" s="708" t="n">
        <v>67853.076</v>
      </c>
      <c r="C15" s="708" t="n">
        <v>25205.355</v>
      </c>
      <c r="D15" s="708" t="n">
        <v>4326.711</v>
      </c>
      <c r="E15" s="708" t="n">
        <v>21500.99</v>
      </c>
      <c r="F15" s="708" t="n">
        <v>25829.133</v>
      </c>
      <c r="G15" s="708" t="n">
        <v>39952.579</v>
      </c>
      <c r="H15" s="708" t="n">
        <v>195.302</v>
      </c>
      <c r="I15" s="708" t="n">
        <v>12796.721</v>
      </c>
      <c r="J15" s="708" t="n">
        <v>49881.281</v>
      </c>
      <c r="K15" s="708" t="n">
        <v>224.626</v>
      </c>
      <c r="L15" s="708" t="n">
        <v>2632.753</v>
      </c>
      <c r="M15" s="708" t="n">
        <v>12653.933</v>
      </c>
      <c r="N15" s="708" t="n">
        <v>8776.973</v>
      </c>
      <c r="O15" s="708" t="n">
        <v>54548.627</v>
      </c>
      <c r="P15" s="708" t="n">
        <f aca="false">2846.087+2904.507+1397.87+2543.191+10046.746+589.516</f>
        <v>20327.917</v>
      </c>
      <c r="Q15" s="708" t="n">
        <f aca="false">SUM(B15:P15)</f>
        <v>346705.977</v>
      </c>
      <c r="R15" s="472" t="s">
        <v>215</v>
      </c>
    </row>
    <row r="16" s="207" customFormat="true" ht="11.25" hidden="false" customHeight="true" outlineLevel="0" collapsed="false">
      <c r="A16" s="1079" t="s">
        <v>216</v>
      </c>
      <c r="B16" s="715" t="n">
        <v>72373.622</v>
      </c>
      <c r="C16" s="715" t="n">
        <v>25223.624</v>
      </c>
      <c r="D16" s="715" t="n">
        <v>4318.875</v>
      </c>
      <c r="E16" s="715" t="n">
        <v>19987.23</v>
      </c>
      <c r="F16" s="715" t="n">
        <v>25565.919</v>
      </c>
      <c r="G16" s="715" t="n">
        <v>38501.331</v>
      </c>
      <c r="H16" s="715" t="n">
        <v>175.628</v>
      </c>
      <c r="I16" s="715" t="n">
        <v>11993.13</v>
      </c>
      <c r="J16" s="715" t="n">
        <v>51212.913</v>
      </c>
      <c r="K16" s="715" t="n">
        <v>243.389</v>
      </c>
      <c r="L16" s="715" t="n">
        <v>2432.249</v>
      </c>
      <c r="M16" s="715" t="n">
        <v>12806.899</v>
      </c>
      <c r="N16" s="715" t="n">
        <v>9292.739</v>
      </c>
      <c r="O16" s="715" t="n">
        <v>57967.777</v>
      </c>
      <c r="P16" s="715" t="n">
        <f aca="false">2750.362+2781.868+2348.86+9775.559+592.516+1338.404</f>
        <v>19587.569</v>
      </c>
      <c r="Q16" s="715" t="n">
        <f aca="false">SUM(B16:P16)</f>
        <v>351682.894</v>
      </c>
      <c r="R16" s="474" t="s">
        <v>216</v>
      </c>
    </row>
    <row r="17" s="207" customFormat="true" ht="11.25" hidden="false" customHeight="true" outlineLevel="0" collapsed="false">
      <c r="A17" s="1080" t="s">
        <v>217</v>
      </c>
      <c r="B17" s="708" t="n">
        <v>71833.82</v>
      </c>
      <c r="C17" s="708" t="n">
        <v>25721.977</v>
      </c>
      <c r="D17" s="708" t="n">
        <v>4272.275</v>
      </c>
      <c r="E17" s="708" t="n">
        <v>19471.724</v>
      </c>
      <c r="F17" s="708" t="n">
        <v>25917.119</v>
      </c>
      <c r="G17" s="708" t="n">
        <v>38340.163</v>
      </c>
      <c r="H17" s="708" t="n">
        <v>159.364</v>
      </c>
      <c r="I17" s="708" t="n">
        <v>11765.067</v>
      </c>
      <c r="J17" s="708" t="n">
        <v>50443.511</v>
      </c>
      <c r="K17" s="708" t="n">
        <v>168.171</v>
      </c>
      <c r="L17" s="708" t="n">
        <v>2416.726</v>
      </c>
      <c r="M17" s="708" t="n">
        <v>12486.83</v>
      </c>
      <c r="N17" s="708" t="n">
        <v>9189.161</v>
      </c>
      <c r="O17" s="708" t="n">
        <v>60981.12</v>
      </c>
      <c r="P17" s="708" t="n">
        <f aca="false">2713.364+2721.727+1853.605+2364.267+9545.89+594.173</f>
        <v>19793.026</v>
      </c>
      <c r="Q17" s="708" t="n">
        <f aca="false">SUM(B17:P17)</f>
        <v>352960.054</v>
      </c>
      <c r="R17" s="472" t="s">
        <v>217</v>
      </c>
    </row>
    <row r="18" s="207" customFormat="true" ht="11.25" hidden="false" customHeight="true" outlineLevel="0" collapsed="false">
      <c r="A18" s="1079" t="s">
        <v>218</v>
      </c>
      <c r="B18" s="715" t="n">
        <v>75820.788</v>
      </c>
      <c r="C18" s="715" t="n">
        <v>24566.877</v>
      </c>
      <c r="D18" s="715" t="n">
        <v>4190.295</v>
      </c>
      <c r="E18" s="715" t="n">
        <v>19882.311</v>
      </c>
      <c r="F18" s="715" t="n">
        <v>27786.025</v>
      </c>
      <c r="G18" s="715" t="n">
        <v>38030.501</v>
      </c>
      <c r="H18" s="715" t="n">
        <v>201.237</v>
      </c>
      <c r="I18" s="715" t="n">
        <v>11594.377</v>
      </c>
      <c r="J18" s="715" t="n">
        <v>49791.301</v>
      </c>
      <c r="K18" s="715" t="n">
        <v>194.065</v>
      </c>
      <c r="L18" s="715" t="n">
        <v>2193.128</v>
      </c>
      <c r="M18" s="715" t="n">
        <v>12125.634</v>
      </c>
      <c r="N18" s="715" t="n">
        <v>9502.858</v>
      </c>
      <c r="O18" s="715" t="n">
        <v>65374.757</v>
      </c>
      <c r="P18" s="715" t="n">
        <f aca="false">2861.641+2681.72+1617.972+2495.775+9592.119+590.656</f>
        <v>19839.883</v>
      </c>
      <c r="Q18" s="715" t="n">
        <f aca="false">SUM(B18:P18)</f>
        <v>361094.037</v>
      </c>
      <c r="R18" s="474" t="s">
        <v>218</v>
      </c>
    </row>
    <row r="19" s="207" customFormat="true" ht="11.25" hidden="false" customHeight="true" outlineLevel="0" collapsed="false">
      <c r="A19" s="1080" t="s">
        <v>219</v>
      </c>
      <c r="B19" s="708" t="n">
        <v>75255.335</v>
      </c>
      <c r="C19" s="708" t="n">
        <v>24402.905</v>
      </c>
      <c r="D19" s="708" t="n">
        <v>4231.186</v>
      </c>
      <c r="E19" s="708" t="n">
        <v>20819.072</v>
      </c>
      <c r="F19" s="708" t="n">
        <v>28560.403</v>
      </c>
      <c r="G19" s="708" t="n">
        <v>37284.269</v>
      </c>
      <c r="H19" s="708" t="n">
        <v>195.969</v>
      </c>
      <c r="I19" s="708" t="n">
        <v>12171.326</v>
      </c>
      <c r="J19" s="708" t="n">
        <v>53078.665</v>
      </c>
      <c r="K19" s="708" t="n">
        <v>193.875</v>
      </c>
      <c r="L19" s="708" t="n">
        <v>2358.633</v>
      </c>
      <c r="M19" s="708" t="n">
        <v>13856.296</v>
      </c>
      <c r="N19" s="708" t="n">
        <v>9437.679</v>
      </c>
      <c r="O19" s="708" t="n">
        <v>65272.301</v>
      </c>
      <c r="P19" s="708" t="n">
        <f aca="false">1641.183+2759.598+2869.172+2466.205+602.716+9501.925</f>
        <v>19840.799</v>
      </c>
      <c r="Q19" s="708" t="n">
        <f aca="false">SUM(B19:P19)</f>
        <v>366958.713</v>
      </c>
      <c r="R19" s="472" t="s">
        <v>219</v>
      </c>
    </row>
    <row r="20" s="207" customFormat="true" ht="11.25" hidden="false" customHeight="true" outlineLevel="0" collapsed="false">
      <c r="A20" s="1079" t="s">
        <v>220</v>
      </c>
      <c r="B20" s="715" t="n">
        <v>68078.378</v>
      </c>
      <c r="C20" s="715" t="n">
        <v>23661.264</v>
      </c>
      <c r="D20" s="715" t="n">
        <v>4168.897</v>
      </c>
      <c r="E20" s="715" t="n">
        <v>20053.227</v>
      </c>
      <c r="F20" s="715" t="n">
        <v>30724.527</v>
      </c>
      <c r="G20" s="715" t="n">
        <v>36773.896</v>
      </c>
      <c r="H20" s="715" t="n">
        <v>178.698</v>
      </c>
      <c r="I20" s="715" t="n">
        <v>11566.106</v>
      </c>
      <c r="J20" s="715" t="n">
        <v>55701.085</v>
      </c>
      <c r="K20" s="715" t="n">
        <v>183.995</v>
      </c>
      <c r="L20" s="715" t="n">
        <v>2217.13</v>
      </c>
      <c r="M20" s="715" t="n">
        <v>12494.238</v>
      </c>
      <c r="N20" s="715" t="n">
        <v>9061.122</v>
      </c>
      <c r="O20" s="715" t="n">
        <v>69408.974</v>
      </c>
      <c r="P20" s="715" t="n">
        <f aca="false">2821.107+2702.127+1562.389+2340.429+9463.783+294</f>
        <v>19183.835</v>
      </c>
      <c r="Q20" s="715" t="n">
        <f aca="false">SUM(B20:P20)</f>
        <v>363455.372</v>
      </c>
      <c r="R20" s="474" t="s">
        <v>220</v>
      </c>
    </row>
    <row r="21" s="207" customFormat="true" ht="11.25" hidden="false" customHeight="true" outlineLevel="0" collapsed="false">
      <c r="A21" s="1080" t="s">
        <v>221</v>
      </c>
      <c r="B21" s="708" t="n">
        <v>64252.786</v>
      </c>
      <c r="C21" s="708" t="n">
        <v>21512.796</v>
      </c>
      <c r="D21" s="708" t="n">
        <v>4090.275</v>
      </c>
      <c r="E21" s="708" t="n">
        <v>19110.332</v>
      </c>
      <c r="F21" s="708" t="n">
        <v>29282.2</v>
      </c>
      <c r="G21" s="708" t="n">
        <v>35970.021</v>
      </c>
      <c r="H21" s="708" t="n">
        <v>182.421</v>
      </c>
      <c r="I21" s="708" t="n">
        <v>11227.832</v>
      </c>
      <c r="J21" s="708" t="n">
        <v>54536.386</v>
      </c>
      <c r="K21" s="708" t="n">
        <v>201.69</v>
      </c>
      <c r="L21" s="708" t="n">
        <v>2061.797</v>
      </c>
      <c r="M21" s="708" t="n">
        <v>12407.576</v>
      </c>
      <c r="N21" s="708" t="n">
        <v>8931.849</v>
      </c>
      <c r="O21" s="708" t="n">
        <v>66249.989</v>
      </c>
      <c r="P21" s="708" t="n">
        <f aca="false">2587.789+2673.083+1528.339+2427.452+9620.237+293.7</f>
        <v>19130.6</v>
      </c>
      <c r="Q21" s="708" t="n">
        <f aca="false">SUM(B21:P21)</f>
        <v>349148.55</v>
      </c>
      <c r="R21" s="472" t="s">
        <v>221</v>
      </c>
    </row>
    <row r="22" s="207" customFormat="true" ht="11.25" hidden="false" customHeight="true" outlineLevel="0" collapsed="false">
      <c r="A22" s="1079" t="s">
        <v>222</v>
      </c>
      <c r="B22" s="715" t="n">
        <v>60953.909</v>
      </c>
      <c r="C22" s="715" t="n">
        <v>20035.465</v>
      </c>
      <c r="D22" s="715" t="n">
        <v>4181.018</v>
      </c>
      <c r="E22" s="715" t="n">
        <v>18339.164</v>
      </c>
      <c r="F22" s="715" t="n">
        <v>28443.488</v>
      </c>
      <c r="G22" s="715" t="n">
        <v>34605.1</v>
      </c>
      <c r="H22" s="715" t="n">
        <v>176.079</v>
      </c>
      <c r="I22" s="715" t="n">
        <v>10798.206</v>
      </c>
      <c r="J22" s="715" t="n">
        <v>53637.432</v>
      </c>
      <c r="K22" s="715" t="n">
        <v>187.867</v>
      </c>
      <c r="L22" s="715" t="n">
        <v>1966.893</v>
      </c>
      <c r="M22" s="715" t="n">
        <v>11887.283</v>
      </c>
      <c r="N22" s="715" t="n">
        <v>8932.74</v>
      </c>
      <c r="O22" s="715" t="n">
        <v>63897.694</v>
      </c>
      <c r="P22" s="715" t="n">
        <f aca="false">1489.491+2653.296+2490.414+2424.994+293.85+9223.21</f>
        <v>18575.255</v>
      </c>
      <c r="Q22" s="715" t="n">
        <f aca="false">SUM(B22:P22)</f>
        <v>336617.593</v>
      </c>
      <c r="R22" s="474" t="s">
        <v>222</v>
      </c>
    </row>
    <row r="23" s="207" customFormat="true" ht="11.25" hidden="false" customHeight="true" outlineLevel="0" collapsed="false">
      <c r="A23" s="1080" t="s">
        <v>223</v>
      </c>
      <c r="B23" s="708" t="n">
        <v>62562.124</v>
      </c>
      <c r="C23" s="708" t="n">
        <v>20358.261</v>
      </c>
      <c r="D23" s="708" t="n">
        <v>4216.555</v>
      </c>
      <c r="E23" s="708" t="n">
        <v>19175.244</v>
      </c>
      <c r="F23" s="708" t="n">
        <v>28144.541</v>
      </c>
      <c r="G23" s="708" t="n">
        <v>37373.751</v>
      </c>
      <c r="H23" s="708" t="n">
        <v>181.67</v>
      </c>
      <c r="I23" s="708" t="n">
        <v>11394.708</v>
      </c>
      <c r="J23" s="708" t="n">
        <v>54009.991</v>
      </c>
      <c r="K23" s="708" t="n">
        <v>189.1</v>
      </c>
      <c r="L23" s="708" t="n">
        <v>2007.665</v>
      </c>
      <c r="M23" s="708" t="n">
        <v>12136.8</v>
      </c>
      <c r="N23" s="708" t="n">
        <v>9036.47</v>
      </c>
      <c r="O23" s="708" t="n">
        <v>64956.903</v>
      </c>
      <c r="P23" s="708" t="n">
        <f aca="false">9740.318+1532.263+2603.877+2617.265+2339.786+294.3</f>
        <v>19127.809</v>
      </c>
      <c r="Q23" s="708" t="n">
        <f aca="false">SUM(B23:P23)</f>
        <v>344871.592</v>
      </c>
      <c r="R23" s="472" t="s">
        <v>223</v>
      </c>
    </row>
    <row r="24" s="207" customFormat="true" ht="11.25" hidden="false" customHeight="true" outlineLevel="0" collapsed="false">
      <c r="A24" s="1079" t="s">
        <v>224</v>
      </c>
      <c r="B24" s="715" t="n">
        <v>55549.301</v>
      </c>
      <c r="C24" s="715" t="n">
        <v>18942.845</v>
      </c>
      <c r="D24" s="715" t="n">
        <v>4106.819</v>
      </c>
      <c r="E24" s="715" t="n">
        <v>18380.925</v>
      </c>
      <c r="F24" s="715" t="n">
        <v>27430.873</v>
      </c>
      <c r="G24" s="715" t="n">
        <v>37689.89</v>
      </c>
      <c r="H24" s="715" t="n">
        <v>169.803</v>
      </c>
      <c r="I24" s="715" t="n">
        <v>11313.934</v>
      </c>
      <c r="J24" s="715" t="n">
        <v>50580.613</v>
      </c>
      <c r="K24" s="715" t="n">
        <v>169.066</v>
      </c>
      <c r="L24" s="715" t="n">
        <v>1915.915</v>
      </c>
      <c r="M24" s="715" t="n">
        <v>11333.18</v>
      </c>
      <c r="N24" s="715" t="n">
        <v>8616.285</v>
      </c>
      <c r="O24" s="715" t="n">
        <v>57441.825</v>
      </c>
      <c r="P24" s="715" t="n">
        <f aca="false">10309.954+1481.28+2589.071+2571.294+2267.819+277.5</f>
        <v>19496.918</v>
      </c>
      <c r="Q24" s="715" t="n">
        <f aca="false">SUM(B24:P24)</f>
        <v>323138.192</v>
      </c>
      <c r="R24" s="474" t="s">
        <v>224</v>
      </c>
    </row>
    <row r="25" s="207" customFormat="true" ht="11.25" hidden="false" customHeight="true" outlineLevel="0" collapsed="false">
      <c r="A25" s="1080" t="s">
        <v>225</v>
      </c>
      <c r="B25" s="708" t="n">
        <v>56693.462</v>
      </c>
      <c r="C25" s="708" t="n">
        <v>21015.175</v>
      </c>
      <c r="D25" s="708" t="n">
        <v>4080.935</v>
      </c>
      <c r="E25" s="708" t="n">
        <v>19059.029</v>
      </c>
      <c r="F25" s="708" t="n">
        <v>27614.215</v>
      </c>
      <c r="G25" s="708" t="n">
        <v>39752.845</v>
      </c>
      <c r="H25" s="708" t="n">
        <v>194.551</v>
      </c>
      <c r="I25" s="708" t="n">
        <v>11658.181</v>
      </c>
      <c r="J25" s="708" t="n">
        <v>52211.76</v>
      </c>
      <c r="K25" s="708" t="n">
        <v>215.678</v>
      </c>
      <c r="L25" s="708" t="n">
        <v>1912.181</v>
      </c>
      <c r="M25" s="708" t="n">
        <v>11754.667</v>
      </c>
      <c r="N25" s="708" t="n">
        <v>8559.257</v>
      </c>
      <c r="O25" s="708" t="n">
        <v>54210.046</v>
      </c>
      <c r="P25" s="708" t="n">
        <f aca="false">7744.573+1524.382+2650.9+2988.448+2182.91+288.6</f>
        <v>17379.813</v>
      </c>
      <c r="Q25" s="708" t="n">
        <f aca="false">SUM(B25:P25)</f>
        <v>326311.795</v>
      </c>
      <c r="R25" s="472" t="s">
        <v>225</v>
      </c>
    </row>
    <row r="26" s="207" customFormat="true" ht="11.25" hidden="false" customHeight="true" outlineLevel="0" collapsed="false">
      <c r="A26" s="1082" t="s">
        <v>226</v>
      </c>
      <c r="B26" s="212" t="n">
        <f aca="false">B38</f>
        <v>59295.132</v>
      </c>
      <c r="C26" s="212" t="n">
        <f aca="false">C38</f>
        <v>18180.312</v>
      </c>
      <c r="D26" s="212" t="n">
        <f aca="false">D38</f>
        <v>3559.581</v>
      </c>
      <c r="E26" s="212" t="n">
        <f aca="false">E38</f>
        <v>20264.021</v>
      </c>
      <c r="F26" s="212" t="n">
        <f aca="false">F38</f>
        <v>31438.42</v>
      </c>
      <c r="G26" s="212" t="n">
        <f aca="false">G38</f>
        <v>48004.101</v>
      </c>
      <c r="H26" s="212" t="n">
        <f aca="false">H38</f>
        <v>399.385</v>
      </c>
      <c r="I26" s="212" t="n">
        <f aca="false">I38</f>
        <v>14014.407</v>
      </c>
      <c r="J26" s="212" t="n">
        <f aca="false">J38</f>
        <v>52831.346</v>
      </c>
      <c r="K26" s="212" t="n">
        <f aca="false">K38</f>
        <v>1446.323</v>
      </c>
      <c r="L26" s="212" t="n">
        <f aca="false">L38</f>
        <v>1783.495</v>
      </c>
      <c r="M26" s="212" t="n">
        <f aca="false">M38</f>
        <v>9048.138</v>
      </c>
      <c r="N26" s="212" t="n">
        <f aca="false">N38</f>
        <v>10918.988</v>
      </c>
      <c r="O26" s="212" t="n">
        <f aca="false">O38</f>
        <v>51422.195</v>
      </c>
      <c r="P26" s="212" t="n">
        <f aca="false">P38</f>
        <v>21009.715</v>
      </c>
      <c r="Q26" s="212" t="n">
        <f aca="false">Q38</f>
        <v>343615.559</v>
      </c>
      <c r="R26" s="480" t="s">
        <v>226</v>
      </c>
    </row>
    <row r="27" s="207" customFormat="true" ht="11.25" hidden="false" customHeight="true" outlineLevel="0" collapsed="false">
      <c r="A27" s="1080" t="s">
        <v>214</v>
      </c>
      <c r="B27" s="708" t="n">
        <v>53392.251</v>
      </c>
      <c r="C27" s="708" t="n">
        <v>19614.664</v>
      </c>
      <c r="D27" s="708" t="n">
        <v>3956.854</v>
      </c>
      <c r="E27" s="708" t="n">
        <v>20589.111</v>
      </c>
      <c r="F27" s="708" t="n">
        <v>25829.75</v>
      </c>
      <c r="G27" s="708" t="n">
        <v>43107.096</v>
      </c>
      <c r="H27" s="708" t="n">
        <v>150.638</v>
      </c>
      <c r="I27" s="708" t="n">
        <v>12889.478</v>
      </c>
      <c r="J27" s="708" t="n">
        <v>49592.852</v>
      </c>
      <c r="K27" s="708" t="n">
        <v>2509.288</v>
      </c>
      <c r="L27" s="708" t="n">
        <v>2023.194</v>
      </c>
      <c r="M27" s="708" t="n">
        <v>11563.64</v>
      </c>
      <c r="N27" s="708" t="n">
        <v>8559.86</v>
      </c>
      <c r="O27" s="708" t="n">
        <v>54179.453</v>
      </c>
      <c r="P27" s="708" t="n">
        <f aca="false">3056.718+2854.463+1807.439+2311.787+10816.378+277.35</f>
        <v>21124.135</v>
      </c>
      <c r="Q27" s="708" t="n">
        <f aca="false">SUM(B27:P27)</f>
        <v>329082.264</v>
      </c>
      <c r="R27" s="472" t="s">
        <v>214</v>
      </c>
    </row>
    <row r="28" s="207" customFormat="true" ht="11.25" hidden="false" customHeight="true" outlineLevel="0" collapsed="false">
      <c r="A28" s="1079" t="s">
        <v>215</v>
      </c>
      <c r="B28" s="715" t="n">
        <v>61993.131</v>
      </c>
      <c r="C28" s="715" t="n">
        <v>21545.883</v>
      </c>
      <c r="D28" s="715" t="n">
        <v>4004.106</v>
      </c>
      <c r="E28" s="715" t="n">
        <v>20392.899</v>
      </c>
      <c r="F28" s="715" t="n">
        <v>25961.773</v>
      </c>
      <c r="G28" s="715" t="n">
        <v>44897.801</v>
      </c>
      <c r="H28" s="715" t="n">
        <v>164.89</v>
      </c>
      <c r="I28" s="715" t="n">
        <v>13296.155</v>
      </c>
      <c r="J28" s="715" t="n">
        <v>49859.193</v>
      </c>
      <c r="K28" s="715" t="n">
        <v>2306.675</v>
      </c>
      <c r="L28" s="715" t="n">
        <v>2058.211</v>
      </c>
      <c r="M28" s="715" t="n">
        <v>11360.032</v>
      </c>
      <c r="N28" s="715" t="n">
        <v>8602.756</v>
      </c>
      <c r="O28" s="715" t="n">
        <v>53683.45</v>
      </c>
      <c r="P28" s="715" t="n">
        <f aca="false">2844.833+2814.682+1775.567+2294.907+10806.46+279</f>
        <v>20815.449</v>
      </c>
      <c r="Q28" s="715" t="n">
        <f aca="false">SUM(B28:P28)</f>
        <v>340942.404</v>
      </c>
      <c r="R28" s="474" t="s">
        <v>215</v>
      </c>
    </row>
    <row r="29" customFormat="false" ht="11.25" hidden="false" customHeight="true" outlineLevel="0" collapsed="false">
      <c r="A29" s="1080" t="s">
        <v>216</v>
      </c>
      <c r="B29" s="708" t="n">
        <v>56161.611</v>
      </c>
      <c r="C29" s="708" t="n">
        <v>19325.011</v>
      </c>
      <c r="D29" s="708" t="n">
        <v>3485.058</v>
      </c>
      <c r="E29" s="708" t="n">
        <v>20138.661</v>
      </c>
      <c r="F29" s="708" t="n">
        <v>26230.337</v>
      </c>
      <c r="G29" s="708" t="n">
        <v>45061.057</v>
      </c>
      <c r="H29" s="708" t="n">
        <v>153.02</v>
      </c>
      <c r="I29" s="708" t="n">
        <v>12971.733</v>
      </c>
      <c r="J29" s="708" t="n">
        <v>48987.517</v>
      </c>
      <c r="K29" s="708" t="n">
        <v>2229.605</v>
      </c>
      <c r="L29" s="708" t="n">
        <v>1920.869</v>
      </c>
      <c r="M29" s="708" t="n">
        <v>11444.366</v>
      </c>
      <c r="N29" s="708" t="n">
        <v>10083.384</v>
      </c>
      <c r="O29" s="708" t="n">
        <v>51304.674</v>
      </c>
      <c r="P29" s="708" t="n">
        <f aca="false">2983.497+2740.358+1609.217+2228.985+10518.742+278.25</f>
        <v>20359.049</v>
      </c>
      <c r="Q29" s="708" t="n">
        <f aca="false">SUM(B29:P29)</f>
        <v>329855.952</v>
      </c>
      <c r="R29" s="472" t="s">
        <v>216</v>
      </c>
    </row>
    <row r="30" customFormat="false" ht="11.25" hidden="false" customHeight="true" outlineLevel="0" collapsed="false">
      <c r="A30" s="1079" t="s">
        <v>217</v>
      </c>
      <c r="B30" s="715" t="n">
        <v>56818.948</v>
      </c>
      <c r="C30" s="715" t="n">
        <v>19362.336</v>
      </c>
      <c r="D30" s="715" t="n">
        <v>3373.487</v>
      </c>
      <c r="E30" s="715" t="n">
        <v>18019.897</v>
      </c>
      <c r="F30" s="715" t="n">
        <v>26112.379</v>
      </c>
      <c r="G30" s="715" t="n">
        <v>46446.75</v>
      </c>
      <c r="H30" s="715" t="n">
        <v>237.054</v>
      </c>
      <c r="I30" s="715" t="n">
        <v>13213.707</v>
      </c>
      <c r="J30" s="715" t="n">
        <v>49075.301</v>
      </c>
      <c r="K30" s="715" t="n">
        <v>1885.776</v>
      </c>
      <c r="L30" s="715" t="n">
        <v>1763.078</v>
      </c>
      <c r="M30" s="715" t="n">
        <v>10322.631</v>
      </c>
      <c r="N30" s="715" t="n">
        <v>9358.247</v>
      </c>
      <c r="O30" s="715" t="n">
        <v>52666.303</v>
      </c>
      <c r="P30" s="715" t="n">
        <f aca="false">2801.381+2626.576+1512.689+2215.736+10129.291+273.15</f>
        <v>19558.823</v>
      </c>
      <c r="Q30" s="715" t="n">
        <f aca="false">SUM(B30:P30)</f>
        <v>328214.717</v>
      </c>
      <c r="R30" s="474" t="s">
        <v>217</v>
      </c>
    </row>
    <row r="31" customFormat="false" ht="11.25" hidden="false" customHeight="true" outlineLevel="0" collapsed="false">
      <c r="A31" s="1080" t="s">
        <v>218</v>
      </c>
      <c r="B31" s="708" t="n">
        <v>56036.211</v>
      </c>
      <c r="C31" s="708" t="n">
        <v>18236.455</v>
      </c>
      <c r="D31" s="708" t="n">
        <v>3365.16</v>
      </c>
      <c r="E31" s="708" t="n">
        <v>17181.405</v>
      </c>
      <c r="F31" s="708" t="n">
        <v>26221.502</v>
      </c>
      <c r="G31" s="708" t="n">
        <v>42724.304</v>
      </c>
      <c r="H31" s="708" t="n">
        <v>359.967</v>
      </c>
      <c r="I31" s="708" t="n">
        <v>13988.671</v>
      </c>
      <c r="J31" s="708" t="n">
        <v>48368.353</v>
      </c>
      <c r="K31" s="708" t="n">
        <v>1849.948</v>
      </c>
      <c r="L31" s="708" t="n">
        <v>1771.447</v>
      </c>
      <c r="M31" s="708" t="n">
        <v>9594.038</v>
      </c>
      <c r="N31" s="708" t="n">
        <v>9059.544</v>
      </c>
      <c r="O31" s="708" t="n">
        <v>50418.305</v>
      </c>
      <c r="P31" s="708" t="n">
        <f aca="false">2682.833+2688.327+1707+2167.121+10651.875+273.45</f>
        <v>20170.606</v>
      </c>
      <c r="Q31" s="708" t="n">
        <f aca="false">SUM(B31:P31)</f>
        <v>319345.916</v>
      </c>
      <c r="R31" s="472" t="s">
        <v>218</v>
      </c>
    </row>
    <row r="32" customFormat="false" ht="11.25" hidden="false" customHeight="true" outlineLevel="0" collapsed="false">
      <c r="A32" s="1079" t="s">
        <v>219</v>
      </c>
      <c r="B32" s="715" t="n">
        <v>58310.468</v>
      </c>
      <c r="C32" s="715" t="n">
        <v>19152.707</v>
      </c>
      <c r="D32" s="715" t="n">
        <v>3445.072</v>
      </c>
      <c r="E32" s="715" t="n">
        <v>19067.688</v>
      </c>
      <c r="F32" s="715" t="n">
        <v>27668.464</v>
      </c>
      <c r="G32" s="715" t="n">
        <v>43216.316</v>
      </c>
      <c r="H32" s="715" t="n">
        <v>473.344</v>
      </c>
      <c r="I32" s="715" t="n">
        <v>14170.918</v>
      </c>
      <c r="J32" s="715" t="n">
        <v>50875.102</v>
      </c>
      <c r="K32" s="715" t="n">
        <v>1740.831</v>
      </c>
      <c r="L32" s="715" t="n">
        <v>1801.329</v>
      </c>
      <c r="M32" s="715" t="n">
        <v>10196.225</v>
      </c>
      <c r="N32" s="715" t="n">
        <v>10311.361</v>
      </c>
      <c r="O32" s="715" t="n">
        <v>51138.386</v>
      </c>
      <c r="P32" s="715" t="n">
        <f aca="false">2799.598+2757.1+1707.525+2187.191+10751.004+282.6</f>
        <v>20485.018</v>
      </c>
      <c r="Q32" s="715" t="n">
        <f aca="false">SUM(B32:P32)</f>
        <v>332053.229</v>
      </c>
      <c r="R32" s="474" t="s">
        <v>219</v>
      </c>
    </row>
    <row r="33" customFormat="false" ht="11.25" hidden="false" customHeight="true" outlineLevel="0" collapsed="false">
      <c r="A33" s="1080" t="s">
        <v>220</v>
      </c>
      <c r="B33" s="708" t="n">
        <v>64250.617</v>
      </c>
      <c r="C33" s="708" t="n">
        <v>20907.259</v>
      </c>
      <c r="D33" s="708" t="n">
        <v>3764.412</v>
      </c>
      <c r="E33" s="708" t="n">
        <v>21063.213</v>
      </c>
      <c r="F33" s="708" t="n">
        <v>28530.592</v>
      </c>
      <c r="G33" s="708" t="n">
        <v>50869.622</v>
      </c>
      <c r="H33" s="708" t="n">
        <v>472.061</v>
      </c>
      <c r="I33" s="708" t="n">
        <v>14914.439</v>
      </c>
      <c r="J33" s="708" t="n">
        <v>52440.464</v>
      </c>
      <c r="K33" s="708" t="n">
        <v>1698.079</v>
      </c>
      <c r="L33" s="708" t="n">
        <v>2010.81</v>
      </c>
      <c r="M33" s="708" t="n">
        <v>10530.825</v>
      </c>
      <c r="N33" s="708" t="n">
        <v>11888.782</v>
      </c>
      <c r="O33" s="708" t="n">
        <v>56105.658</v>
      </c>
      <c r="P33" s="708" t="n">
        <f aca="false">3163.79+2779.966+1792.29+2188.858+11726.64+279.9</f>
        <v>21931.444</v>
      </c>
      <c r="Q33" s="708" t="n">
        <f aca="false">SUM(B33:P33)</f>
        <v>361378.277</v>
      </c>
      <c r="R33" s="472" t="s">
        <v>220</v>
      </c>
    </row>
    <row r="34" customFormat="false" ht="11.25" hidden="false" customHeight="true" outlineLevel="0" collapsed="false">
      <c r="A34" s="1079" t="s">
        <v>221</v>
      </c>
      <c r="B34" s="715" t="n">
        <v>61639.017</v>
      </c>
      <c r="C34" s="715" t="n">
        <v>19752.849</v>
      </c>
      <c r="D34" s="715" t="n">
        <v>3578.891</v>
      </c>
      <c r="E34" s="715" t="n">
        <v>20742.202</v>
      </c>
      <c r="F34" s="715" t="n">
        <v>29076.822</v>
      </c>
      <c r="G34" s="715" t="n">
        <v>51329.31</v>
      </c>
      <c r="H34" s="715" t="n">
        <v>452.817</v>
      </c>
      <c r="I34" s="715" t="n">
        <v>14542.608</v>
      </c>
      <c r="J34" s="715" t="n">
        <v>53783.497</v>
      </c>
      <c r="K34" s="715" t="n">
        <v>1654.629</v>
      </c>
      <c r="L34" s="715" t="n">
        <v>1950.012</v>
      </c>
      <c r="M34" s="715" t="n">
        <v>10083.43</v>
      </c>
      <c r="N34" s="715" t="n">
        <v>11393.962</v>
      </c>
      <c r="O34" s="715" t="n">
        <v>56006.96</v>
      </c>
      <c r="P34" s="715" t="n">
        <f aca="false">13220.628+2098.605+2846.594+3468.968+2191.853+281.7</f>
        <v>24108.348</v>
      </c>
      <c r="Q34" s="715" t="n">
        <f aca="false">SUM(B34:P34)</f>
        <v>360095.354</v>
      </c>
      <c r="R34" s="474" t="s">
        <v>221</v>
      </c>
    </row>
    <row r="35" customFormat="false" ht="11.25" hidden="false" customHeight="true" outlineLevel="0" collapsed="false">
      <c r="A35" s="1080" t="s">
        <v>222</v>
      </c>
      <c r="B35" s="708" t="n">
        <v>59659.813</v>
      </c>
      <c r="C35" s="708" t="n">
        <v>18994.922</v>
      </c>
      <c r="D35" s="708" t="n">
        <v>3487.906</v>
      </c>
      <c r="E35" s="708" t="n">
        <v>19034.505</v>
      </c>
      <c r="F35" s="708" t="n">
        <v>34005.775</v>
      </c>
      <c r="G35" s="708" t="n">
        <v>50009.034</v>
      </c>
      <c r="H35" s="708" t="n">
        <v>441.383</v>
      </c>
      <c r="I35" s="708" t="n">
        <v>13354.243</v>
      </c>
      <c r="J35" s="708" t="n">
        <v>53074.152</v>
      </c>
      <c r="K35" s="708" t="n">
        <v>1454.591</v>
      </c>
      <c r="L35" s="708" t="n">
        <v>1807.017</v>
      </c>
      <c r="M35" s="708" t="n">
        <v>10085.368</v>
      </c>
      <c r="N35" s="708" t="n">
        <v>10311.567</v>
      </c>
      <c r="O35" s="708" t="n">
        <v>57841.644</v>
      </c>
      <c r="P35" s="708" t="n">
        <f aca="false">12782.065+1945.396+2760.494+2968.895+2102.12+290.4</f>
        <v>22849.37</v>
      </c>
      <c r="Q35" s="708" t="n">
        <f aca="false">SUM(B35:P35)</f>
        <v>356411.29</v>
      </c>
      <c r="R35" s="472" t="s">
        <v>222</v>
      </c>
    </row>
    <row r="36" s="222" customFormat="true" ht="11.25" hidden="false" customHeight="true" outlineLevel="0" collapsed="false">
      <c r="A36" s="1079" t="s">
        <v>223</v>
      </c>
      <c r="B36" s="715" t="n">
        <v>57445.829</v>
      </c>
      <c r="C36" s="715" t="n">
        <v>17186.218</v>
      </c>
      <c r="D36" s="715" t="n">
        <v>3468.81</v>
      </c>
      <c r="E36" s="715" t="n">
        <v>18428.579</v>
      </c>
      <c r="F36" s="715" t="n">
        <v>31199.321</v>
      </c>
      <c r="G36" s="715" t="n">
        <v>43311.647</v>
      </c>
      <c r="H36" s="715" t="n">
        <v>381.173</v>
      </c>
      <c r="I36" s="715" t="n">
        <v>13028.358</v>
      </c>
      <c r="J36" s="715" t="n">
        <v>51155.08</v>
      </c>
      <c r="K36" s="715" t="n">
        <v>1337.305</v>
      </c>
      <c r="L36" s="715" t="n">
        <v>1731.288</v>
      </c>
      <c r="M36" s="715" t="n">
        <v>9008.808</v>
      </c>
      <c r="N36" s="715" t="n">
        <v>9692.247</v>
      </c>
      <c r="O36" s="715" t="n">
        <v>50864.32</v>
      </c>
      <c r="P36" s="715" t="n">
        <f aca="false">11169.018+1931.105+2524.828+2615.527+1994.288+286.65</f>
        <v>20521.416</v>
      </c>
      <c r="Q36" s="715" t="n">
        <f aca="false">SUM(B36:P36)</f>
        <v>328760.399</v>
      </c>
      <c r="R36" s="474" t="s">
        <v>223</v>
      </c>
    </row>
    <row r="37" s="222" customFormat="true" ht="11.25" hidden="false" customHeight="true" outlineLevel="0" collapsed="false">
      <c r="A37" s="1080" t="s">
        <v>224</v>
      </c>
      <c r="B37" s="708" t="n">
        <v>60053.417</v>
      </c>
      <c r="C37" s="708" t="n">
        <v>18874.142</v>
      </c>
      <c r="D37" s="708" t="n">
        <v>3558.123</v>
      </c>
      <c r="E37" s="708" t="n">
        <v>20115.378</v>
      </c>
      <c r="F37" s="708" t="n">
        <v>30433.762</v>
      </c>
      <c r="G37" s="708" t="n">
        <v>46189.652</v>
      </c>
      <c r="H37" s="708" t="n">
        <v>383.27</v>
      </c>
      <c r="I37" s="708" t="n">
        <v>13536.111</v>
      </c>
      <c r="J37" s="708" t="n">
        <v>50642.36</v>
      </c>
      <c r="K37" s="708" t="n">
        <v>1351.909</v>
      </c>
      <c r="L37" s="708" t="n">
        <v>1748.38</v>
      </c>
      <c r="M37" s="708" t="n">
        <v>9098.667</v>
      </c>
      <c r="N37" s="708" t="n">
        <v>10952.98</v>
      </c>
      <c r="O37" s="708" t="n">
        <v>50259.48</v>
      </c>
      <c r="P37" s="708" t="n">
        <f aca="false">11171.754+1976.482+2591.768+2667.549+2034.278+274.35</f>
        <v>20716.181</v>
      </c>
      <c r="Q37" s="708" t="n">
        <f aca="false">SUM(B37:P37)</f>
        <v>337913.812</v>
      </c>
      <c r="R37" s="472" t="s">
        <v>224</v>
      </c>
    </row>
    <row r="38" s="222" customFormat="true" ht="11.25" hidden="false" customHeight="true" outlineLevel="0" collapsed="false">
      <c r="A38" s="1079" t="s">
        <v>225</v>
      </c>
      <c r="B38" s="715" t="n">
        <v>59295.132</v>
      </c>
      <c r="C38" s="715" t="n">
        <v>18180.312</v>
      </c>
      <c r="D38" s="715" t="n">
        <v>3559.581</v>
      </c>
      <c r="E38" s="715" t="n">
        <v>20264.021</v>
      </c>
      <c r="F38" s="715" t="n">
        <v>31438.42</v>
      </c>
      <c r="G38" s="715" t="n">
        <v>48004.101</v>
      </c>
      <c r="H38" s="715" t="n">
        <v>399.385</v>
      </c>
      <c r="I38" s="715" t="n">
        <v>14014.407</v>
      </c>
      <c r="J38" s="715" t="n">
        <v>52831.346</v>
      </c>
      <c r="K38" s="715" t="n">
        <v>1446.323</v>
      </c>
      <c r="L38" s="715" t="n">
        <v>1783.495</v>
      </c>
      <c r="M38" s="715" t="n">
        <v>9048.138</v>
      </c>
      <c r="N38" s="715" t="n">
        <v>10918.988</v>
      </c>
      <c r="O38" s="715" t="n">
        <v>51422.195</v>
      </c>
      <c r="P38" s="715" t="n">
        <f aca="false">11282.475+2053.889+2648.658+2633.429+2104.914+286.35</f>
        <v>21009.715</v>
      </c>
      <c r="Q38" s="715" t="n">
        <f aca="false">SUM(B38:P38)</f>
        <v>343615.559</v>
      </c>
      <c r="R38" s="474" t="s">
        <v>225</v>
      </c>
    </row>
    <row r="39" s="222" customFormat="true" ht="11.25" hidden="false" customHeight="true" outlineLevel="0" collapsed="false">
      <c r="A39" s="888" t="s">
        <v>227</v>
      </c>
      <c r="B39" s="204" t="n">
        <f aca="false">B51</f>
        <v>44910.99</v>
      </c>
      <c r="C39" s="204" t="n">
        <f aca="false">C51</f>
        <v>12542.67</v>
      </c>
      <c r="D39" s="204" t="n">
        <f aca="false">D51</f>
        <v>2950.95</v>
      </c>
      <c r="E39" s="204" t="n">
        <f aca="false">E51</f>
        <v>13189.19</v>
      </c>
      <c r="F39" s="204" t="n">
        <f aca="false">F51</f>
        <v>20835.34</v>
      </c>
      <c r="G39" s="204" t="n">
        <f aca="false">G51</f>
        <v>36533.27</v>
      </c>
      <c r="H39" s="204" t="n">
        <f aca="false">H51</f>
        <v>179.79</v>
      </c>
      <c r="I39" s="204" t="n">
        <f aca="false">I51</f>
        <v>9589.89</v>
      </c>
      <c r="J39" s="204" t="n">
        <f aca="false">J51</f>
        <v>46746.83</v>
      </c>
      <c r="K39" s="204" t="n">
        <f aca="false">K51</f>
        <v>962.58</v>
      </c>
      <c r="L39" s="204" t="n">
        <f aca="false">L51</f>
        <v>1304.19</v>
      </c>
      <c r="M39" s="204" t="n">
        <f aca="false">M51</f>
        <v>7189.48</v>
      </c>
      <c r="N39" s="204" t="n">
        <f aca="false">N51</f>
        <v>9150.66</v>
      </c>
      <c r="O39" s="204" t="n">
        <f aca="false">O51</f>
        <v>33674.9</v>
      </c>
      <c r="P39" s="204" t="n">
        <f aca="false">P51</f>
        <v>17815.13</v>
      </c>
      <c r="Q39" s="204" t="n">
        <f aca="false">Q51</f>
        <v>257575.86</v>
      </c>
      <c r="R39" s="1084" t="s">
        <v>227</v>
      </c>
    </row>
    <row r="40" s="222" customFormat="true" ht="11.25" hidden="false" customHeight="true" outlineLevel="0" collapsed="false">
      <c r="A40" s="889" t="s">
        <v>214</v>
      </c>
      <c r="B40" s="715" t="n">
        <v>57954.406</v>
      </c>
      <c r="C40" s="715" t="n">
        <v>16366.315</v>
      </c>
      <c r="D40" s="715" t="n">
        <v>3716.051</v>
      </c>
      <c r="E40" s="715" t="n">
        <v>18980.563</v>
      </c>
      <c r="F40" s="715" t="n">
        <v>28525.652</v>
      </c>
      <c r="G40" s="715" t="n">
        <v>46894.759</v>
      </c>
      <c r="H40" s="715" t="n">
        <v>366.662</v>
      </c>
      <c r="I40" s="715" t="n">
        <v>52244.205</v>
      </c>
      <c r="J40" s="715" t="n">
        <v>12528.309</v>
      </c>
      <c r="K40" s="715" t="n">
        <v>1319.912</v>
      </c>
      <c r="L40" s="715" t="n">
        <v>1608.612</v>
      </c>
      <c r="M40" s="715" t="n">
        <v>8436.475</v>
      </c>
      <c r="N40" s="715" t="n">
        <v>11138.656</v>
      </c>
      <c r="O40" s="715" t="n">
        <v>46843.05</v>
      </c>
      <c r="P40" s="715" t="n">
        <f aca="false">11007.562+2001.473+2590.495+2460.205+2290.151+276.15</f>
        <v>20626.036</v>
      </c>
      <c r="Q40" s="715" t="n">
        <f aca="false">SUM(B40:P40)</f>
        <v>327549.663</v>
      </c>
      <c r="R40" s="1085" t="s">
        <v>214</v>
      </c>
    </row>
    <row r="41" s="222" customFormat="true" ht="11.25" hidden="false" customHeight="true" outlineLevel="0" collapsed="false">
      <c r="A41" s="890" t="s">
        <v>215</v>
      </c>
      <c r="B41" s="708" t="n">
        <v>55846.241</v>
      </c>
      <c r="C41" s="708" t="n">
        <v>16120.551</v>
      </c>
      <c r="D41" s="708" t="n">
        <v>3303.064</v>
      </c>
      <c r="E41" s="708" t="n">
        <v>19406.867</v>
      </c>
      <c r="F41" s="708" t="n">
        <v>27816.36</v>
      </c>
      <c r="G41" s="708" t="n">
        <v>48091.012</v>
      </c>
      <c r="H41" s="708" t="n">
        <v>394.62</v>
      </c>
      <c r="I41" s="708" t="n">
        <v>12373.926</v>
      </c>
      <c r="J41" s="708" t="n">
        <v>54346.119</v>
      </c>
      <c r="K41" s="708" t="n">
        <v>1303.484</v>
      </c>
      <c r="L41" s="708" t="n">
        <v>1680.637</v>
      </c>
      <c r="M41" s="708" t="n">
        <v>8456.514</v>
      </c>
      <c r="N41" s="708" t="n">
        <v>10871.556</v>
      </c>
      <c r="O41" s="708" t="n">
        <v>43964.759</v>
      </c>
      <c r="P41" s="708" t="n">
        <f aca="false">11589.034+2068.192+2555.609+2665.396+2270.458+279</f>
        <v>21427.689</v>
      </c>
      <c r="Q41" s="708" t="n">
        <f aca="false">SUM(B41:P41)</f>
        <v>325403.399</v>
      </c>
      <c r="R41" s="1086" t="s">
        <v>215</v>
      </c>
    </row>
    <row r="42" s="222" customFormat="true" ht="11.25" hidden="false" customHeight="true" outlineLevel="0" collapsed="false">
      <c r="A42" s="889" t="s">
        <v>216</v>
      </c>
      <c r="B42" s="715" t="n">
        <v>56161.611</v>
      </c>
      <c r="C42" s="715" t="n">
        <v>19325.011</v>
      </c>
      <c r="D42" s="715" t="n">
        <v>3485.058</v>
      </c>
      <c r="E42" s="715" t="n">
        <v>20138.661</v>
      </c>
      <c r="F42" s="715" t="n">
        <v>26230.337</v>
      </c>
      <c r="G42" s="715" t="n">
        <v>45061.057</v>
      </c>
      <c r="H42" s="715" t="n">
        <v>153.02</v>
      </c>
      <c r="I42" s="715" t="n">
        <v>12971.733</v>
      </c>
      <c r="J42" s="715" t="n">
        <v>48987.517</v>
      </c>
      <c r="K42" s="715" t="n">
        <v>2229.605</v>
      </c>
      <c r="L42" s="715" t="n">
        <v>1920.869</v>
      </c>
      <c r="M42" s="715" t="n">
        <v>11444.366</v>
      </c>
      <c r="N42" s="715" t="n">
        <v>10083.384</v>
      </c>
      <c r="O42" s="715" t="n">
        <v>51304.674</v>
      </c>
      <c r="P42" s="715" t="n">
        <f aca="false">10518.742+1609.217+2740.358+2983.497+2228.985+278.25</f>
        <v>20359.049</v>
      </c>
      <c r="Q42" s="715" t="n">
        <f aca="false">SUM(B42:P42)</f>
        <v>329855.952</v>
      </c>
      <c r="R42" s="1085" t="s">
        <v>216</v>
      </c>
    </row>
    <row r="43" s="222" customFormat="true" ht="11.25" hidden="false" customHeight="true" outlineLevel="0" collapsed="false">
      <c r="A43" s="890" t="s">
        <v>217</v>
      </c>
      <c r="B43" s="708" t="n">
        <v>54351.23</v>
      </c>
      <c r="C43" s="708" t="n">
        <v>14123.158</v>
      </c>
      <c r="D43" s="708" t="n">
        <v>3116.11</v>
      </c>
      <c r="E43" s="708" t="n">
        <v>16054.926</v>
      </c>
      <c r="F43" s="708" t="n">
        <v>25709.89</v>
      </c>
      <c r="G43" s="708" t="n">
        <v>40669.104</v>
      </c>
      <c r="H43" s="708" t="n">
        <v>288.98</v>
      </c>
      <c r="I43" s="708" t="n">
        <v>10098.128</v>
      </c>
      <c r="J43" s="708" t="n">
        <v>51483.891</v>
      </c>
      <c r="K43" s="708" t="n">
        <v>968.959</v>
      </c>
      <c r="L43" s="708" t="n">
        <v>1413.133</v>
      </c>
      <c r="M43" s="708" t="n">
        <v>6943.1</v>
      </c>
      <c r="N43" s="708" t="n">
        <v>10560.644</v>
      </c>
      <c r="O43" s="708" t="n">
        <v>44649.707</v>
      </c>
      <c r="P43" s="708" t="n">
        <f aca="false">10285.459+1798.883+2159.978+2458.124+1966.722+276.15</f>
        <v>18945.316</v>
      </c>
      <c r="Q43" s="708" t="n">
        <f aca="false">SUM(B43:P43)</f>
        <v>299376.276</v>
      </c>
      <c r="R43" s="1086" t="s">
        <v>217</v>
      </c>
    </row>
    <row r="44" s="222" customFormat="true" ht="11.25" hidden="false" customHeight="true" outlineLevel="0" collapsed="false">
      <c r="A44" s="889" t="s">
        <v>218</v>
      </c>
      <c r="B44" s="715" t="n">
        <v>54898.35</v>
      </c>
      <c r="C44" s="715" t="n">
        <v>14925.069</v>
      </c>
      <c r="D44" s="715" t="n">
        <v>3113.129</v>
      </c>
      <c r="E44" s="715" t="n">
        <v>15564.249</v>
      </c>
      <c r="F44" s="715" t="n">
        <v>24518.538</v>
      </c>
      <c r="G44" s="715" t="n">
        <v>40642.734</v>
      </c>
      <c r="H44" s="715" t="n">
        <v>272.269</v>
      </c>
      <c r="I44" s="715" t="n">
        <v>10329.891</v>
      </c>
      <c r="J44" s="715" t="n">
        <v>48335.411</v>
      </c>
      <c r="K44" s="715" t="n">
        <v>1036.266</v>
      </c>
      <c r="L44" s="715" t="n">
        <v>1411.818</v>
      </c>
      <c r="M44" s="715" t="n">
        <v>7541.419</v>
      </c>
      <c r="N44" s="715" t="n">
        <v>11150.946</v>
      </c>
      <c r="O44" s="715" t="n">
        <v>44704.651</v>
      </c>
      <c r="P44" s="715" t="n">
        <f aca="false">10040.845+2227.52+1748.319+1940.285+2440.585+284.55</f>
        <v>18682.104</v>
      </c>
      <c r="Q44" s="715" t="n">
        <f aca="false">SUM(B44:P44)</f>
        <v>297126.844</v>
      </c>
      <c r="R44" s="1085" t="s">
        <v>218</v>
      </c>
    </row>
    <row r="45" s="222" customFormat="true" ht="11.25" hidden="false" customHeight="true" outlineLevel="0" collapsed="false">
      <c r="A45" s="890" t="s">
        <v>219</v>
      </c>
      <c r="B45" s="708" t="n">
        <v>53955.116</v>
      </c>
      <c r="C45" s="708" t="n">
        <v>14469.443</v>
      </c>
      <c r="D45" s="708" t="n">
        <v>3072.195</v>
      </c>
      <c r="E45" s="708" t="n">
        <v>14786.324</v>
      </c>
      <c r="F45" s="708" t="n">
        <v>22210.944</v>
      </c>
      <c r="G45" s="708" t="n">
        <v>38661.762</v>
      </c>
      <c r="H45" s="708" t="n">
        <v>251.796</v>
      </c>
      <c r="I45" s="708" t="n">
        <v>10572.665</v>
      </c>
      <c r="J45" s="708" t="n">
        <v>47323.413</v>
      </c>
      <c r="K45" s="708" t="n">
        <v>1000.539</v>
      </c>
      <c r="L45" s="708" t="n">
        <v>1350.835</v>
      </c>
      <c r="M45" s="708" t="n">
        <v>6886.115</v>
      </c>
      <c r="N45" s="708" t="n">
        <v>11335.544</v>
      </c>
      <c r="O45" s="708" t="n">
        <v>40138.388</v>
      </c>
      <c r="P45" s="708" t="n">
        <f aca="false">9687.766+2013.895+1975.402+2329.072+2189.298+281.1</f>
        <v>18476.533</v>
      </c>
      <c r="Q45" s="708" t="n">
        <f aca="false">SUM(B45:P45)</f>
        <v>284491.612</v>
      </c>
      <c r="R45" s="1086" t="s">
        <v>219</v>
      </c>
    </row>
    <row r="46" s="222" customFormat="true" ht="11.25" hidden="false" customHeight="true" outlineLevel="0" collapsed="false">
      <c r="A46" s="889" t="s">
        <v>220</v>
      </c>
      <c r="B46" s="715" t="n">
        <v>51791.937</v>
      </c>
      <c r="C46" s="715" t="n">
        <v>14312.009</v>
      </c>
      <c r="D46" s="715" t="n">
        <v>3047.548</v>
      </c>
      <c r="E46" s="715" t="n">
        <v>14519.199</v>
      </c>
      <c r="F46" s="715" t="n">
        <v>24824.812</v>
      </c>
      <c r="G46" s="715" t="n">
        <v>40526.885</v>
      </c>
      <c r="H46" s="715" t="n">
        <v>210.358</v>
      </c>
      <c r="I46" s="715" t="n">
        <v>10465.553</v>
      </c>
      <c r="J46" s="715" t="n">
        <v>48113.272</v>
      </c>
      <c r="K46" s="715" t="n">
        <v>1003.248</v>
      </c>
      <c r="L46" s="715" t="n">
        <v>1468.049</v>
      </c>
      <c r="M46" s="715" t="n">
        <v>8819.431</v>
      </c>
      <c r="N46" s="715" t="n">
        <v>11031.889</v>
      </c>
      <c r="O46" s="715" t="n">
        <v>36502.665</v>
      </c>
      <c r="P46" s="715" t="n">
        <f aca="false">9942.308+2486.249+2232.77+1993.378+2287.899+380.74</f>
        <v>19323.344</v>
      </c>
      <c r="Q46" s="715" t="n">
        <f aca="false">SUM(B46:P46)</f>
        <v>285960.199</v>
      </c>
      <c r="R46" s="1085" t="s">
        <v>220</v>
      </c>
    </row>
    <row r="47" s="222" customFormat="true" ht="11.25" hidden="false" customHeight="true" outlineLevel="0" collapsed="false">
      <c r="A47" s="890" t="s">
        <v>221</v>
      </c>
      <c r="B47" s="708" t="n">
        <v>48729.271</v>
      </c>
      <c r="C47" s="708" t="n">
        <v>14381.894</v>
      </c>
      <c r="D47" s="708" t="n">
        <v>3301.261</v>
      </c>
      <c r="E47" s="708" t="n">
        <v>15780.379</v>
      </c>
      <c r="F47" s="708" t="n">
        <v>23161.207</v>
      </c>
      <c r="G47" s="708" t="n">
        <v>41198.187</v>
      </c>
      <c r="H47" s="708" t="n">
        <v>194.512</v>
      </c>
      <c r="I47" s="708" t="n">
        <v>11654.98</v>
      </c>
      <c r="J47" s="708" t="n">
        <v>49257.338</v>
      </c>
      <c r="K47" s="708" t="n">
        <v>1137.71</v>
      </c>
      <c r="L47" s="708" t="n">
        <v>1619.162</v>
      </c>
      <c r="M47" s="708" t="n">
        <v>8665.786</v>
      </c>
      <c r="N47" s="708" t="n">
        <v>10607.581</v>
      </c>
      <c r="O47" s="708" t="n">
        <v>38656.763</v>
      </c>
      <c r="P47" s="708" t="n">
        <f aca="false">10342.845+2528.95+2275.146+2043.92+2193.094+380.5</f>
        <v>19764.455</v>
      </c>
      <c r="Q47" s="708" t="n">
        <f aca="false">SUM(B47:P47)</f>
        <v>288110.486</v>
      </c>
      <c r="R47" s="1086" t="s">
        <v>221</v>
      </c>
    </row>
    <row r="48" s="222" customFormat="true" ht="11.25" hidden="false" customHeight="true" outlineLevel="0" collapsed="false">
      <c r="A48" s="889" t="s">
        <v>222</v>
      </c>
      <c r="B48" s="715" t="n">
        <v>45644.52</v>
      </c>
      <c r="C48" s="715" t="n">
        <v>12371.84</v>
      </c>
      <c r="D48" s="715" t="n">
        <v>2952.4</v>
      </c>
      <c r="E48" s="715" t="n">
        <v>13192.85</v>
      </c>
      <c r="F48" s="715" t="n">
        <v>20815.08</v>
      </c>
      <c r="G48" s="715" t="n">
        <v>36368.23</v>
      </c>
      <c r="H48" s="715" t="n">
        <v>175.03</v>
      </c>
      <c r="I48" s="715" t="n">
        <v>9914.58</v>
      </c>
      <c r="J48" s="715" t="n">
        <v>45809.24</v>
      </c>
      <c r="K48" s="715" t="n">
        <v>962.58</v>
      </c>
      <c r="L48" s="715" t="n">
        <v>1305.32</v>
      </c>
      <c r="M48" s="715" t="n">
        <v>7360.84</v>
      </c>
      <c r="N48" s="715" t="n">
        <v>9099.42</v>
      </c>
      <c r="O48" s="715" t="n">
        <v>33557.81</v>
      </c>
      <c r="P48" s="715" t="n">
        <f aca="false">1959.45+1786.33+2005.9+2502.44+9232.7+383.2</f>
        <v>17870.02</v>
      </c>
      <c r="Q48" s="715" t="n">
        <f aca="false">SUM(B48:P48)</f>
        <v>257399.76</v>
      </c>
      <c r="R48" s="1085" t="s">
        <v>222</v>
      </c>
    </row>
    <row r="49" s="222" customFormat="true" ht="11.25" hidden="false" customHeight="true" outlineLevel="0" collapsed="false">
      <c r="A49" s="890" t="s">
        <v>223</v>
      </c>
      <c r="B49" s="708" t="n">
        <v>45644.52</v>
      </c>
      <c r="C49" s="708" t="n">
        <v>12371.84</v>
      </c>
      <c r="D49" s="708" t="n">
        <v>2952.4</v>
      </c>
      <c r="E49" s="708" t="n">
        <v>13192.85</v>
      </c>
      <c r="F49" s="708" t="n">
        <v>20815.08</v>
      </c>
      <c r="G49" s="708" t="n">
        <v>36368.23</v>
      </c>
      <c r="H49" s="708" t="n">
        <v>175.03</v>
      </c>
      <c r="I49" s="708" t="n">
        <v>9914.58</v>
      </c>
      <c r="J49" s="708" t="n">
        <v>45809.24</v>
      </c>
      <c r="K49" s="708" t="n">
        <v>962.58</v>
      </c>
      <c r="L49" s="708" t="n">
        <v>1305.32</v>
      </c>
      <c r="M49" s="708" t="n">
        <v>7360.84</v>
      </c>
      <c r="N49" s="708" t="n">
        <v>9099.42</v>
      </c>
      <c r="O49" s="708" t="n">
        <v>33557.81</v>
      </c>
      <c r="P49" s="708" t="n">
        <f aca="false">1959.45+1786.33+2005.9+2502.44+9232.7+383.2</f>
        <v>17870.02</v>
      </c>
      <c r="Q49" s="708" t="n">
        <f aca="false">SUM(B49:P49)</f>
        <v>257399.76</v>
      </c>
      <c r="R49" s="1086" t="s">
        <v>223</v>
      </c>
    </row>
    <row r="50" s="222" customFormat="true" ht="11.25" hidden="false" customHeight="true" outlineLevel="0" collapsed="false">
      <c r="A50" s="889" t="s">
        <v>224</v>
      </c>
      <c r="B50" s="715" t="n">
        <v>44557.02</v>
      </c>
      <c r="C50" s="715" t="n">
        <v>12337.56</v>
      </c>
      <c r="D50" s="715" t="n">
        <v>2968.05</v>
      </c>
      <c r="E50" s="715" t="n">
        <v>13171.21</v>
      </c>
      <c r="F50" s="715" t="n">
        <v>20814.37</v>
      </c>
      <c r="G50" s="715" t="n">
        <v>36547.13</v>
      </c>
      <c r="H50" s="715" t="n">
        <v>175.03</v>
      </c>
      <c r="I50" s="715" t="n">
        <v>9587.45</v>
      </c>
      <c r="J50" s="715" t="n">
        <v>48333.09</v>
      </c>
      <c r="K50" s="715" t="n">
        <v>962.58</v>
      </c>
      <c r="L50" s="715" t="n">
        <v>1304.19</v>
      </c>
      <c r="M50" s="715" t="n">
        <v>7217.83</v>
      </c>
      <c r="N50" s="715" t="n">
        <v>9235.33</v>
      </c>
      <c r="O50" s="715" t="n">
        <v>35847.04</v>
      </c>
      <c r="P50" s="715" t="n">
        <f aca="false">1959.45+1785.26+1984.35+383.2+2499.49+9343.32</f>
        <v>17955.07</v>
      </c>
      <c r="Q50" s="715" t="n">
        <f aca="false">SUM(B50:P50)</f>
        <v>261012.95</v>
      </c>
      <c r="R50" s="1085" t="s">
        <v>224</v>
      </c>
    </row>
    <row r="51" s="222" customFormat="true" ht="11.25" hidden="false" customHeight="true" outlineLevel="0" collapsed="false">
      <c r="A51" s="890" t="s">
        <v>225</v>
      </c>
      <c r="B51" s="708" t="n">
        <v>44910.99</v>
      </c>
      <c r="C51" s="708" t="n">
        <v>12542.67</v>
      </c>
      <c r="D51" s="708" t="n">
        <v>2950.95</v>
      </c>
      <c r="E51" s="708" t="n">
        <v>13189.19</v>
      </c>
      <c r="F51" s="708" t="n">
        <v>20835.34</v>
      </c>
      <c r="G51" s="708" t="n">
        <v>36533.27</v>
      </c>
      <c r="H51" s="708" t="n">
        <v>179.79</v>
      </c>
      <c r="I51" s="708" t="n">
        <v>9589.89</v>
      </c>
      <c r="J51" s="708" t="n">
        <v>46746.83</v>
      </c>
      <c r="K51" s="708" t="n">
        <v>962.58</v>
      </c>
      <c r="L51" s="708" t="n">
        <v>1304.19</v>
      </c>
      <c r="M51" s="708" t="n">
        <v>7189.48</v>
      </c>
      <c r="N51" s="708" t="n">
        <v>9150.66</v>
      </c>
      <c r="O51" s="708" t="n">
        <v>33674.9</v>
      </c>
      <c r="P51" s="708" t="n">
        <f aca="false">1976.08+1784.92+1951.36+2487.72+9226.18+388.87</f>
        <v>17815.13</v>
      </c>
      <c r="Q51" s="708" t="n">
        <f aca="false">SUM(B51:P51)</f>
        <v>257575.86</v>
      </c>
      <c r="R51" s="1086" t="s">
        <v>225</v>
      </c>
    </row>
    <row r="52" s="222" customFormat="true" ht="11.25" hidden="false" customHeight="true" outlineLevel="0" collapsed="false">
      <c r="A52" s="1054" t="s">
        <v>284</v>
      </c>
      <c r="B52" s="715"/>
      <c r="C52" s="715"/>
      <c r="D52" s="715"/>
      <c r="E52" s="715"/>
      <c r="F52" s="715"/>
      <c r="G52" s="715"/>
      <c r="H52" s="715"/>
      <c r="I52" s="715"/>
      <c r="J52" s="715"/>
      <c r="K52" s="715"/>
      <c r="L52" s="715"/>
      <c r="M52" s="715"/>
      <c r="N52" s="715"/>
      <c r="O52" s="715"/>
      <c r="P52" s="715"/>
      <c r="Q52" s="715"/>
      <c r="R52" s="1087" t="s">
        <v>284</v>
      </c>
    </row>
    <row r="53" s="222" customFormat="true" ht="11.25" hidden="false" customHeight="true" outlineLevel="0" collapsed="false">
      <c r="A53" s="1055" t="s">
        <v>214</v>
      </c>
      <c r="B53" s="727" t="n">
        <v>45904.79</v>
      </c>
      <c r="C53" s="727" t="n">
        <v>13001.08</v>
      </c>
      <c r="D53" s="727" t="n">
        <v>2968.67</v>
      </c>
      <c r="E53" s="727" t="n">
        <v>13507.92</v>
      </c>
      <c r="F53" s="727" t="n">
        <v>21350.39</v>
      </c>
      <c r="G53" s="727" t="n">
        <v>38179.45</v>
      </c>
      <c r="H53" s="727" t="n">
        <v>177.93</v>
      </c>
      <c r="I53" s="727" t="n">
        <v>10134.17</v>
      </c>
      <c r="J53" s="727" t="n">
        <v>49737.84</v>
      </c>
      <c r="K53" s="727" t="n">
        <v>1492.77</v>
      </c>
      <c r="L53" s="727" t="n">
        <v>1396.14</v>
      </c>
      <c r="M53" s="727" t="n">
        <v>7281.56</v>
      </c>
      <c r="N53" s="727" t="n">
        <v>11627.56</v>
      </c>
      <c r="O53" s="727" t="n">
        <v>36621.92</v>
      </c>
      <c r="P53" s="727" t="n">
        <f aca="false">1984.51+1784.92+2175.39+2487.72+9455.36+383.36</f>
        <v>18271.26</v>
      </c>
      <c r="Q53" s="727" t="n">
        <f aca="false">SUM(B53:P53)</f>
        <v>271653.45</v>
      </c>
      <c r="R53" s="1088" t="s">
        <v>214</v>
      </c>
    </row>
    <row r="54" customFormat="false" ht="9.75" hidden="false" customHeight="true" outlineLevel="0" collapsed="false">
      <c r="A54" s="702" t="s">
        <v>228</v>
      </c>
      <c r="B54" s="1089" t="s">
        <v>1108</v>
      </c>
      <c r="C54" s="1090"/>
      <c r="D54" s="1090"/>
      <c r="E54" s="1090"/>
      <c r="F54" s="1090"/>
      <c r="G54" s="1090"/>
      <c r="H54" s="1058"/>
      <c r="I54" s="737"/>
      <c r="J54" s="1091" t="s">
        <v>1109</v>
      </c>
      <c r="K54" s="1091"/>
      <c r="L54" s="1091"/>
      <c r="M54" s="1091"/>
      <c r="N54" s="1091"/>
      <c r="O54" s="1091"/>
      <c r="P54" s="1091"/>
      <c r="Q54" s="1091"/>
      <c r="R54" s="1091"/>
    </row>
    <row r="55" customFormat="false" ht="9.75" hidden="false" customHeight="true" outlineLevel="0" collapsed="false">
      <c r="A55" s="707"/>
      <c r="B55" s="375"/>
      <c r="C55" s="375"/>
      <c r="D55" s="1092"/>
      <c r="E55" s="1092"/>
      <c r="F55" s="1092"/>
      <c r="G55" s="1092"/>
      <c r="H55" s="159"/>
      <c r="I55" s="159"/>
      <c r="J55" s="519" t="s">
        <v>256</v>
      </c>
      <c r="K55" s="1093" t="s">
        <v>1110</v>
      </c>
      <c r="L55" s="895"/>
      <c r="M55" s="895"/>
      <c r="O55" s="159"/>
      <c r="P55" s="159"/>
      <c r="Q55" s="159"/>
      <c r="R55" s="1094"/>
    </row>
    <row r="56" customFormat="false" ht="11.25" hidden="false" customHeight="false" outlineLevel="0" collapsed="false">
      <c r="D56" s="258"/>
      <c r="E56" s="258"/>
      <c r="F56" s="258"/>
      <c r="G56" s="258"/>
      <c r="H56" s="258"/>
      <c r="I56" s="258"/>
      <c r="J56" s="258"/>
      <c r="K56" s="258"/>
      <c r="L56" s="258"/>
      <c r="M56" s="258"/>
      <c r="N56" s="258"/>
      <c r="O56" s="258"/>
      <c r="P56" s="258"/>
      <c r="Q56" s="258"/>
      <c r="R56" s="730"/>
    </row>
    <row r="57" s="222" customFormat="true" ht="11.25" hidden="false" customHeight="false" outlineLevel="0" collapsed="false">
      <c r="A57" s="1054"/>
      <c r="R57" s="436"/>
    </row>
    <row r="58" s="222" customFormat="true" ht="11.25" hidden="false" customHeight="false" outlineLevel="0" collapsed="false">
      <c r="A58" s="889"/>
      <c r="Q58" s="1095"/>
      <c r="R58" s="436"/>
    </row>
    <row r="59" customFormat="false" ht="11.25" hidden="false" customHeight="false" outlineLevel="0" collapsed="false">
      <c r="A59" s="707"/>
      <c r="R59" s="730"/>
    </row>
    <row r="60" customFormat="false" ht="11.25" hidden="false" customHeight="false" outlineLevel="0" collapsed="false">
      <c r="A60" s="707"/>
      <c r="E60" s="258"/>
      <c r="R60" s="730"/>
    </row>
    <row r="61" customFormat="false" ht="12.6" hidden="false" customHeight="true" outlineLevel="0" collapsed="false">
      <c r="R61" s="730"/>
    </row>
    <row r="62" customFormat="false" ht="11.25" hidden="false" customHeight="false" outlineLevel="0" collapsed="false">
      <c r="R62" s="730"/>
    </row>
    <row r="63" customFormat="false" ht="11.25" hidden="false" customHeight="false" outlineLevel="0" collapsed="false">
      <c r="R63" s="730"/>
    </row>
    <row r="64" customFormat="false" ht="11.25" hidden="false" customHeight="false" outlineLevel="0" collapsed="false">
      <c r="R64" s="730"/>
    </row>
    <row r="65" customFormat="false" ht="11.25" hidden="false" customHeight="false" outlineLevel="0" collapsed="false">
      <c r="R65" s="730"/>
    </row>
    <row r="66" customFormat="false" ht="11.25" hidden="false" customHeight="false" outlineLevel="0" collapsed="false">
      <c r="R66" s="730"/>
    </row>
    <row r="67" customFormat="false" ht="11.25" hidden="false" customHeight="false" outlineLevel="0" collapsed="false">
      <c r="R67" s="730"/>
    </row>
    <row r="68" customFormat="false" ht="11.25" hidden="false" customHeight="false" outlineLevel="0" collapsed="false">
      <c r="R68" s="730"/>
    </row>
    <row r="69" customFormat="false" ht="11.25" hidden="false" customHeight="false" outlineLevel="0" collapsed="false">
      <c r="R69" s="730"/>
    </row>
  </sheetData>
  <mergeCells count="9">
    <mergeCell ref="A1:I1"/>
    <mergeCell ref="J1:P1"/>
    <mergeCell ref="Q1:R1"/>
    <mergeCell ref="Q2:R2"/>
    <mergeCell ref="A3:A4"/>
    <mergeCell ref="B3:Q3"/>
    <mergeCell ref="R3:R4"/>
    <mergeCell ref="J54:R54"/>
    <mergeCell ref="B55:C55"/>
  </mergeCells>
  <printOptions headings="false" gridLines="false" gridLinesSet="true" horizontalCentered="false" verticalCentered="false"/>
  <pageMargins left="0.629861111111111" right="0.551388888888889" top="0.511805555555555" bottom="0.315277777777778" header="0.511805555555555" footer="0"/>
  <pageSetup paperSize="1" scale="100" firstPageNumber="54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>&amp;C&amp;"Times New Roman,Regular"&amp;8&amp;P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20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3" ySplit="3" topLeftCell="AX55" activePane="bottomRight" state="frozen"/>
      <selection pane="topLeft" activeCell="A1" activeCellId="0" sqref="A1"/>
      <selection pane="topRight" activeCell="AX1" activeCellId="0" sqref="AX1"/>
      <selection pane="bottomLeft" activeCell="A55" activeCellId="0" sqref="A55"/>
      <selection pane="bottomRight" activeCell="AX1" activeCellId="0" sqref="AX1"/>
    </sheetView>
  </sheetViews>
  <sheetFormatPr defaultColWidth="9.15625" defaultRowHeight="11.25" zeroHeight="false" outlineLevelRow="0" outlineLevelCol="0"/>
  <cols>
    <col collapsed="false" customWidth="true" hidden="false" outlineLevel="0" max="1" min="1" style="107" width="2.85"/>
    <col collapsed="false" customWidth="true" hidden="false" outlineLevel="0" max="2" min="2" style="319" width="4.57"/>
    <col collapsed="false" customWidth="true" hidden="false" outlineLevel="0" max="3" min="3" style="107" width="23.71"/>
    <col collapsed="false" customWidth="true" hidden="false" outlineLevel="0" max="5" min="4" style="107" width="8.86"/>
    <col collapsed="false" customWidth="false" hidden="false" outlineLevel="0" max="6" min="6" style="107" width="9.14"/>
    <col collapsed="false" customWidth="true" hidden="false" outlineLevel="0" max="7" min="7" style="319" width="10.42"/>
    <col collapsed="false" customWidth="true" hidden="false" outlineLevel="0" max="8" min="8" style="107" width="9.71"/>
    <col collapsed="false" customWidth="true" hidden="false" outlineLevel="0" max="9" min="9" style="222" width="2.85"/>
    <col collapsed="false" customWidth="true" hidden="false" outlineLevel="0" max="10" min="10" style="520" width="6.01"/>
    <col collapsed="false" customWidth="true" hidden="false" outlineLevel="0" max="11" min="11" style="222" width="23.28"/>
    <col collapsed="false" customWidth="true" hidden="false" outlineLevel="0" max="12" min="12" style="222" width="9.29"/>
    <col collapsed="false" customWidth="true" hidden="false" outlineLevel="0" max="13" min="13" style="222" width="9.85"/>
    <col collapsed="false" customWidth="true" hidden="false" outlineLevel="0" max="14" min="14" style="222" width="8.57"/>
    <col collapsed="false" customWidth="false" hidden="false" outlineLevel="0" max="15" min="15" style="367" width="9.14"/>
    <col collapsed="false" customWidth="false" hidden="false" outlineLevel="0" max="16" min="16" style="222" width="9.14"/>
    <col collapsed="false" customWidth="true" hidden="false" outlineLevel="0" max="17" min="17" style="222" width="2.99"/>
    <col collapsed="false" customWidth="true" hidden="false" outlineLevel="0" max="18" min="18" style="520" width="6.57"/>
    <col collapsed="false" customWidth="true" hidden="false" outlineLevel="0" max="19" min="19" style="222" width="21.57"/>
    <col collapsed="false" customWidth="true" hidden="false" outlineLevel="0" max="20" min="20" style="222" width="8.57"/>
    <col collapsed="false" customWidth="true" hidden="false" outlineLevel="0" max="21" min="21" style="222" width="9"/>
    <col collapsed="false" customWidth="true" hidden="false" outlineLevel="0" max="22" min="22" style="222" width="8.71"/>
    <col collapsed="false" customWidth="true" hidden="false" outlineLevel="0" max="23" min="23" style="367" width="10.29"/>
    <col collapsed="false" customWidth="true" hidden="false" outlineLevel="0" max="24" min="24" style="222" width="10.29"/>
    <col collapsed="false" customWidth="true" hidden="false" outlineLevel="0" max="25" min="25" style="222" width="2.71"/>
    <col collapsed="false" customWidth="true" hidden="false" outlineLevel="0" max="26" min="26" style="787" width="7.29"/>
    <col collapsed="false" customWidth="true" hidden="false" outlineLevel="0" max="27" min="27" style="222" width="23.57"/>
    <col collapsed="false" customWidth="false" hidden="false" outlineLevel="0" max="28" min="28" style="222" width="9.14"/>
    <col collapsed="false" customWidth="true" hidden="false" outlineLevel="0" max="29" min="29" style="222" width="8.42"/>
    <col collapsed="false" customWidth="true" hidden="false" outlineLevel="0" max="30" min="30" style="222" width="8.71"/>
    <col collapsed="false" customWidth="false" hidden="false" outlineLevel="0" max="32" min="31" style="222" width="9.14"/>
    <col collapsed="false" customWidth="true" hidden="false" outlineLevel="0" max="33" min="33" style="222" width="2.29"/>
    <col collapsed="false" customWidth="true" hidden="false" outlineLevel="0" max="34" min="34" style="787" width="6.71"/>
    <col collapsed="false" customWidth="true" hidden="false" outlineLevel="0" max="35" min="35" style="222" width="26.14"/>
    <col collapsed="false" customWidth="true" hidden="false" outlineLevel="0" max="36" min="36" style="222" width="8"/>
    <col collapsed="false" customWidth="true" hidden="false" outlineLevel="0" max="37" min="37" style="222" width="8.71"/>
    <col collapsed="false" customWidth="true" hidden="false" outlineLevel="0" max="38" min="38" style="222" width="8.57"/>
    <col collapsed="false" customWidth="false" hidden="false" outlineLevel="0" max="40" min="39" style="222" width="9.14"/>
    <col collapsed="false" customWidth="true" hidden="false" outlineLevel="0" max="41" min="41" style="222" width="2.71"/>
    <col collapsed="false" customWidth="true" hidden="false" outlineLevel="0" max="42" min="42" style="787" width="6.01"/>
    <col collapsed="false" customWidth="true" hidden="false" outlineLevel="0" max="43" min="43" style="222" width="24.57"/>
    <col collapsed="false" customWidth="true" hidden="false" outlineLevel="0" max="44" min="44" style="222" width="7.86"/>
    <col collapsed="false" customWidth="true" hidden="false" outlineLevel="0" max="45" min="45" style="222" width="9"/>
    <col collapsed="false" customWidth="true" hidden="false" outlineLevel="0" max="46" min="46" style="222" width="8.71"/>
    <col collapsed="false" customWidth="true" hidden="false" outlineLevel="0" max="47" min="47" style="222" width="10.14"/>
    <col collapsed="false" customWidth="true" hidden="false" outlineLevel="0" max="48" min="48" style="222" width="9.58"/>
    <col collapsed="false" customWidth="true" hidden="false" outlineLevel="0" max="49" min="49" style="222" width="2.57"/>
    <col collapsed="false" customWidth="true" hidden="false" outlineLevel="0" max="50" min="50" style="787" width="5.86"/>
    <col collapsed="false" customWidth="true" hidden="false" outlineLevel="0" max="51" min="51" style="222" width="25.14"/>
    <col collapsed="false" customWidth="true" hidden="false" outlineLevel="0" max="53" min="52" style="222" width="8.71"/>
    <col collapsed="false" customWidth="false" hidden="false" outlineLevel="0" max="56" min="54" style="222" width="9.14"/>
    <col collapsed="false" customWidth="true" hidden="false" outlineLevel="0" max="57" min="57" style="222" width="2.71"/>
    <col collapsed="false" customWidth="true" hidden="false" outlineLevel="0" max="58" min="58" style="787" width="6.71"/>
    <col collapsed="false" customWidth="true" hidden="false" outlineLevel="0" max="59" min="59" style="222" width="23.71"/>
    <col collapsed="false" customWidth="true" hidden="false" outlineLevel="0" max="61" min="60" style="222" width="9"/>
    <col collapsed="false" customWidth="true" hidden="false" outlineLevel="0" max="62" min="62" style="222" width="8.71"/>
    <col collapsed="false" customWidth="true" hidden="false" outlineLevel="0" max="63" min="63" style="222" width="9.58"/>
    <col collapsed="false" customWidth="true" hidden="false" outlineLevel="0" max="64" min="64" style="222" width="8.86"/>
    <col collapsed="false" customWidth="false" hidden="false" outlineLevel="0" max="1024" min="65" style="107" width="9.14"/>
  </cols>
  <sheetData>
    <row r="1" s="1070" customFormat="true" ht="15.75" hidden="false" customHeight="true" outlineLevel="0" collapsed="false">
      <c r="A1" s="1096" t="s">
        <v>1111</v>
      </c>
      <c r="B1" s="1096"/>
      <c r="C1" s="1096"/>
      <c r="D1" s="1096"/>
      <c r="E1" s="1096"/>
      <c r="F1" s="1096"/>
      <c r="G1" s="1096"/>
      <c r="H1" s="1096"/>
      <c r="I1" s="1097" t="s">
        <v>1112</v>
      </c>
      <c r="J1" s="1097"/>
      <c r="K1" s="1097"/>
      <c r="L1" s="1097"/>
      <c r="M1" s="1097"/>
      <c r="N1" s="1098" t="s">
        <v>1113</v>
      </c>
      <c r="O1" s="1098"/>
      <c r="P1" s="1098"/>
      <c r="Q1" s="1099"/>
      <c r="R1" s="1100"/>
      <c r="S1" s="1098" t="s">
        <v>1114</v>
      </c>
      <c r="T1" s="1098"/>
      <c r="U1" s="1098"/>
      <c r="V1" s="1098"/>
      <c r="W1" s="1098"/>
      <c r="X1" s="1098"/>
      <c r="Y1" s="1097" t="s">
        <v>1115</v>
      </c>
      <c r="Z1" s="1097"/>
      <c r="AA1" s="1097"/>
      <c r="AB1" s="1097"/>
      <c r="AC1" s="1097"/>
      <c r="AD1" s="1098" t="s">
        <v>1113</v>
      </c>
      <c r="AE1" s="1098"/>
      <c r="AF1" s="1098"/>
      <c r="AG1" s="1099"/>
      <c r="AH1" s="1100"/>
      <c r="AI1" s="1098" t="s">
        <v>1111</v>
      </c>
      <c r="AJ1" s="1098"/>
      <c r="AK1" s="1098"/>
      <c r="AL1" s="1098"/>
      <c r="AM1" s="1098"/>
      <c r="AN1" s="1098"/>
      <c r="AO1" s="1097" t="s">
        <v>1116</v>
      </c>
      <c r="AP1" s="1097"/>
      <c r="AQ1" s="1097"/>
      <c r="AR1" s="1097"/>
      <c r="AS1" s="1097"/>
      <c r="AT1" s="1098" t="s">
        <v>1113</v>
      </c>
      <c r="AU1" s="1098"/>
      <c r="AV1" s="1098"/>
      <c r="AW1" s="1099"/>
      <c r="AX1" s="1100"/>
      <c r="AY1" s="1098" t="s">
        <v>1111</v>
      </c>
      <c r="AZ1" s="1098"/>
      <c r="BA1" s="1098"/>
      <c r="BB1" s="1098"/>
      <c r="BC1" s="1098"/>
      <c r="BD1" s="1098"/>
      <c r="BE1" s="1097" t="s">
        <v>1117</v>
      </c>
      <c r="BF1" s="1097"/>
      <c r="BG1" s="1097"/>
      <c r="BH1" s="1097"/>
      <c r="BI1" s="1097"/>
      <c r="BJ1" s="1098" t="s">
        <v>1118</v>
      </c>
      <c r="BK1" s="1098"/>
      <c r="BL1" s="1098"/>
    </row>
    <row r="2" s="1102" customFormat="true" ht="17.25" hidden="false" customHeight="true" outlineLevel="0" collapsed="false">
      <c r="A2" s="760" t="s">
        <v>1119</v>
      </c>
      <c r="B2" s="760"/>
      <c r="C2" s="760"/>
      <c r="D2" s="769" t="s">
        <v>1120</v>
      </c>
      <c r="E2" s="769" t="s">
        <v>1121</v>
      </c>
      <c r="F2" s="769" t="s">
        <v>1122</v>
      </c>
      <c r="G2" s="769" t="s">
        <v>1123</v>
      </c>
      <c r="H2" s="769"/>
      <c r="I2" s="1101" t="s">
        <v>1119</v>
      </c>
      <c r="J2" s="1101"/>
      <c r="K2" s="1101"/>
      <c r="L2" s="458" t="s">
        <v>1124</v>
      </c>
      <c r="M2" s="458" t="s">
        <v>1125</v>
      </c>
      <c r="N2" s="458" t="s">
        <v>1122</v>
      </c>
      <c r="O2" s="458" t="s">
        <v>1123</v>
      </c>
      <c r="P2" s="458"/>
      <c r="Q2" s="1101" t="s">
        <v>1119</v>
      </c>
      <c r="R2" s="1101"/>
      <c r="S2" s="1101"/>
      <c r="T2" s="458" t="s">
        <v>1126</v>
      </c>
      <c r="U2" s="458" t="s">
        <v>1125</v>
      </c>
      <c r="V2" s="458" t="s">
        <v>1122</v>
      </c>
      <c r="W2" s="458" t="s">
        <v>1123</v>
      </c>
      <c r="X2" s="458"/>
      <c r="Y2" s="1101" t="s">
        <v>1119</v>
      </c>
      <c r="Z2" s="1101"/>
      <c r="AA2" s="1101"/>
      <c r="AB2" s="458" t="s">
        <v>1126</v>
      </c>
      <c r="AC2" s="458" t="s">
        <v>1125</v>
      </c>
      <c r="AD2" s="458" t="s">
        <v>1122</v>
      </c>
      <c r="AE2" s="458" t="s">
        <v>1123</v>
      </c>
      <c r="AF2" s="458"/>
      <c r="AG2" s="1101" t="s">
        <v>1119</v>
      </c>
      <c r="AH2" s="1101"/>
      <c r="AI2" s="1101"/>
      <c r="AJ2" s="458" t="s">
        <v>1126</v>
      </c>
      <c r="AK2" s="458" t="s">
        <v>1125</v>
      </c>
      <c r="AL2" s="458" t="s">
        <v>1122</v>
      </c>
      <c r="AM2" s="458" t="s">
        <v>1123</v>
      </c>
      <c r="AN2" s="458"/>
      <c r="AO2" s="1101" t="s">
        <v>1119</v>
      </c>
      <c r="AP2" s="1101"/>
      <c r="AQ2" s="1101"/>
      <c r="AR2" s="458" t="s">
        <v>1126</v>
      </c>
      <c r="AS2" s="458" t="s">
        <v>1125</v>
      </c>
      <c r="AT2" s="458" t="s">
        <v>1122</v>
      </c>
      <c r="AU2" s="458" t="s">
        <v>1123</v>
      </c>
      <c r="AV2" s="458"/>
      <c r="AW2" s="1101" t="s">
        <v>1119</v>
      </c>
      <c r="AX2" s="1101"/>
      <c r="AY2" s="1101"/>
      <c r="AZ2" s="458" t="s">
        <v>1126</v>
      </c>
      <c r="BA2" s="458" t="s">
        <v>1125</v>
      </c>
      <c r="BB2" s="458" t="s">
        <v>1122</v>
      </c>
      <c r="BC2" s="458" t="s">
        <v>1123</v>
      </c>
      <c r="BD2" s="458"/>
      <c r="BE2" s="1101" t="s">
        <v>1119</v>
      </c>
      <c r="BF2" s="1101"/>
      <c r="BG2" s="1101"/>
      <c r="BH2" s="458" t="s">
        <v>1126</v>
      </c>
      <c r="BI2" s="458" t="s">
        <v>1125</v>
      </c>
      <c r="BJ2" s="458" t="s">
        <v>1122</v>
      </c>
      <c r="BK2" s="458" t="s">
        <v>1123</v>
      </c>
      <c r="BL2" s="458"/>
    </row>
    <row r="3" s="772" customFormat="true" ht="27.75" hidden="false" customHeight="true" outlineLevel="0" collapsed="false">
      <c r="A3" s="760"/>
      <c r="B3" s="760"/>
      <c r="C3" s="760"/>
      <c r="D3" s="769"/>
      <c r="E3" s="769"/>
      <c r="F3" s="769"/>
      <c r="G3" s="769" t="s">
        <v>1127</v>
      </c>
      <c r="H3" s="769" t="s">
        <v>1128</v>
      </c>
      <c r="I3" s="1101"/>
      <c r="J3" s="1101"/>
      <c r="K3" s="1101"/>
      <c r="L3" s="458"/>
      <c r="M3" s="458"/>
      <c r="N3" s="458"/>
      <c r="O3" s="458" t="s">
        <v>1127</v>
      </c>
      <c r="P3" s="458" t="s">
        <v>1128</v>
      </c>
      <c r="Q3" s="1101"/>
      <c r="R3" s="1101"/>
      <c r="S3" s="1101"/>
      <c r="T3" s="458"/>
      <c r="U3" s="458"/>
      <c r="V3" s="458"/>
      <c r="W3" s="458" t="s">
        <v>1127</v>
      </c>
      <c r="X3" s="458" t="s">
        <v>1128</v>
      </c>
      <c r="Y3" s="1101"/>
      <c r="Z3" s="1101"/>
      <c r="AA3" s="1101"/>
      <c r="AB3" s="458"/>
      <c r="AC3" s="458"/>
      <c r="AD3" s="458"/>
      <c r="AE3" s="458" t="s">
        <v>1127</v>
      </c>
      <c r="AF3" s="458" t="s">
        <v>1128</v>
      </c>
      <c r="AG3" s="1101"/>
      <c r="AH3" s="1101"/>
      <c r="AI3" s="1101"/>
      <c r="AJ3" s="458"/>
      <c r="AK3" s="458"/>
      <c r="AL3" s="458"/>
      <c r="AM3" s="458" t="s">
        <v>1127</v>
      </c>
      <c r="AN3" s="458" t="s">
        <v>1128</v>
      </c>
      <c r="AO3" s="1101"/>
      <c r="AP3" s="1101"/>
      <c r="AQ3" s="1101"/>
      <c r="AR3" s="458"/>
      <c r="AS3" s="458"/>
      <c r="AT3" s="458"/>
      <c r="AU3" s="458" t="s">
        <v>1127</v>
      </c>
      <c r="AV3" s="458" t="s">
        <v>1128</v>
      </c>
      <c r="AW3" s="1101"/>
      <c r="AX3" s="1101"/>
      <c r="AY3" s="1101"/>
      <c r="AZ3" s="458"/>
      <c r="BA3" s="458"/>
      <c r="BB3" s="458"/>
      <c r="BC3" s="458" t="s">
        <v>1127</v>
      </c>
      <c r="BD3" s="458" t="s">
        <v>1128</v>
      </c>
      <c r="BE3" s="1101"/>
      <c r="BF3" s="1101"/>
      <c r="BG3" s="1101"/>
      <c r="BH3" s="458"/>
      <c r="BI3" s="458"/>
      <c r="BJ3" s="458"/>
      <c r="BK3" s="458" t="s">
        <v>1127</v>
      </c>
      <c r="BL3" s="458" t="s">
        <v>1128</v>
      </c>
    </row>
    <row r="4" s="291" customFormat="true" ht="9.95" hidden="false" customHeight="true" outlineLevel="0" collapsed="false">
      <c r="A4" s="1103" t="s">
        <v>1129</v>
      </c>
      <c r="B4" s="1104" t="s">
        <v>1130</v>
      </c>
      <c r="C4" s="1105" t="s">
        <v>1131</v>
      </c>
      <c r="D4" s="1106" t="s">
        <v>1132</v>
      </c>
      <c r="E4" s="1107" t="n">
        <v>3.5</v>
      </c>
      <c r="F4" s="1106" t="s">
        <v>1133</v>
      </c>
      <c r="G4" s="1105" t="s">
        <v>1134</v>
      </c>
      <c r="H4" s="1105" t="s">
        <v>1135</v>
      </c>
      <c r="I4" s="1105"/>
      <c r="J4" s="1108" t="s">
        <v>1136</v>
      </c>
      <c r="K4" s="1105" t="s">
        <v>1137</v>
      </c>
      <c r="L4" s="1106" t="s">
        <v>1138</v>
      </c>
      <c r="M4" s="1106" t="n">
        <v>6.44</v>
      </c>
      <c r="N4" s="1106" t="s">
        <v>1139</v>
      </c>
      <c r="O4" s="1105" t="s">
        <v>1134</v>
      </c>
      <c r="P4" s="1105" t="s">
        <v>1135</v>
      </c>
      <c r="Q4" s="1105"/>
      <c r="R4" s="1108" t="s">
        <v>1136</v>
      </c>
      <c r="S4" s="1105" t="s">
        <v>1140</v>
      </c>
      <c r="T4" s="1106" t="s">
        <v>1141</v>
      </c>
      <c r="U4" s="1106" t="n">
        <v>12.22</v>
      </c>
      <c r="V4" s="1106" t="s">
        <v>1142</v>
      </c>
      <c r="W4" s="1105" t="s">
        <v>1134</v>
      </c>
      <c r="X4" s="1105" t="s">
        <v>1135</v>
      </c>
      <c r="Y4" s="1105"/>
      <c r="Z4" s="1108" t="s">
        <v>1143</v>
      </c>
      <c r="AA4" s="1105" t="s">
        <v>1144</v>
      </c>
      <c r="AB4" s="1106" t="s">
        <v>1145</v>
      </c>
      <c r="AC4" s="1107" t="n">
        <v>7</v>
      </c>
      <c r="AD4" s="1106" t="s">
        <v>1146</v>
      </c>
      <c r="AE4" s="1105" t="s">
        <v>1134</v>
      </c>
      <c r="AF4" s="1105" t="s">
        <v>1135</v>
      </c>
      <c r="AG4" s="1105"/>
      <c r="AH4" s="1108" t="s">
        <v>1147</v>
      </c>
      <c r="AI4" s="1105" t="s">
        <v>1148</v>
      </c>
      <c r="AJ4" s="1106" t="s">
        <v>1149</v>
      </c>
      <c r="AK4" s="1107" t="n">
        <v>11.5</v>
      </c>
      <c r="AL4" s="1106" t="s">
        <v>1150</v>
      </c>
      <c r="AM4" s="1105" t="s">
        <v>1134</v>
      </c>
      <c r="AN4" s="1105" t="s">
        <v>1135</v>
      </c>
      <c r="AO4" s="1105"/>
      <c r="AP4" s="1108" t="s">
        <v>1151</v>
      </c>
      <c r="AQ4" s="1105" t="s">
        <v>1152</v>
      </c>
      <c r="AR4" s="1106" t="s">
        <v>1153</v>
      </c>
      <c r="AS4" s="1106" t="n">
        <v>8.24</v>
      </c>
      <c r="AT4" s="1106" t="s">
        <v>1154</v>
      </c>
      <c r="AU4" s="1105" t="s">
        <v>1134</v>
      </c>
      <c r="AV4" s="1105" t="s">
        <v>1135</v>
      </c>
      <c r="AW4" s="1105"/>
      <c r="AX4" s="1108" t="s">
        <v>1155</v>
      </c>
      <c r="AY4" s="1105" t="s">
        <v>1156</v>
      </c>
      <c r="AZ4" s="1106" t="s">
        <v>1157</v>
      </c>
      <c r="BA4" s="1106" t="n">
        <v>9.23</v>
      </c>
      <c r="BB4" s="1106" t="s">
        <v>1158</v>
      </c>
      <c r="BC4" s="1105" t="s">
        <v>1134</v>
      </c>
      <c r="BD4" s="1105" t="s">
        <v>1135</v>
      </c>
      <c r="BE4" s="1109"/>
      <c r="BF4" s="1104" t="s">
        <v>1159</v>
      </c>
      <c r="BG4" s="1105" t="s">
        <v>1160</v>
      </c>
      <c r="BH4" s="1110" t="s">
        <v>1161</v>
      </c>
      <c r="BI4" s="1111" t="n">
        <v>8.7</v>
      </c>
      <c r="BJ4" s="1110" t="s">
        <v>1162</v>
      </c>
      <c r="BK4" s="1112" t="s">
        <v>1134</v>
      </c>
      <c r="BL4" s="1112" t="s">
        <v>1135</v>
      </c>
    </row>
    <row r="5" s="291" customFormat="true" ht="9.95" hidden="false" customHeight="true" outlineLevel="0" collapsed="false">
      <c r="B5" s="1113" t="s">
        <v>1163</v>
      </c>
      <c r="C5" s="1114" t="s">
        <v>1131</v>
      </c>
      <c r="D5" s="1115" t="s">
        <v>1164</v>
      </c>
      <c r="E5" s="1116" t="n">
        <v>4.5</v>
      </c>
      <c r="F5" s="1115" t="s">
        <v>1165</v>
      </c>
      <c r="G5" s="1114" t="s">
        <v>1134</v>
      </c>
      <c r="H5" s="1114" t="s">
        <v>1135</v>
      </c>
      <c r="I5" s="1114"/>
      <c r="J5" s="1117" t="s">
        <v>1166</v>
      </c>
      <c r="K5" s="1114" t="s">
        <v>1137</v>
      </c>
      <c r="L5" s="1115" t="s">
        <v>1167</v>
      </c>
      <c r="M5" s="1115" t="n">
        <v>6.99</v>
      </c>
      <c r="N5" s="1115" t="s">
        <v>1168</v>
      </c>
      <c r="O5" s="1114" t="s">
        <v>1134</v>
      </c>
      <c r="P5" s="1114" t="s">
        <v>1135</v>
      </c>
      <c r="Q5" s="1114"/>
      <c r="R5" s="1117" t="s">
        <v>1166</v>
      </c>
      <c r="S5" s="1114" t="s">
        <v>1140</v>
      </c>
      <c r="T5" s="1115" t="s">
        <v>1169</v>
      </c>
      <c r="U5" s="1115" t="n">
        <v>12.22</v>
      </c>
      <c r="V5" s="1115" t="s">
        <v>1170</v>
      </c>
      <c r="W5" s="1114" t="s">
        <v>1134</v>
      </c>
      <c r="X5" s="1114" t="s">
        <v>1135</v>
      </c>
      <c r="Y5" s="1114"/>
      <c r="Z5" s="1117" t="s">
        <v>1171</v>
      </c>
      <c r="AA5" s="1114" t="s">
        <v>1172</v>
      </c>
      <c r="AB5" s="1115" t="s">
        <v>1173</v>
      </c>
      <c r="AC5" s="1116" t="n">
        <v>5</v>
      </c>
      <c r="AD5" s="1115" t="s">
        <v>1174</v>
      </c>
      <c r="AE5" s="1114" t="s">
        <v>1134</v>
      </c>
      <c r="AF5" s="1114" t="s">
        <v>1135</v>
      </c>
      <c r="AG5" s="1114"/>
      <c r="AH5" s="1117" t="s">
        <v>1175</v>
      </c>
      <c r="AI5" s="1114" t="s">
        <v>1148</v>
      </c>
      <c r="AJ5" s="1115" t="s">
        <v>1176</v>
      </c>
      <c r="AK5" s="1116" t="n">
        <v>11.5</v>
      </c>
      <c r="AL5" s="1115" t="s">
        <v>1177</v>
      </c>
      <c r="AM5" s="1114" t="s">
        <v>1134</v>
      </c>
      <c r="AN5" s="1114" t="s">
        <v>1135</v>
      </c>
      <c r="AO5" s="1114"/>
      <c r="AP5" s="1117" t="s">
        <v>1178</v>
      </c>
      <c r="AQ5" s="1114" t="s">
        <v>1152</v>
      </c>
      <c r="AR5" s="1115" t="s">
        <v>1179</v>
      </c>
      <c r="AS5" s="1115" t="n">
        <v>8.13</v>
      </c>
      <c r="AT5" s="1115" t="s">
        <v>1180</v>
      </c>
      <c r="AU5" s="1114" t="s">
        <v>1134</v>
      </c>
      <c r="AV5" s="1114" t="s">
        <v>1135</v>
      </c>
      <c r="AW5" s="1114"/>
      <c r="AX5" s="1117" t="s">
        <v>1181</v>
      </c>
      <c r="AY5" s="1114" t="s">
        <v>1156</v>
      </c>
      <c r="AZ5" s="1115" t="s">
        <v>1182</v>
      </c>
      <c r="BA5" s="1115" t="n">
        <v>9.25</v>
      </c>
      <c r="BB5" s="1115" t="s">
        <v>1183</v>
      </c>
      <c r="BC5" s="1114" t="s">
        <v>1134</v>
      </c>
      <c r="BD5" s="1114" t="s">
        <v>1135</v>
      </c>
      <c r="BE5" s="1118"/>
      <c r="BF5" s="1113" t="s">
        <v>1184</v>
      </c>
      <c r="BG5" s="1114" t="s">
        <v>1160</v>
      </c>
      <c r="BH5" s="1119" t="s">
        <v>1185</v>
      </c>
      <c r="BI5" s="1120" t="n">
        <v>7.64</v>
      </c>
      <c r="BJ5" s="1119" t="s">
        <v>1186</v>
      </c>
      <c r="BK5" s="1121" t="s">
        <v>1134</v>
      </c>
      <c r="BL5" s="1121" t="s">
        <v>1135</v>
      </c>
    </row>
    <row r="6" s="291" customFormat="true" ht="9.95" hidden="false" customHeight="true" outlineLevel="0" collapsed="false">
      <c r="A6" s="287"/>
      <c r="B6" s="1104" t="s">
        <v>1187</v>
      </c>
      <c r="C6" s="1105" t="s">
        <v>1131</v>
      </c>
      <c r="D6" s="1106" t="s">
        <v>1188</v>
      </c>
      <c r="E6" s="1107" t="n">
        <v>3.7</v>
      </c>
      <c r="F6" s="1106" t="s">
        <v>1189</v>
      </c>
      <c r="G6" s="1105" t="s">
        <v>1134</v>
      </c>
      <c r="H6" s="1105" t="s">
        <v>1135</v>
      </c>
      <c r="I6" s="1105"/>
      <c r="J6" s="1108" t="s">
        <v>1190</v>
      </c>
      <c r="K6" s="1105" t="s">
        <v>1137</v>
      </c>
      <c r="L6" s="1106" t="s">
        <v>1191</v>
      </c>
      <c r="M6" s="1106" t="n">
        <v>7.46</v>
      </c>
      <c r="N6" s="1106" t="s">
        <v>1192</v>
      </c>
      <c r="O6" s="1105" t="s">
        <v>1134</v>
      </c>
      <c r="P6" s="1105" t="s">
        <v>1135</v>
      </c>
      <c r="Q6" s="1105"/>
      <c r="R6" s="1108" t="s">
        <v>1190</v>
      </c>
      <c r="S6" s="1105" t="s">
        <v>1140</v>
      </c>
      <c r="T6" s="1106" t="s">
        <v>1193</v>
      </c>
      <c r="U6" s="1106" t="n">
        <v>12.16</v>
      </c>
      <c r="V6" s="1106" t="s">
        <v>1194</v>
      </c>
      <c r="W6" s="1105" t="s">
        <v>1134</v>
      </c>
      <c r="X6" s="1105" t="s">
        <v>1135</v>
      </c>
      <c r="Y6" s="1105"/>
      <c r="Z6" s="1108" t="s">
        <v>1195</v>
      </c>
      <c r="AA6" s="1105" t="s">
        <v>1196</v>
      </c>
      <c r="AB6" s="1106" t="s">
        <v>1173</v>
      </c>
      <c r="AC6" s="1107" t="n">
        <v>5</v>
      </c>
      <c r="AD6" s="1106" t="s">
        <v>1174</v>
      </c>
      <c r="AE6" s="1105" t="s">
        <v>1134</v>
      </c>
      <c r="AF6" s="1105" t="s">
        <v>1135</v>
      </c>
      <c r="AG6" s="1105"/>
      <c r="AH6" s="1108" t="s">
        <v>1197</v>
      </c>
      <c r="AI6" s="1105" t="s">
        <v>1148</v>
      </c>
      <c r="AJ6" s="1106" t="s">
        <v>1198</v>
      </c>
      <c r="AK6" s="1107" t="n">
        <v>11.6</v>
      </c>
      <c r="AL6" s="1106" t="s">
        <v>1199</v>
      </c>
      <c r="AM6" s="1105" t="s">
        <v>1134</v>
      </c>
      <c r="AN6" s="1105" t="s">
        <v>1135</v>
      </c>
      <c r="AO6" s="1105"/>
      <c r="AP6" s="1108" t="s">
        <v>1200</v>
      </c>
      <c r="AQ6" s="1105" t="s">
        <v>1152</v>
      </c>
      <c r="AR6" s="1106" t="s">
        <v>1201</v>
      </c>
      <c r="AS6" s="1106" t="n">
        <v>7.52</v>
      </c>
      <c r="AT6" s="1106" t="s">
        <v>1202</v>
      </c>
      <c r="AU6" s="1105" t="s">
        <v>1134</v>
      </c>
      <c r="AV6" s="1105" t="s">
        <v>1135</v>
      </c>
      <c r="AW6" s="1105"/>
      <c r="AX6" s="1108" t="s">
        <v>1136</v>
      </c>
      <c r="AY6" s="1105" t="s">
        <v>1156</v>
      </c>
      <c r="AZ6" s="1106" t="s">
        <v>1203</v>
      </c>
      <c r="BA6" s="1106" t="n">
        <v>9.25</v>
      </c>
      <c r="BB6" s="1106" t="s">
        <v>1204</v>
      </c>
      <c r="BC6" s="1105" t="s">
        <v>1134</v>
      </c>
      <c r="BD6" s="1105" t="s">
        <v>1135</v>
      </c>
      <c r="BE6" s="1109"/>
      <c r="BF6" s="1104" t="s">
        <v>1143</v>
      </c>
      <c r="BG6" s="1105" t="s">
        <v>1160</v>
      </c>
      <c r="BH6" s="1110" t="s">
        <v>1205</v>
      </c>
      <c r="BI6" s="1111" t="n">
        <v>7.75</v>
      </c>
      <c r="BJ6" s="1110" t="s">
        <v>1206</v>
      </c>
      <c r="BK6" s="1112" t="s">
        <v>1134</v>
      </c>
      <c r="BL6" s="1112" t="s">
        <v>1135</v>
      </c>
    </row>
    <row r="7" s="291" customFormat="true" ht="9.95" hidden="false" customHeight="true" outlineLevel="0" collapsed="false">
      <c r="B7" s="1113" t="s">
        <v>48</v>
      </c>
      <c r="C7" s="1114" t="s">
        <v>1131</v>
      </c>
      <c r="D7" s="1115" t="s">
        <v>1207</v>
      </c>
      <c r="E7" s="1115" t="n">
        <v>4.41</v>
      </c>
      <c r="F7" s="1115" t="s">
        <v>1208</v>
      </c>
      <c r="G7" s="1114" t="s">
        <v>1134</v>
      </c>
      <c r="H7" s="1114" t="s">
        <v>1135</v>
      </c>
      <c r="I7" s="1114"/>
      <c r="J7" s="1117" t="s">
        <v>1209</v>
      </c>
      <c r="K7" s="1114" t="s">
        <v>1137</v>
      </c>
      <c r="L7" s="1115" t="s">
        <v>1210</v>
      </c>
      <c r="M7" s="1116" t="n">
        <v>8.1</v>
      </c>
      <c r="N7" s="1115" t="s">
        <v>1211</v>
      </c>
      <c r="O7" s="1114" t="s">
        <v>1134</v>
      </c>
      <c r="P7" s="1114" t="s">
        <v>1135</v>
      </c>
      <c r="Q7" s="1114"/>
      <c r="R7" s="1117" t="s">
        <v>1209</v>
      </c>
      <c r="S7" s="1114" t="s">
        <v>1140</v>
      </c>
      <c r="T7" s="1115" t="s">
        <v>1212</v>
      </c>
      <c r="U7" s="1115" t="n">
        <v>11.75</v>
      </c>
      <c r="V7" s="1115" t="s">
        <v>1213</v>
      </c>
      <c r="W7" s="1114" t="s">
        <v>1134</v>
      </c>
      <c r="X7" s="1114" t="s">
        <v>1135</v>
      </c>
      <c r="Y7" s="1114"/>
      <c r="Z7" s="1117" t="s">
        <v>1214</v>
      </c>
      <c r="AA7" s="1114" t="s">
        <v>1215</v>
      </c>
      <c r="AB7" s="1115" t="s">
        <v>1173</v>
      </c>
      <c r="AC7" s="1116" t="n">
        <v>5</v>
      </c>
      <c r="AD7" s="1115" t="s">
        <v>1174</v>
      </c>
      <c r="AE7" s="1114" t="s">
        <v>1134</v>
      </c>
      <c r="AF7" s="1114" t="s">
        <v>1135</v>
      </c>
      <c r="AG7" s="1114"/>
      <c r="AH7" s="1117" t="s">
        <v>1216</v>
      </c>
      <c r="AI7" s="1114" t="s">
        <v>1148</v>
      </c>
      <c r="AJ7" s="1115" t="s">
        <v>1217</v>
      </c>
      <c r="AK7" s="1116" t="n">
        <v>11.7</v>
      </c>
      <c r="AL7" s="1115" t="s">
        <v>1218</v>
      </c>
      <c r="AM7" s="1114" t="s">
        <v>1134</v>
      </c>
      <c r="AN7" s="1114" t="s">
        <v>1135</v>
      </c>
      <c r="AO7" s="1114"/>
      <c r="AP7" s="1117" t="s">
        <v>1219</v>
      </c>
      <c r="AQ7" s="1114" t="s">
        <v>1152</v>
      </c>
      <c r="AR7" s="1115" t="s">
        <v>1220</v>
      </c>
      <c r="AS7" s="1116" t="n">
        <v>7.5</v>
      </c>
      <c r="AT7" s="1115" t="s">
        <v>1221</v>
      </c>
      <c r="AU7" s="1114" t="s">
        <v>1134</v>
      </c>
      <c r="AV7" s="1114" t="s">
        <v>1135</v>
      </c>
      <c r="AW7" s="1114"/>
      <c r="AX7" s="1117" t="s">
        <v>1166</v>
      </c>
      <c r="AY7" s="1114" t="s">
        <v>1156</v>
      </c>
      <c r="AZ7" s="1115" t="s">
        <v>1222</v>
      </c>
      <c r="BA7" s="1115" t="n">
        <v>9.45</v>
      </c>
      <c r="BB7" s="1115" t="s">
        <v>1223</v>
      </c>
      <c r="BC7" s="1114" t="s">
        <v>1134</v>
      </c>
      <c r="BD7" s="1114" t="s">
        <v>1135</v>
      </c>
      <c r="BE7" s="1118"/>
      <c r="BF7" s="1113" t="s">
        <v>1171</v>
      </c>
      <c r="BG7" s="1114" t="s">
        <v>1160</v>
      </c>
      <c r="BH7" s="1119" t="s">
        <v>1224</v>
      </c>
      <c r="BI7" s="1120" t="n">
        <v>7.75</v>
      </c>
      <c r="BJ7" s="1119" t="s">
        <v>1225</v>
      </c>
      <c r="BK7" s="1121" t="s">
        <v>1134</v>
      </c>
      <c r="BL7" s="1121" t="s">
        <v>1135</v>
      </c>
    </row>
    <row r="8" s="291" customFormat="true" ht="9.95" hidden="false" customHeight="true" outlineLevel="0" collapsed="false">
      <c r="A8" s="287"/>
      <c r="B8" s="1104" t="s">
        <v>50</v>
      </c>
      <c r="C8" s="1105" t="s">
        <v>1131</v>
      </c>
      <c r="D8" s="1106" t="s">
        <v>1226</v>
      </c>
      <c r="E8" s="1106" t="n">
        <v>5.09</v>
      </c>
      <c r="F8" s="1106" t="s">
        <v>1227</v>
      </c>
      <c r="G8" s="1105" t="s">
        <v>1134</v>
      </c>
      <c r="H8" s="1105" t="s">
        <v>1135</v>
      </c>
      <c r="I8" s="1105"/>
      <c r="J8" s="1108" t="s">
        <v>1228</v>
      </c>
      <c r="K8" s="1105" t="s">
        <v>1137</v>
      </c>
      <c r="L8" s="1106" t="s">
        <v>1229</v>
      </c>
      <c r="M8" s="1106" t="n">
        <v>8.43</v>
      </c>
      <c r="N8" s="1106" t="s">
        <v>1230</v>
      </c>
      <c r="O8" s="1105" t="s">
        <v>1134</v>
      </c>
      <c r="P8" s="1105" t="s">
        <v>1135</v>
      </c>
      <c r="Q8" s="1105"/>
      <c r="R8" s="1108" t="s">
        <v>1228</v>
      </c>
      <c r="S8" s="1105" t="s">
        <v>1140</v>
      </c>
      <c r="T8" s="1106" t="s">
        <v>1231</v>
      </c>
      <c r="U8" s="1106" t="n">
        <v>11.59</v>
      </c>
      <c r="V8" s="1106" t="s">
        <v>1232</v>
      </c>
      <c r="W8" s="1105" t="s">
        <v>1134</v>
      </c>
      <c r="X8" s="1105" t="s">
        <v>1135</v>
      </c>
      <c r="Y8" s="1105"/>
      <c r="Z8" s="1108" t="s">
        <v>1233</v>
      </c>
      <c r="AA8" s="1105" t="s">
        <v>1234</v>
      </c>
      <c r="AB8" s="1106" t="s">
        <v>1235</v>
      </c>
      <c r="AC8" s="1107" t="n">
        <v>5</v>
      </c>
      <c r="AD8" s="1106" t="s">
        <v>1236</v>
      </c>
      <c r="AE8" s="1105" t="s">
        <v>1134</v>
      </c>
      <c r="AF8" s="1105" t="s">
        <v>1135</v>
      </c>
      <c r="AG8" s="1105"/>
      <c r="AH8" s="1108" t="s">
        <v>1237</v>
      </c>
      <c r="AI8" s="1105" t="s">
        <v>1148</v>
      </c>
      <c r="AJ8" s="1106" t="s">
        <v>1238</v>
      </c>
      <c r="AK8" s="1106" t="n">
        <v>11.75</v>
      </c>
      <c r="AL8" s="1106" t="s">
        <v>1239</v>
      </c>
      <c r="AM8" s="1105" t="s">
        <v>1134</v>
      </c>
      <c r="AN8" s="1105" t="s">
        <v>1135</v>
      </c>
      <c r="AO8" s="1105"/>
      <c r="AP8" s="1108" t="s">
        <v>1240</v>
      </c>
      <c r="AQ8" s="1105" t="s">
        <v>1152</v>
      </c>
      <c r="AR8" s="1106" t="s">
        <v>1241</v>
      </c>
      <c r="AS8" s="1106" t="n">
        <v>8.06</v>
      </c>
      <c r="AT8" s="1106" t="s">
        <v>1242</v>
      </c>
      <c r="AU8" s="1105" t="s">
        <v>1134</v>
      </c>
      <c r="AV8" s="1105" t="s">
        <v>1135</v>
      </c>
      <c r="AW8" s="1105"/>
      <c r="AX8" s="1108" t="s">
        <v>1190</v>
      </c>
      <c r="AY8" s="1105" t="s">
        <v>1156</v>
      </c>
      <c r="AZ8" s="1106" t="s">
        <v>1243</v>
      </c>
      <c r="BA8" s="1106" t="n">
        <v>9.57</v>
      </c>
      <c r="BB8" s="1106" t="s">
        <v>1244</v>
      </c>
      <c r="BC8" s="1105" t="s">
        <v>1134</v>
      </c>
      <c r="BD8" s="1105" t="s">
        <v>1135</v>
      </c>
      <c r="BE8" s="1109"/>
      <c r="BF8" s="1104" t="s">
        <v>1195</v>
      </c>
      <c r="BG8" s="1105" t="s">
        <v>1160</v>
      </c>
      <c r="BH8" s="1110" t="s">
        <v>1245</v>
      </c>
      <c r="BI8" s="1111" t="n">
        <v>8.24</v>
      </c>
      <c r="BJ8" s="1110" t="s">
        <v>1246</v>
      </c>
      <c r="BK8" s="1112" t="s">
        <v>1134</v>
      </c>
      <c r="BL8" s="1112" t="s">
        <v>1135</v>
      </c>
    </row>
    <row r="9" s="291" customFormat="true" ht="9.95" hidden="false" customHeight="true" outlineLevel="0" collapsed="false">
      <c r="A9" s="1122"/>
      <c r="B9" s="1113" t="s">
        <v>52</v>
      </c>
      <c r="C9" s="1114" t="s">
        <v>1131</v>
      </c>
      <c r="D9" s="1115" t="s">
        <v>1247</v>
      </c>
      <c r="E9" s="1115" t="n">
        <v>4.98</v>
      </c>
      <c r="F9" s="1115" t="s">
        <v>1248</v>
      </c>
      <c r="G9" s="1114" t="s">
        <v>1134</v>
      </c>
      <c r="H9" s="1114" t="s">
        <v>1135</v>
      </c>
      <c r="I9" s="1114"/>
      <c r="J9" s="1117" t="s">
        <v>1249</v>
      </c>
      <c r="K9" s="1114" t="s">
        <v>1137</v>
      </c>
      <c r="L9" s="1115" t="s">
        <v>1250</v>
      </c>
      <c r="M9" s="1115" t="n">
        <v>8.75</v>
      </c>
      <c r="N9" s="1115" t="s">
        <v>1251</v>
      </c>
      <c r="O9" s="1114" t="s">
        <v>1134</v>
      </c>
      <c r="P9" s="1114" t="s">
        <v>1135</v>
      </c>
      <c r="Q9" s="1114"/>
      <c r="R9" s="1117" t="s">
        <v>1249</v>
      </c>
      <c r="S9" s="1114" t="s">
        <v>1140</v>
      </c>
      <c r="T9" s="1115" t="s">
        <v>1252</v>
      </c>
      <c r="U9" s="1115" t="n">
        <v>10.92</v>
      </c>
      <c r="V9" s="1115" t="s">
        <v>1253</v>
      </c>
      <c r="W9" s="1114" t="s">
        <v>1134</v>
      </c>
      <c r="X9" s="1114" t="s">
        <v>1135</v>
      </c>
      <c r="Y9" s="1114"/>
      <c r="Z9" s="1117" t="s">
        <v>1254</v>
      </c>
      <c r="AA9" s="1114" t="s">
        <v>1255</v>
      </c>
      <c r="AB9" s="1115" t="s">
        <v>1173</v>
      </c>
      <c r="AC9" s="1116" t="n">
        <v>5</v>
      </c>
      <c r="AD9" s="1115" t="s">
        <v>1256</v>
      </c>
      <c r="AE9" s="1114" t="s">
        <v>1134</v>
      </c>
      <c r="AF9" s="1114" t="s">
        <v>1135</v>
      </c>
      <c r="AG9" s="1114"/>
      <c r="AH9" s="1117" t="s">
        <v>1257</v>
      </c>
      <c r="AI9" s="1114" t="s">
        <v>1148</v>
      </c>
      <c r="AJ9" s="1115" t="s">
        <v>1258</v>
      </c>
      <c r="AK9" s="1116" t="n">
        <v>11.8</v>
      </c>
      <c r="AL9" s="1115" t="s">
        <v>1259</v>
      </c>
      <c r="AM9" s="1114" t="s">
        <v>1134</v>
      </c>
      <c r="AN9" s="1114" t="s">
        <v>1135</v>
      </c>
      <c r="AO9" s="1114"/>
      <c r="AP9" s="1117" t="s">
        <v>1260</v>
      </c>
      <c r="AQ9" s="1114" t="s">
        <v>1152</v>
      </c>
      <c r="AR9" s="1115" t="s">
        <v>1261</v>
      </c>
      <c r="AS9" s="1115" t="n">
        <v>7.49</v>
      </c>
      <c r="AT9" s="1115" t="s">
        <v>1262</v>
      </c>
      <c r="AU9" s="1114" t="s">
        <v>1134</v>
      </c>
      <c r="AV9" s="1114" t="s">
        <v>1135</v>
      </c>
      <c r="AW9" s="1114"/>
      <c r="AX9" s="1117" t="s">
        <v>1209</v>
      </c>
      <c r="AY9" s="1114" t="s">
        <v>1156</v>
      </c>
      <c r="AZ9" s="1115" t="s">
        <v>1263</v>
      </c>
      <c r="BA9" s="1116" t="n">
        <v>9.6</v>
      </c>
      <c r="BB9" s="1115" t="s">
        <v>1264</v>
      </c>
      <c r="BC9" s="1114" t="s">
        <v>1134</v>
      </c>
      <c r="BD9" s="1114" t="s">
        <v>1135</v>
      </c>
      <c r="BE9" s="1118"/>
      <c r="BF9" s="1113" t="s">
        <v>1214</v>
      </c>
      <c r="BG9" s="1114" t="s">
        <v>1160</v>
      </c>
      <c r="BH9" s="1119" t="s">
        <v>1265</v>
      </c>
      <c r="BI9" s="1120" t="n">
        <v>8.29</v>
      </c>
      <c r="BJ9" s="1119" t="s">
        <v>1266</v>
      </c>
      <c r="BK9" s="1121" t="s">
        <v>1134</v>
      </c>
      <c r="BL9" s="1121" t="s">
        <v>1135</v>
      </c>
    </row>
    <row r="10" s="291" customFormat="true" ht="9.95" hidden="false" customHeight="true" outlineLevel="0" collapsed="false">
      <c r="A10" s="1123"/>
      <c r="B10" s="1104" t="s">
        <v>54</v>
      </c>
      <c r="C10" s="1105" t="s">
        <v>1131</v>
      </c>
      <c r="D10" s="1106" t="s">
        <v>1267</v>
      </c>
      <c r="E10" s="1107" t="n">
        <v>5.4</v>
      </c>
      <c r="F10" s="1106" t="s">
        <v>1268</v>
      </c>
      <c r="G10" s="1105" t="s">
        <v>1134</v>
      </c>
      <c r="H10" s="1105" t="s">
        <v>1135</v>
      </c>
      <c r="I10" s="1105"/>
      <c r="J10" s="1108" t="s">
        <v>1269</v>
      </c>
      <c r="K10" s="1105" t="s">
        <v>1137</v>
      </c>
      <c r="L10" s="1106" t="s">
        <v>1270</v>
      </c>
      <c r="M10" s="1106" t="n">
        <v>9.23</v>
      </c>
      <c r="N10" s="1106" t="s">
        <v>1271</v>
      </c>
      <c r="O10" s="1105" t="s">
        <v>1134</v>
      </c>
      <c r="P10" s="1105" t="s">
        <v>1135</v>
      </c>
      <c r="Q10" s="1105"/>
      <c r="R10" s="1108" t="s">
        <v>1269</v>
      </c>
      <c r="S10" s="1124" t="s">
        <v>1140</v>
      </c>
      <c r="T10" s="1125" t="s">
        <v>1272</v>
      </c>
      <c r="U10" s="1125" t="n">
        <v>10.72</v>
      </c>
      <c r="V10" s="1125" t="s">
        <v>1273</v>
      </c>
      <c r="W10" s="1124" t="s">
        <v>1134</v>
      </c>
      <c r="X10" s="1124" t="s">
        <v>1135</v>
      </c>
      <c r="Y10" s="1105"/>
      <c r="Z10" s="1108" t="s">
        <v>1274</v>
      </c>
      <c r="AA10" s="1105" t="s">
        <v>1275</v>
      </c>
      <c r="AB10" s="1106" t="s">
        <v>1173</v>
      </c>
      <c r="AC10" s="1107" t="n">
        <v>5</v>
      </c>
      <c r="AD10" s="1106" t="s">
        <v>1256</v>
      </c>
      <c r="AE10" s="1105" t="s">
        <v>1134</v>
      </c>
      <c r="AF10" s="1105" t="s">
        <v>1135</v>
      </c>
      <c r="AG10" s="1105"/>
      <c r="AH10" s="1108" t="s">
        <v>1276</v>
      </c>
      <c r="AI10" s="1105" t="s">
        <v>1148</v>
      </c>
      <c r="AJ10" s="1106" t="s">
        <v>1277</v>
      </c>
      <c r="AK10" s="1107" t="n">
        <v>11.8</v>
      </c>
      <c r="AL10" s="1106" t="s">
        <v>1278</v>
      </c>
      <c r="AM10" s="1105" t="s">
        <v>1134</v>
      </c>
      <c r="AN10" s="1105" t="s">
        <v>1135</v>
      </c>
      <c r="AO10" s="1105"/>
      <c r="AP10" s="1108" t="s">
        <v>1279</v>
      </c>
      <c r="AQ10" s="1105" t="s">
        <v>1152</v>
      </c>
      <c r="AR10" s="1106" t="s">
        <v>1280</v>
      </c>
      <c r="AS10" s="1107" t="n">
        <v>7.2</v>
      </c>
      <c r="AT10" s="1106" t="s">
        <v>1281</v>
      </c>
      <c r="AU10" s="1105" t="s">
        <v>1134</v>
      </c>
      <c r="AV10" s="1105" t="s">
        <v>1135</v>
      </c>
      <c r="AW10" s="1105"/>
      <c r="AX10" s="1108" t="s">
        <v>1228</v>
      </c>
      <c r="AY10" s="1105" t="s">
        <v>1156</v>
      </c>
      <c r="AZ10" s="1106" t="s">
        <v>1282</v>
      </c>
      <c r="BA10" s="1107" t="n">
        <v>9.6</v>
      </c>
      <c r="BB10" s="1106" t="s">
        <v>1283</v>
      </c>
      <c r="BC10" s="1105" t="s">
        <v>1134</v>
      </c>
      <c r="BD10" s="1105" t="s">
        <v>1135</v>
      </c>
      <c r="BE10" s="1109"/>
      <c r="BF10" s="1104" t="s">
        <v>1233</v>
      </c>
      <c r="BG10" s="1105" t="s">
        <v>1160</v>
      </c>
      <c r="BH10" s="1110" t="s">
        <v>1284</v>
      </c>
      <c r="BI10" s="1111" t="n">
        <v>8.5</v>
      </c>
      <c r="BJ10" s="1110" t="s">
        <v>1285</v>
      </c>
      <c r="BK10" s="1112" t="s">
        <v>1134</v>
      </c>
      <c r="BL10" s="1112" t="s">
        <v>1135</v>
      </c>
    </row>
    <row r="11" s="291" customFormat="true" ht="9.95" hidden="false" customHeight="true" outlineLevel="0" collapsed="false">
      <c r="B11" s="1113" t="s">
        <v>56</v>
      </c>
      <c r="C11" s="1114" t="s">
        <v>1131</v>
      </c>
      <c r="D11" s="1115" t="s">
        <v>1286</v>
      </c>
      <c r="E11" s="1115" t="n">
        <v>6.25</v>
      </c>
      <c r="F11" s="1115" t="s">
        <v>1287</v>
      </c>
      <c r="G11" s="1114" t="s">
        <v>1134</v>
      </c>
      <c r="H11" s="1114" t="s">
        <v>1135</v>
      </c>
      <c r="I11" s="1114"/>
      <c r="J11" s="1117" t="s">
        <v>1288</v>
      </c>
      <c r="K11" s="1114" t="s">
        <v>1137</v>
      </c>
      <c r="L11" s="1115" t="s">
        <v>1289</v>
      </c>
      <c r="M11" s="1116" t="n">
        <v>8.9</v>
      </c>
      <c r="N11" s="1115" t="s">
        <v>1290</v>
      </c>
      <c r="O11" s="1114" t="s">
        <v>1134</v>
      </c>
      <c r="P11" s="1114" t="s">
        <v>1135</v>
      </c>
      <c r="Q11" s="1114"/>
      <c r="R11" s="1117" t="s">
        <v>1288</v>
      </c>
      <c r="S11" s="1114" t="s">
        <v>1140</v>
      </c>
      <c r="T11" s="1115" t="s">
        <v>1291</v>
      </c>
      <c r="U11" s="1115" t="n">
        <v>9.79</v>
      </c>
      <c r="V11" s="1115" t="s">
        <v>1292</v>
      </c>
      <c r="W11" s="1114" t="s">
        <v>1134</v>
      </c>
      <c r="X11" s="1114" t="s">
        <v>1135</v>
      </c>
      <c r="Y11" s="1114"/>
      <c r="Z11" s="1117" t="s">
        <v>1293</v>
      </c>
      <c r="AA11" s="1114" t="s">
        <v>1294</v>
      </c>
      <c r="AB11" s="1115" t="s">
        <v>1173</v>
      </c>
      <c r="AC11" s="1116" t="n">
        <v>5</v>
      </c>
      <c r="AD11" s="1115" t="s">
        <v>1256</v>
      </c>
      <c r="AE11" s="1114" t="s">
        <v>1134</v>
      </c>
      <c r="AF11" s="1114" t="s">
        <v>1135</v>
      </c>
      <c r="AG11" s="1114"/>
      <c r="AH11" s="1117" t="s">
        <v>1295</v>
      </c>
      <c r="AI11" s="1114" t="s">
        <v>1148</v>
      </c>
      <c r="AJ11" s="1115" t="s">
        <v>1296</v>
      </c>
      <c r="AK11" s="1115" t="n">
        <v>11.88</v>
      </c>
      <c r="AL11" s="1115" t="s">
        <v>1297</v>
      </c>
      <c r="AM11" s="1114" t="s">
        <v>1134</v>
      </c>
      <c r="AN11" s="1114" t="s">
        <v>1135</v>
      </c>
      <c r="AO11" s="1114"/>
      <c r="AP11" s="1117" t="s">
        <v>1298</v>
      </c>
      <c r="AQ11" s="1114" t="s">
        <v>1152</v>
      </c>
      <c r="AR11" s="1115" t="s">
        <v>1299</v>
      </c>
      <c r="AS11" s="1115" t="n">
        <v>7.55</v>
      </c>
      <c r="AT11" s="1115" t="s">
        <v>1300</v>
      </c>
      <c r="AU11" s="1114" t="s">
        <v>1134</v>
      </c>
      <c r="AV11" s="1114" t="s">
        <v>1135</v>
      </c>
      <c r="AW11" s="1114"/>
      <c r="AX11" s="1117" t="s">
        <v>1249</v>
      </c>
      <c r="AY11" s="1114" t="s">
        <v>1156</v>
      </c>
      <c r="AZ11" s="1115" t="s">
        <v>1301</v>
      </c>
      <c r="BA11" s="1115" t="n">
        <v>9.63</v>
      </c>
      <c r="BB11" s="1115" t="s">
        <v>1302</v>
      </c>
      <c r="BC11" s="1114" t="s">
        <v>1134</v>
      </c>
      <c r="BD11" s="1114" t="s">
        <v>1135</v>
      </c>
      <c r="BE11" s="1121"/>
      <c r="BF11" s="1113" t="s">
        <v>1254</v>
      </c>
      <c r="BG11" s="1114" t="s">
        <v>1160</v>
      </c>
      <c r="BH11" s="1119" t="s">
        <v>1303</v>
      </c>
      <c r="BI11" s="1120" t="n">
        <v>8.48</v>
      </c>
      <c r="BJ11" s="1119" t="s">
        <v>1304</v>
      </c>
      <c r="BK11" s="1121" t="s">
        <v>1134</v>
      </c>
      <c r="BL11" s="1121" t="s">
        <v>1135</v>
      </c>
    </row>
    <row r="12" s="291" customFormat="true" ht="9.95" hidden="false" customHeight="true" outlineLevel="0" collapsed="false">
      <c r="A12" s="287"/>
      <c r="B12" s="1104" t="s">
        <v>1305</v>
      </c>
      <c r="C12" s="1105" t="s">
        <v>1131</v>
      </c>
      <c r="D12" s="1106" t="s">
        <v>1306</v>
      </c>
      <c r="E12" s="1106" t="n">
        <v>6.39</v>
      </c>
      <c r="F12" s="1106" t="s">
        <v>1307</v>
      </c>
      <c r="G12" s="1105" t="s">
        <v>1134</v>
      </c>
      <c r="H12" s="1105" t="s">
        <v>1135</v>
      </c>
      <c r="I12" s="1105"/>
      <c r="J12" s="1108" t="s">
        <v>1308</v>
      </c>
      <c r="K12" s="1105" t="s">
        <v>1137</v>
      </c>
      <c r="L12" s="1106" t="s">
        <v>1309</v>
      </c>
      <c r="M12" s="1106" t="n">
        <v>8.97</v>
      </c>
      <c r="N12" s="1106" t="s">
        <v>1310</v>
      </c>
      <c r="O12" s="1105" t="s">
        <v>1134</v>
      </c>
      <c r="P12" s="1105" t="s">
        <v>1135</v>
      </c>
      <c r="Q12" s="1105"/>
      <c r="R12" s="1108" t="s">
        <v>1308</v>
      </c>
      <c r="S12" s="1105" t="s">
        <v>1140</v>
      </c>
      <c r="T12" s="1106" t="s">
        <v>1311</v>
      </c>
      <c r="U12" s="1106" t="n">
        <v>8.18</v>
      </c>
      <c r="V12" s="1106" t="s">
        <v>1312</v>
      </c>
      <c r="W12" s="1105" t="s">
        <v>1134</v>
      </c>
      <c r="X12" s="1105" t="s">
        <v>1135</v>
      </c>
      <c r="Y12" s="1105"/>
      <c r="Z12" s="1108" t="s">
        <v>1313</v>
      </c>
      <c r="AA12" s="1124" t="s">
        <v>1314</v>
      </c>
      <c r="AB12" s="1125" t="s">
        <v>1235</v>
      </c>
      <c r="AC12" s="1126" t="n">
        <v>5</v>
      </c>
      <c r="AD12" s="1125" t="s">
        <v>1315</v>
      </c>
      <c r="AE12" s="1124" t="s">
        <v>1134</v>
      </c>
      <c r="AF12" s="1124" t="s">
        <v>1135</v>
      </c>
      <c r="AG12" s="1105"/>
      <c r="AH12" s="1127" t="s">
        <v>1316</v>
      </c>
      <c r="AI12" s="1124" t="s">
        <v>1148</v>
      </c>
      <c r="AJ12" s="1125" t="s">
        <v>1317</v>
      </c>
      <c r="AK12" s="1125" t="n">
        <v>11.93</v>
      </c>
      <c r="AL12" s="1125" t="s">
        <v>1318</v>
      </c>
      <c r="AM12" s="1124" t="s">
        <v>1134</v>
      </c>
      <c r="AN12" s="1124" t="s">
        <v>1135</v>
      </c>
      <c r="AO12" s="1105"/>
      <c r="AP12" s="1127" t="s">
        <v>1319</v>
      </c>
      <c r="AQ12" s="1124" t="s">
        <v>1152</v>
      </c>
      <c r="AR12" s="1125" t="s">
        <v>1320</v>
      </c>
      <c r="AS12" s="1126" t="n">
        <v>7.7</v>
      </c>
      <c r="AT12" s="1125" t="s">
        <v>1321</v>
      </c>
      <c r="AU12" s="1124" t="s">
        <v>1134</v>
      </c>
      <c r="AV12" s="1124" t="s">
        <v>1135</v>
      </c>
      <c r="AW12" s="1105"/>
      <c r="AX12" s="1108" t="s">
        <v>1269</v>
      </c>
      <c r="AY12" s="1105" t="s">
        <v>1156</v>
      </c>
      <c r="AZ12" s="1106" t="s">
        <v>1322</v>
      </c>
      <c r="BA12" s="1106" t="n">
        <v>9.65</v>
      </c>
      <c r="BB12" s="1106" t="s">
        <v>1323</v>
      </c>
      <c r="BC12" s="1105" t="s">
        <v>1134</v>
      </c>
      <c r="BD12" s="1105" t="s">
        <v>1135</v>
      </c>
      <c r="BE12" s="1128"/>
      <c r="BF12" s="1104" t="s">
        <v>1274</v>
      </c>
      <c r="BG12" s="1105" t="s">
        <v>1160</v>
      </c>
      <c r="BH12" s="1110" t="s">
        <v>1324</v>
      </c>
      <c r="BI12" s="1111" t="n">
        <v>8.19</v>
      </c>
      <c r="BJ12" s="1110" t="s">
        <v>1325</v>
      </c>
      <c r="BK12" s="1112" t="s">
        <v>1134</v>
      </c>
      <c r="BL12" s="1112" t="s">
        <v>1135</v>
      </c>
    </row>
    <row r="13" s="291" customFormat="true" ht="9.95" hidden="false" customHeight="true" outlineLevel="0" collapsed="false">
      <c r="B13" s="1113" t="s">
        <v>64</v>
      </c>
      <c r="C13" s="1114" t="s">
        <v>1131</v>
      </c>
      <c r="D13" s="1115" t="s">
        <v>1210</v>
      </c>
      <c r="E13" s="1115" t="n">
        <v>7.55</v>
      </c>
      <c r="F13" s="1115" t="s">
        <v>1326</v>
      </c>
      <c r="G13" s="1114" t="s">
        <v>1134</v>
      </c>
      <c r="H13" s="1114" t="s">
        <v>1135</v>
      </c>
      <c r="I13" s="1114"/>
      <c r="J13" s="1117" t="s">
        <v>1327</v>
      </c>
      <c r="K13" s="1114" t="s">
        <v>1137</v>
      </c>
      <c r="L13" s="1115" t="s">
        <v>1328</v>
      </c>
      <c r="M13" s="1115" t="n">
        <v>8.97</v>
      </c>
      <c r="N13" s="1115" t="s">
        <v>1329</v>
      </c>
      <c r="O13" s="1114" t="s">
        <v>1134</v>
      </c>
      <c r="P13" s="1114" t="s">
        <v>1135</v>
      </c>
      <c r="Q13" s="1114"/>
      <c r="R13" s="1117" t="s">
        <v>1327</v>
      </c>
      <c r="S13" s="1114" t="s">
        <v>1140</v>
      </c>
      <c r="T13" s="1115" t="s">
        <v>1330</v>
      </c>
      <c r="U13" s="1115" t="n">
        <v>6.79</v>
      </c>
      <c r="V13" s="1115" t="s">
        <v>1331</v>
      </c>
      <c r="W13" s="1114" t="s">
        <v>1134</v>
      </c>
      <c r="X13" s="1114" t="s">
        <v>1135</v>
      </c>
      <c r="Y13" s="1114" t="s">
        <v>1332</v>
      </c>
      <c r="Z13" s="1117" t="s">
        <v>1130</v>
      </c>
      <c r="AA13" s="1114" t="s">
        <v>1148</v>
      </c>
      <c r="AB13" s="1115" t="s">
        <v>1333</v>
      </c>
      <c r="AC13" s="1115" t="n">
        <v>13.48</v>
      </c>
      <c r="AD13" s="1115" t="s">
        <v>1334</v>
      </c>
      <c r="AE13" s="1114" t="s">
        <v>1134</v>
      </c>
      <c r="AF13" s="1114" t="s">
        <v>1135</v>
      </c>
      <c r="AG13" s="1114"/>
      <c r="AH13" s="1117" t="s">
        <v>1335</v>
      </c>
      <c r="AI13" s="1114" t="s">
        <v>1148</v>
      </c>
      <c r="AJ13" s="1115" t="s">
        <v>1336</v>
      </c>
      <c r="AK13" s="1116" t="n">
        <v>12</v>
      </c>
      <c r="AL13" s="1115" t="s">
        <v>1337</v>
      </c>
      <c r="AM13" s="1114" t="s">
        <v>1134</v>
      </c>
      <c r="AN13" s="1114" t="s">
        <v>1135</v>
      </c>
      <c r="AO13" s="1114"/>
      <c r="AP13" s="1117" t="s">
        <v>1338</v>
      </c>
      <c r="AQ13" s="1114" t="s">
        <v>1152</v>
      </c>
      <c r="AR13" s="1115" t="s">
        <v>1339</v>
      </c>
      <c r="AS13" s="1115" t="n">
        <v>7.68</v>
      </c>
      <c r="AT13" s="1115" t="s">
        <v>1340</v>
      </c>
      <c r="AU13" s="1114" t="s">
        <v>1134</v>
      </c>
      <c r="AV13" s="1114" t="s">
        <v>1135</v>
      </c>
      <c r="AW13" s="1114"/>
      <c r="AX13" s="1117" t="s">
        <v>1288</v>
      </c>
      <c r="AY13" s="1114" t="s">
        <v>1156</v>
      </c>
      <c r="AZ13" s="1115" t="s">
        <v>1341</v>
      </c>
      <c r="BA13" s="1115" t="n">
        <v>9.65</v>
      </c>
      <c r="BB13" s="1115" t="s">
        <v>1342</v>
      </c>
      <c r="BC13" s="1114" t="s">
        <v>1134</v>
      </c>
      <c r="BD13" s="1114" t="s">
        <v>1135</v>
      </c>
      <c r="BE13" s="1129"/>
      <c r="BF13" s="1113" t="s">
        <v>1293</v>
      </c>
      <c r="BG13" s="1114" t="s">
        <v>1160</v>
      </c>
      <c r="BH13" s="1119" t="s">
        <v>1343</v>
      </c>
      <c r="BI13" s="1120" t="n">
        <v>8</v>
      </c>
      <c r="BJ13" s="1119" t="s">
        <v>1344</v>
      </c>
      <c r="BK13" s="1121" t="s">
        <v>1134</v>
      </c>
      <c r="BL13" s="1121" t="s">
        <v>1135</v>
      </c>
    </row>
    <row r="14" s="291" customFormat="true" ht="9.95" hidden="false" customHeight="true" outlineLevel="0" collapsed="false">
      <c r="A14" s="287"/>
      <c r="B14" s="1104" t="s">
        <v>66</v>
      </c>
      <c r="C14" s="1105" t="s">
        <v>1131</v>
      </c>
      <c r="D14" s="1106" t="s">
        <v>1345</v>
      </c>
      <c r="E14" s="1106" t="n">
        <v>7.94</v>
      </c>
      <c r="F14" s="1106" t="s">
        <v>1346</v>
      </c>
      <c r="G14" s="1105" t="s">
        <v>1134</v>
      </c>
      <c r="H14" s="1105" t="s">
        <v>1135</v>
      </c>
      <c r="I14" s="1105"/>
      <c r="J14" s="1108" t="s">
        <v>1347</v>
      </c>
      <c r="K14" s="1105" t="s">
        <v>1137</v>
      </c>
      <c r="L14" s="1106" t="s">
        <v>1348</v>
      </c>
      <c r="M14" s="1106" t="n">
        <v>8.86</v>
      </c>
      <c r="N14" s="1106" t="s">
        <v>1349</v>
      </c>
      <c r="O14" s="1105" t="s">
        <v>1134</v>
      </c>
      <c r="P14" s="1105" t="s">
        <v>1135</v>
      </c>
      <c r="Q14" s="1105"/>
      <c r="R14" s="1127" t="s">
        <v>1347</v>
      </c>
      <c r="S14" s="1105" t="s">
        <v>1140</v>
      </c>
      <c r="T14" s="1106" t="s">
        <v>1350</v>
      </c>
      <c r="U14" s="1107" t="n">
        <v>7.4</v>
      </c>
      <c r="V14" s="1106" t="s">
        <v>1351</v>
      </c>
      <c r="W14" s="1105" t="s">
        <v>1134</v>
      </c>
      <c r="X14" s="1105" t="s">
        <v>1135</v>
      </c>
      <c r="Y14" s="1108"/>
      <c r="Z14" s="1108" t="s">
        <v>1163</v>
      </c>
      <c r="AA14" s="1105" t="s">
        <v>1148</v>
      </c>
      <c r="AB14" s="1106" t="s">
        <v>1235</v>
      </c>
      <c r="AC14" s="1107" t="n">
        <v>5</v>
      </c>
      <c r="AD14" s="1106" t="s">
        <v>1352</v>
      </c>
      <c r="AE14" s="1105" t="s">
        <v>1134</v>
      </c>
      <c r="AF14" s="1105" t="s">
        <v>1135</v>
      </c>
      <c r="AG14" s="1105"/>
      <c r="AH14" s="1108" t="s">
        <v>1353</v>
      </c>
      <c r="AI14" s="1105" t="s">
        <v>1148</v>
      </c>
      <c r="AJ14" s="1106" t="s">
        <v>1354</v>
      </c>
      <c r="AK14" s="1107" t="n">
        <v>12.1</v>
      </c>
      <c r="AL14" s="1106" t="s">
        <v>1355</v>
      </c>
      <c r="AM14" s="1105" t="s">
        <v>1134</v>
      </c>
      <c r="AN14" s="1105" t="s">
        <v>1135</v>
      </c>
      <c r="AO14" s="1105"/>
      <c r="AP14" s="1108" t="s">
        <v>1356</v>
      </c>
      <c r="AQ14" s="1105" t="s">
        <v>1152</v>
      </c>
      <c r="AR14" s="1106" t="s">
        <v>1357</v>
      </c>
      <c r="AS14" s="1106" t="n">
        <v>7.75</v>
      </c>
      <c r="AT14" s="1106" t="s">
        <v>1358</v>
      </c>
      <c r="AU14" s="1105" t="s">
        <v>1134</v>
      </c>
      <c r="AV14" s="1105" t="s">
        <v>1135</v>
      </c>
      <c r="AW14" s="1105"/>
      <c r="AX14" s="1127" t="s">
        <v>1308</v>
      </c>
      <c r="AY14" s="1124" t="s">
        <v>1156</v>
      </c>
      <c r="AZ14" s="1125" t="s">
        <v>1359</v>
      </c>
      <c r="BA14" s="1125" t="n">
        <v>9.65</v>
      </c>
      <c r="BB14" s="1125" t="s">
        <v>1360</v>
      </c>
      <c r="BC14" s="1124" t="s">
        <v>1134</v>
      </c>
      <c r="BD14" s="1124" t="s">
        <v>1135</v>
      </c>
      <c r="BE14" s="1109"/>
      <c r="BF14" s="1104" t="s">
        <v>1313</v>
      </c>
      <c r="BG14" s="1105" t="s">
        <v>1160</v>
      </c>
      <c r="BH14" s="1110" t="s">
        <v>1361</v>
      </c>
      <c r="BI14" s="1111" t="n">
        <v>7.94</v>
      </c>
      <c r="BJ14" s="1110" t="s">
        <v>1362</v>
      </c>
      <c r="BK14" s="1112" t="s">
        <v>1134</v>
      </c>
      <c r="BL14" s="1112" t="s">
        <v>1135</v>
      </c>
    </row>
    <row r="15" s="291" customFormat="true" ht="9.95" hidden="false" customHeight="true" outlineLevel="0" collapsed="false">
      <c r="B15" s="1113" t="s">
        <v>1363</v>
      </c>
      <c r="C15" s="1130" t="s">
        <v>1131</v>
      </c>
      <c r="D15" s="1131" t="s">
        <v>1250</v>
      </c>
      <c r="E15" s="1132" t="n">
        <v>8.3698</v>
      </c>
      <c r="F15" s="1131" t="s">
        <v>1364</v>
      </c>
      <c r="G15" s="1114" t="s">
        <v>1134</v>
      </c>
      <c r="H15" s="1114" t="s">
        <v>1135</v>
      </c>
      <c r="I15" s="1114"/>
      <c r="J15" s="1117" t="s">
        <v>1365</v>
      </c>
      <c r="K15" s="1114" t="s">
        <v>1137</v>
      </c>
      <c r="L15" s="1131" t="s">
        <v>1366</v>
      </c>
      <c r="M15" s="1131" t="n">
        <v>8.34</v>
      </c>
      <c r="N15" s="1131" t="s">
        <v>1367</v>
      </c>
      <c r="O15" s="1114" t="s">
        <v>1134</v>
      </c>
      <c r="P15" s="1114" t="s">
        <v>1135</v>
      </c>
      <c r="Q15" s="1114"/>
      <c r="R15" s="1117" t="s">
        <v>1365</v>
      </c>
      <c r="S15" s="1114" t="s">
        <v>1140</v>
      </c>
      <c r="T15" s="1115" t="s">
        <v>1368</v>
      </c>
      <c r="U15" s="1115" t="n">
        <v>7.39</v>
      </c>
      <c r="V15" s="1115" t="s">
        <v>1369</v>
      </c>
      <c r="W15" s="1114" t="s">
        <v>1134</v>
      </c>
      <c r="X15" s="1114" t="s">
        <v>1135</v>
      </c>
      <c r="Y15" s="1117"/>
      <c r="Z15" s="1117" t="s">
        <v>1187</v>
      </c>
      <c r="AA15" s="1114" t="s">
        <v>1148</v>
      </c>
      <c r="AB15" s="1115" t="s">
        <v>1370</v>
      </c>
      <c r="AC15" s="1116" t="n">
        <v>13.2</v>
      </c>
      <c r="AD15" s="1115" t="s">
        <v>1371</v>
      </c>
      <c r="AE15" s="1114" t="s">
        <v>1134</v>
      </c>
      <c r="AF15" s="1114" t="s">
        <v>1135</v>
      </c>
      <c r="AG15" s="1114"/>
      <c r="AH15" s="1117" t="s">
        <v>1372</v>
      </c>
      <c r="AI15" s="1114" t="s">
        <v>1148</v>
      </c>
      <c r="AJ15" s="1115" t="s">
        <v>1373</v>
      </c>
      <c r="AK15" s="1116" t="n">
        <v>12.2</v>
      </c>
      <c r="AL15" s="1115" t="s">
        <v>1374</v>
      </c>
      <c r="AM15" s="1114" t="s">
        <v>1134</v>
      </c>
      <c r="AN15" s="1114" t="s">
        <v>1135</v>
      </c>
      <c r="AO15" s="1114"/>
      <c r="AP15" s="1117" t="s">
        <v>1375</v>
      </c>
      <c r="AQ15" s="1114" t="s">
        <v>1152</v>
      </c>
      <c r="AR15" s="1115" t="s">
        <v>1376</v>
      </c>
      <c r="AS15" s="1116" t="n">
        <v>8.1</v>
      </c>
      <c r="AT15" s="1115" t="s">
        <v>1377</v>
      </c>
      <c r="AU15" s="1114" t="s">
        <v>1134</v>
      </c>
      <c r="AV15" s="1114" t="s">
        <v>1135</v>
      </c>
      <c r="AW15" s="1114"/>
      <c r="AX15" s="1117" t="s">
        <v>1327</v>
      </c>
      <c r="AY15" s="1114" t="s">
        <v>1156</v>
      </c>
      <c r="AZ15" s="1115" t="s">
        <v>1378</v>
      </c>
      <c r="BA15" s="1116" t="n">
        <v>10</v>
      </c>
      <c r="BB15" s="1115" t="s">
        <v>1379</v>
      </c>
      <c r="BC15" s="1114" t="s">
        <v>1134</v>
      </c>
      <c r="BD15" s="1114" t="s">
        <v>1135</v>
      </c>
      <c r="BE15" s="1118"/>
      <c r="BF15" s="1113" t="s">
        <v>1380</v>
      </c>
      <c r="BG15" s="1114" t="s">
        <v>1160</v>
      </c>
      <c r="BH15" s="1119" t="s">
        <v>1381</v>
      </c>
      <c r="BI15" s="1120" t="n">
        <v>7.89</v>
      </c>
      <c r="BJ15" s="1119" t="s">
        <v>1382</v>
      </c>
      <c r="BK15" s="1121" t="s">
        <v>1134</v>
      </c>
      <c r="BL15" s="1121" t="s">
        <v>1135</v>
      </c>
    </row>
    <row r="16" s="291" customFormat="true" ht="9.95" hidden="false" customHeight="true" outlineLevel="0" collapsed="false">
      <c r="A16" s="287"/>
      <c r="B16" s="1133" t="s">
        <v>72</v>
      </c>
      <c r="C16" s="1105" t="s">
        <v>1131</v>
      </c>
      <c r="D16" s="1106" t="s">
        <v>1383</v>
      </c>
      <c r="E16" s="1106" t="n">
        <v>8.73</v>
      </c>
      <c r="F16" s="1106" t="s">
        <v>1384</v>
      </c>
      <c r="G16" s="1105" t="s">
        <v>1134</v>
      </c>
      <c r="H16" s="1105" t="s">
        <v>1135</v>
      </c>
      <c r="I16" s="1105"/>
      <c r="J16" s="1108" t="s">
        <v>1385</v>
      </c>
      <c r="K16" s="1124" t="s">
        <v>1137</v>
      </c>
      <c r="L16" s="1125" t="s">
        <v>1386</v>
      </c>
      <c r="M16" s="1107" t="n">
        <v>8.05</v>
      </c>
      <c r="N16" s="1106" t="s">
        <v>1387</v>
      </c>
      <c r="O16" s="1124" t="s">
        <v>1134</v>
      </c>
      <c r="P16" s="1124" t="s">
        <v>1135</v>
      </c>
      <c r="Q16" s="1105"/>
      <c r="R16" s="1108" t="s">
        <v>1385</v>
      </c>
      <c r="S16" s="1105" t="s">
        <v>1140</v>
      </c>
      <c r="T16" s="1106" t="s">
        <v>1388</v>
      </c>
      <c r="U16" s="1106" t="n">
        <v>5.95</v>
      </c>
      <c r="V16" s="1106" t="s">
        <v>1389</v>
      </c>
      <c r="W16" s="1105" t="s">
        <v>1134</v>
      </c>
      <c r="X16" s="1105" t="s">
        <v>1135</v>
      </c>
      <c r="Y16" s="1108"/>
      <c r="Z16" s="1108" t="s">
        <v>48</v>
      </c>
      <c r="AA16" s="1105" t="s">
        <v>1390</v>
      </c>
      <c r="AB16" s="1106" t="s">
        <v>1391</v>
      </c>
      <c r="AC16" s="1106" t="n">
        <v>12.94</v>
      </c>
      <c r="AD16" s="1106" t="s">
        <v>1392</v>
      </c>
      <c r="AE16" s="1105" t="s">
        <v>1134</v>
      </c>
      <c r="AF16" s="1105" t="s">
        <v>1135</v>
      </c>
      <c r="AG16" s="1105"/>
      <c r="AH16" s="1108" t="s">
        <v>1393</v>
      </c>
      <c r="AI16" s="1105" t="s">
        <v>1148</v>
      </c>
      <c r="AJ16" s="1106" t="s">
        <v>1394</v>
      </c>
      <c r="AK16" s="1107" t="n">
        <v>12.3</v>
      </c>
      <c r="AL16" s="1106" t="s">
        <v>1395</v>
      </c>
      <c r="AM16" s="1105" t="s">
        <v>1134</v>
      </c>
      <c r="AN16" s="1105" t="s">
        <v>1135</v>
      </c>
      <c r="AO16" s="1105"/>
      <c r="AP16" s="1108" t="s">
        <v>1396</v>
      </c>
      <c r="AQ16" s="1105" t="s">
        <v>1152</v>
      </c>
      <c r="AR16" s="1106" t="s">
        <v>1397</v>
      </c>
      <c r="AS16" s="1106" t="n">
        <v>8.44</v>
      </c>
      <c r="AT16" s="1106" t="s">
        <v>1398</v>
      </c>
      <c r="AU16" s="1105" t="s">
        <v>1134</v>
      </c>
      <c r="AV16" s="1105" t="s">
        <v>1135</v>
      </c>
      <c r="AW16" s="1105"/>
      <c r="AX16" s="1108" t="s">
        <v>1347</v>
      </c>
      <c r="AY16" s="1105" t="s">
        <v>1156</v>
      </c>
      <c r="AZ16" s="1106" t="s">
        <v>1399</v>
      </c>
      <c r="BA16" s="1106" t="n">
        <v>10.25</v>
      </c>
      <c r="BB16" s="1106" t="s">
        <v>1400</v>
      </c>
      <c r="BC16" s="1105" t="s">
        <v>1134</v>
      </c>
      <c r="BD16" s="1105" t="s">
        <v>1135</v>
      </c>
      <c r="BE16" s="1109"/>
      <c r="BF16" s="1104" t="s">
        <v>1401</v>
      </c>
      <c r="BG16" s="1105" t="s">
        <v>1160</v>
      </c>
      <c r="BH16" s="1110" t="s">
        <v>1402</v>
      </c>
      <c r="BI16" s="1111" t="n">
        <v>7.78</v>
      </c>
      <c r="BJ16" s="1110" t="s">
        <v>1403</v>
      </c>
      <c r="BK16" s="1112" t="s">
        <v>1134</v>
      </c>
      <c r="BL16" s="1112" t="s">
        <v>1135</v>
      </c>
    </row>
    <row r="17" s="291" customFormat="true" ht="9.95" hidden="false" customHeight="true" outlineLevel="0" collapsed="false">
      <c r="B17" s="1134" t="s">
        <v>74</v>
      </c>
      <c r="C17" s="1114" t="s">
        <v>1131</v>
      </c>
      <c r="D17" s="1115" t="s">
        <v>1404</v>
      </c>
      <c r="E17" s="1116" t="n">
        <v>8.6</v>
      </c>
      <c r="F17" s="1115" t="s">
        <v>1405</v>
      </c>
      <c r="G17" s="1114" t="s">
        <v>1134</v>
      </c>
      <c r="H17" s="1114" t="s">
        <v>1135</v>
      </c>
      <c r="I17" s="1114"/>
      <c r="J17" s="1135" t="s">
        <v>1147</v>
      </c>
      <c r="K17" s="1130" t="s">
        <v>1137</v>
      </c>
      <c r="L17" s="1136" t="s">
        <v>1406</v>
      </c>
      <c r="M17" s="1136" t="n">
        <v>7.19</v>
      </c>
      <c r="N17" s="1136" t="s">
        <v>1407</v>
      </c>
      <c r="O17" s="1114" t="s">
        <v>1134</v>
      </c>
      <c r="P17" s="1114" t="s">
        <v>1135</v>
      </c>
      <c r="Q17" s="1114"/>
      <c r="R17" s="1117" t="s">
        <v>1147</v>
      </c>
      <c r="S17" s="1114" t="s">
        <v>1140</v>
      </c>
      <c r="T17" s="1115" t="s">
        <v>1408</v>
      </c>
      <c r="U17" s="1115" t="n">
        <v>5.95</v>
      </c>
      <c r="V17" s="1115" t="s">
        <v>1409</v>
      </c>
      <c r="W17" s="1114" t="s">
        <v>1134</v>
      </c>
      <c r="X17" s="1114" t="s">
        <v>1135</v>
      </c>
      <c r="Y17" s="1117"/>
      <c r="Z17" s="1117" t="s">
        <v>50</v>
      </c>
      <c r="AA17" s="1114" t="s">
        <v>1148</v>
      </c>
      <c r="AB17" s="1115" t="s">
        <v>1410</v>
      </c>
      <c r="AC17" s="1115" t="n">
        <v>12.89</v>
      </c>
      <c r="AD17" s="1115" t="s">
        <v>1411</v>
      </c>
      <c r="AE17" s="1114" t="s">
        <v>1134</v>
      </c>
      <c r="AF17" s="1114" t="s">
        <v>1135</v>
      </c>
      <c r="AG17" s="1114"/>
      <c r="AH17" s="1117" t="s">
        <v>1412</v>
      </c>
      <c r="AI17" s="1114" t="s">
        <v>1148</v>
      </c>
      <c r="AJ17" s="1115" t="s">
        <v>1413</v>
      </c>
      <c r="AK17" s="1115" t="n">
        <v>12.38</v>
      </c>
      <c r="AL17" s="1115" t="s">
        <v>1414</v>
      </c>
      <c r="AM17" s="1114" t="s">
        <v>1134</v>
      </c>
      <c r="AN17" s="1114" t="s">
        <v>1135</v>
      </c>
      <c r="AO17" s="1114"/>
      <c r="AP17" s="1117" t="s">
        <v>1415</v>
      </c>
      <c r="AQ17" s="1114" t="s">
        <v>1152</v>
      </c>
      <c r="AR17" s="1115" t="s">
        <v>1416</v>
      </c>
      <c r="AS17" s="1116" t="n">
        <v>8.9</v>
      </c>
      <c r="AT17" s="1115" t="s">
        <v>1417</v>
      </c>
      <c r="AU17" s="1114" t="s">
        <v>1134</v>
      </c>
      <c r="AV17" s="1114" t="s">
        <v>1135</v>
      </c>
      <c r="AW17" s="1114"/>
      <c r="AX17" s="1117" t="s">
        <v>1365</v>
      </c>
      <c r="AY17" s="1114" t="s">
        <v>1156</v>
      </c>
      <c r="AZ17" s="1115" t="s">
        <v>1418</v>
      </c>
      <c r="BA17" s="1115" t="n">
        <v>10.85</v>
      </c>
      <c r="BB17" s="1115" t="s">
        <v>1419</v>
      </c>
      <c r="BC17" s="1114" t="s">
        <v>1134</v>
      </c>
      <c r="BD17" s="1114" t="s">
        <v>1135</v>
      </c>
      <c r="BE17" s="1118"/>
      <c r="BF17" s="1113" t="s">
        <v>1420</v>
      </c>
      <c r="BG17" s="1114" t="s">
        <v>1160</v>
      </c>
      <c r="BH17" s="1119" t="s">
        <v>1421</v>
      </c>
      <c r="BI17" s="1120" t="n">
        <v>7.6</v>
      </c>
      <c r="BJ17" s="1119" t="s">
        <v>1422</v>
      </c>
      <c r="BK17" s="1121" t="s">
        <v>1134</v>
      </c>
      <c r="BL17" s="1121" t="s">
        <v>1135</v>
      </c>
    </row>
    <row r="18" s="291" customFormat="true" ht="9.95" hidden="false" customHeight="true" outlineLevel="0" collapsed="false">
      <c r="A18" s="287"/>
      <c r="B18" s="1133" t="s">
        <v>76</v>
      </c>
      <c r="C18" s="1105" t="s">
        <v>1131</v>
      </c>
      <c r="D18" s="1106" t="s">
        <v>1423</v>
      </c>
      <c r="E18" s="1106" t="n">
        <v>8.23</v>
      </c>
      <c r="F18" s="1106" t="s">
        <v>1424</v>
      </c>
      <c r="G18" s="1105" t="s">
        <v>1134</v>
      </c>
      <c r="H18" s="1105" t="s">
        <v>1135</v>
      </c>
      <c r="I18" s="1105"/>
      <c r="J18" s="1108" t="s">
        <v>1175</v>
      </c>
      <c r="K18" s="1105" t="s">
        <v>1425</v>
      </c>
      <c r="L18" s="1106" t="s">
        <v>1145</v>
      </c>
      <c r="M18" s="1107" t="n">
        <v>7</v>
      </c>
      <c r="N18" s="1106" t="s">
        <v>1426</v>
      </c>
      <c r="O18" s="1105" t="s">
        <v>1134</v>
      </c>
      <c r="P18" s="1124" t="s">
        <v>1135</v>
      </c>
      <c r="Q18" s="1105"/>
      <c r="R18" s="1108" t="s">
        <v>1175</v>
      </c>
      <c r="S18" s="1137" t="s">
        <v>1140</v>
      </c>
      <c r="T18" s="1138" t="s">
        <v>1427</v>
      </c>
      <c r="U18" s="1139" t="n">
        <v>5.95</v>
      </c>
      <c r="V18" s="1138" t="s">
        <v>1428</v>
      </c>
      <c r="W18" s="1137" t="s">
        <v>1134</v>
      </c>
      <c r="X18" s="1137" t="s">
        <v>1135</v>
      </c>
      <c r="Y18" s="1108"/>
      <c r="Z18" s="1108" t="s">
        <v>52</v>
      </c>
      <c r="AA18" s="1105" t="s">
        <v>1148</v>
      </c>
      <c r="AB18" s="1106" t="s">
        <v>1429</v>
      </c>
      <c r="AC18" s="1106" t="n">
        <v>12.22</v>
      </c>
      <c r="AD18" s="1106" t="s">
        <v>1430</v>
      </c>
      <c r="AE18" s="1105" t="s">
        <v>1134</v>
      </c>
      <c r="AF18" s="1105" t="s">
        <v>1135</v>
      </c>
      <c r="AG18" s="1105"/>
      <c r="AH18" s="1108" t="s">
        <v>1431</v>
      </c>
      <c r="AI18" s="1105" t="s">
        <v>1148</v>
      </c>
      <c r="AJ18" s="1106" t="s">
        <v>1432</v>
      </c>
      <c r="AK18" s="1106" t="n">
        <v>12.38</v>
      </c>
      <c r="AL18" s="1106" t="s">
        <v>1433</v>
      </c>
      <c r="AM18" s="1105" t="s">
        <v>1134</v>
      </c>
      <c r="AN18" s="1105" t="s">
        <v>1135</v>
      </c>
      <c r="AO18" s="1105"/>
      <c r="AP18" s="1108" t="s">
        <v>1434</v>
      </c>
      <c r="AQ18" s="1105" t="s">
        <v>1152</v>
      </c>
      <c r="AR18" s="1106" t="s">
        <v>1435</v>
      </c>
      <c r="AS18" s="1106" t="n">
        <v>9.28</v>
      </c>
      <c r="AT18" s="1106" t="s">
        <v>1436</v>
      </c>
      <c r="AU18" s="1105" t="s">
        <v>1134</v>
      </c>
      <c r="AV18" s="1105" t="s">
        <v>1135</v>
      </c>
      <c r="AW18" s="1105"/>
      <c r="AX18" s="1108" t="s">
        <v>1385</v>
      </c>
      <c r="AY18" s="1105" t="s">
        <v>1156</v>
      </c>
      <c r="AZ18" s="1106" t="s">
        <v>1437</v>
      </c>
      <c r="BA18" s="1107" t="n">
        <v>11.5</v>
      </c>
      <c r="BB18" s="1106" t="s">
        <v>1438</v>
      </c>
      <c r="BC18" s="1105" t="s">
        <v>1134</v>
      </c>
      <c r="BD18" s="1105" t="s">
        <v>1135</v>
      </c>
      <c r="BE18" s="1109"/>
      <c r="BF18" s="1104" t="s">
        <v>1439</v>
      </c>
      <c r="BG18" s="1105" t="s">
        <v>1160</v>
      </c>
      <c r="BH18" s="1110" t="s">
        <v>1440</v>
      </c>
      <c r="BI18" s="1111" t="n">
        <v>8.05</v>
      </c>
      <c r="BJ18" s="1110" t="s">
        <v>1441</v>
      </c>
      <c r="BK18" s="1112" t="s">
        <v>1134</v>
      </c>
      <c r="BL18" s="1112" t="s">
        <v>1135</v>
      </c>
    </row>
    <row r="19" s="291" customFormat="true" ht="9.95" hidden="false" customHeight="true" outlineLevel="0" collapsed="false">
      <c r="B19" s="1134" t="s">
        <v>78</v>
      </c>
      <c r="C19" s="1114" t="s">
        <v>1131</v>
      </c>
      <c r="D19" s="1115" t="s">
        <v>1442</v>
      </c>
      <c r="E19" s="1115" t="n">
        <v>8.33</v>
      </c>
      <c r="F19" s="1115" t="s">
        <v>1443</v>
      </c>
      <c r="G19" s="1114" t="s">
        <v>1134</v>
      </c>
      <c r="H19" s="1114" t="s">
        <v>1135</v>
      </c>
      <c r="I19" s="1130"/>
      <c r="J19" s="1117" t="s">
        <v>1197</v>
      </c>
      <c r="K19" s="1114" t="s">
        <v>1444</v>
      </c>
      <c r="L19" s="1115" t="s">
        <v>1145</v>
      </c>
      <c r="M19" s="1116" t="n">
        <v>7</v>
      </c>
      <c r="N19" s="1115" t="s">
        <v>1426</v>
      </c>
      <c r="O19" s="1114" t="s">
        <v>1134</v>
      </c>
      <c r="P19" s="1114" t="s">
        <v>1135</v>
      </c>
      <c r="Q19" s="1130"/>
      <c r="R19" s="1117" t="s">
        <v>1197</v>
      </c>
      <c r="S19" s="1114" t="s">
        <v>1140</v>
      </c>
      <c r="T19" s="1115" t="s">
        <v>1445</v>
      </c>
      <c r="U19" s="1115" t="n">
        <v>7.05</v>
      </c>
      <c r="V19" s="1115" t="s">
        <v>1446</v>
      </c>
      <c r="W19" s="1114" t="s">
        <v>1134</v>
      </c>
      <c r="X19" s="1114" t="s">
        <v>1135</v>
      </c>
      <c r="Y19" s="1117"/>
      <c r="Z19" s="1117" t="s">
        <v>54</v>
      </c>
      <c r="AA19" s="1114" t="s">
        <v>1148</v>
      </c>
      <c r="AB19" s="1115" t="s">
        <v>1447</v>
      </c>
      <c r="AC19" s="1115" t="n">
        <v>12.22</v>
      </c>
      <c r="AD19" s="1115" t="s">
        <v>1448</v>
      </c>
      <c r="AE19" s="1114" t="s">
        <v>1134</v>
      </c>
      <c r="AF19" s="1114" t="s">
        <v>1135</v>
      </c>
      <c r="AG19" s="1130"/>
      <c r="AH19" s="1117" t="s">
        <v>1449</v>
      </c>
      <c r="AI19" s="1114" t="s">
        <v>1148</v>
      </c>
      <c r="AJ19" s="1115" t="s">
        <v>1450</v>
      </c>
      <c r="AK19" s="1115" t="n">
        <v>12.38</v>
      </c>
      <c r="AL19" s="1115" t="s">
        <v>1451</v>
      </c>
      <c r="AM19" s="1114" t="s">
        <v>1134</v>
      </c>
      <c r="AN19" s="1114" t="s">
        <v>1135</v>
      </c>
      <c r="AO19" s="1130"/>
      <c r="AP19" s="1117" t="s">
        <v>1452</v>
      </c>
      <c r="AQ19" s="1114" t="s">
        <v>1152</v>
      </c>
      <c r="AR19" s="1115" t="s">
        <v>1453</v>
      </c>
      <c r="AS19" s="1115" t="n">
        <v>9.53</v>
      </c>
      <c r="AT19" s="1115" t="s">
        <v>1454</v>
      </c>
      <c r="AU19" s="1114" t="s">
        <v>1134</v>
      </c>
      <c r="AV19" s="1114" t="s">
        <v>1135</v>
      </c>
      <c r="AW19" s="1130"/>
      <c r="AX19" s="1117" t="s">
        <v>1147</v>
      </c>
      <c r="AY19" s="1114" t="s">
        <v>1156</v>
      </c>
      <c r="AZ19" s="1115" t="s">
        <v>1455</v>
      </c>
      <c r="BA19" s="1116" t="n">
        <v>11.5</v>
      </c>
      <c r="BB19" s="1115" t="s">
        <v>1456</v>
      </c>
      <c r="BC19" s="1114" t="s">
        <v>1134</v>
      </c>
      <c r="BD19" s="1114" t="s">
        <v>1135</v>
      </c>
      <c r="BE19" s="1118"/>
      <c r="BF19" s="1113" t="s">
        <v>1151</v>
      </c>
      <c r="BG19" s="1114" t="s">
        <v>1160</v>
      </c>
      <c r="BH19" s="1119" t="s">
        <v>1457</v>
      </c>
      <c r="BI19" s="1120" t="n">
        <v>8.07</v>
      </c>
      <c r="BJ19" s="1119" t="s">
        <v>1458</v>
      </c>
      <c r="BK19" s="1121" t="s">
        <v>1134</v>
      </c>
      <c r="BL19" s="1121" t="s">
        <v>1135</v>
      </c>
    </row>
    <row r="20" s="207" customFormat="true" ht="9.95" hidden="false" customHeight="true" outlineLevel="0" collapsed="false">
      <c r="A20" s="287"/>
      <c r="B20" s="1133" t="s">
        <v>80</v>
      </c>
      <c r="C20" s="1105" t="s">
        <v>1131</v>
      </c>
      <c r="D20" s="1106" t="s">
        <v>1459</v>
      </c>
      <c r="E20" s="1106" t="n">
        <v>8.27</v>
      </c>
      <c r="F20" s="1106" t="s">
        <v>1460</v>
      </c>
      <c r="G20" s="1105" t="s">
        <v>1134</v>
      </c>
      <c r="H20" s="1105" t="s">
        <v>1135</v>
      </c>
      <c r="I20" s="1105"/>
      <c r="J20" s="1108" t="s">
        <v>1216</v>
      </c>
      <c r="K20" s="1105" t="s">
        <v>1461</v>
      </c>
      <c r="L20" s="1106" t="s">
        <v>1145</v>
      </c>
      <c r="M20" s="1107" t="n">
        <v>7</v>
      </c>
      <c r="N20" s="1106" t="s">
        <v>1426</v>
      </c>
      <c r="O20" s="1105" t="s">
        <v>1134</v>
      </c>
      <c r="P20" s="1105" t="s">
        <v>1135</v>
      </c>
      <c r="Q20" s="1105"/>
      <c r="R20" s="1108" t="s">
        <v>1216</v>
      </c>
      <c r="S20" s="1105" t="s">
        <v>1140</v>
      </c>
      <c r="T20" s="1106" t="s">
        <v>1462</v>
      </c>
      <c r="U20" s="1106" t="n">
        <v>7.29</v>
      </c>
      <c r="V20" s="1106" t="s">
        <v>1463</v>
      </c>
      <c r="W20" s="1105" t="s">
        <v>1134</v>
      </c>
      <c r="X20" s="1105" t="s">
        <v>1135</v>
      </c>
      <c r="Y20" s="1104"/>
      <c r="Z20" s="1104" t="s">
        <v>56</v>
      </c>
      <c r="AA20" s="1140" t="s">
        <v>1148</v>
      </c>
      <c r="AB20" s="1141" t="s">
        <v>1464</v>
      </c>
      <c r="AC20" s="1142" t="n">
        <v>12.22</v>
      </c>
      <c r="AD20" s="1141" t="s">
        <v>1465</v>
      </c>
      <c r="AE20" s="1137" t="s">
        <v>1134</v>
      </c>
      <c r="AF20" s="1137" t="s">
        <v>1135</v>
      </c>
      <c r="AG20" s="1105"/>
      <c r="AH20" s="1104" t="s">
        <v>1466</v>
      </c>
      <c r="AI20" s="1140" t="s">
        <v>1148</v>
      </c>
      <c r="AJ20" s="1141" t="s">
        <v>1467</v>
      </c>
      <c r="AK20" s="1142" t="n">
        <v>12.4</v>
      </c>
      <c r="AL20" s="1141" t="s">
        <v>1468</v>
      </c>
      <c r="AM20" s="1137" t="s">
        <v>1134</v>
      </c>
      <c r="AN20" s="1137" t="s">
        <v>1135</v>
      </c>
      <c r="AO20" s="1105"/>
      <c r="AP20" s="1104" t="s">
        <v>1469</v>
      </c>
      <c r="AQ20" s="1140" t="s">
        <v>1152</v>
      </c>
      <c r="AR20" s="1141" t="s">
        <v>1470</v>
      </c>
      <c r="AS20" s="1142" t="n">
        <v>9.53</v>
      </c>
      <c r="AT20" s="1141" t="s">
        <v>1471</v>
      </c>
      <c r="AU20" s="1137" t="s">
        <v>1134</v>
      </c>
      <c r="AV20" s="1137" t="s">
        <v>1135</v>
      </c>
      <c r="AW20" s="1105"/>
      <c r="AX20" s="1108" t="s">
        <v>1175</v>
      </c>
      <c r="AY20" s="1105" t="s">
        <v>1156</v>
      </c>
      <c r="AZ20" s="1106" t="s">
        <v>1472</v>
      </c>
      <c r="BA20" s="1107" t="n">
        <v>11.5</v>
      </c>
      <c r="BB20" s="1106" t="s">
        <v>1473</v>
      </c>
      <c r="BC20" s="1105" t="s">
        <v>1134</v>
      </c>
      <c r="BD20" s="1105" t="s">
        <v>1135</v>
      </c>
      <c r="BE20" s="1109"/>
      <c r="BF20" s="1104" t="s">
        <v>1178</v>
      </c>
      <c r="BG20" s="1105" t="s">
        <v>1160</v>
      </c>
      <c r="BH20" s="1110" t="s">
        <v>1474</v>
      </c>
      <c r="BI20" s="1111" t="n">
        <v>8.34</v>
      </c>
      <c r="BJ20" s="1110" t="s">
        <v>1475</v>
      </c>
      <c r="BK20" s="1112" t="s">
        <v>1134</v>
      </c>
      <c r="BL20" s="1112" t="s">
        <v>1135</v>
      </c>
    </row>
    <row r="21" s="291" customFormat="true" ht="9.95" hidden="false" customHeight="true" outlineLevel="0" collapsed="false">
      <c r="B21" s="1134" t="s">
        <v>82</v>
      </c>
      <c r="C21" s="1114" t="s">
        <v>1131</v>
      </c>
      <c r="D21" s="1115" t="s">
        <v>1476</v>
      </c>
      <c r="E21" s="1115" t="n">
        <v>7.94</v>
      </c>
      <c r="F21" s="1115" t="s">
        <v>1477</v>
      </c>
      <c r="G21" s="1114" t="s">
        <v>1134</v>
      </c>
      <c r="H21" s="1114" t="s">
        <v>1135</v>
      </c>
      <c r="I21" s="1114"/>
      <c r="J21" s="1117" t="s">
        <v>1237</v>
      </c>
      <c r="K21" s="1114" t="s">
        <v>1478</v>
      </c>
      <c r="L21" s="1115" t="s">
        <v>1173</v>
      </c>
      <c r="M21" s="1116" t="n">
        <v>5</v>
      </c>
      <c r="N21" s="1115" t="s">
        <v>1479</v>
      </c>
      <c r="O21" s="1114" t="s">
        <v>1134</v>
      </c>
      <c r="P21" s="1114" t="s">
        <v>1135</v>
      </c>
      <c r="Q21" s="1114"/>
      <c r="R21" s="1117" t="s">
        <v>1237</v>
      </c>
      <c r="S21" s="1114" t="s">
        <v>1140</v>
      </c>
      <c r="T21" s="1115" t="s">
        <v>1480</v>
      </c>
      <c r="U21" s="1115" t="n">
        <v>7.59</v>
      </c>
      <c r="V21" s="1115" t="s">
        <v>1481</v>
      </c>
      <c r="W21" s="1114" t="s">
        <v>1134</v>
      </c>
      <c r="X21" s="1114" t="s">
        <v>1135</v>
      </c>
      <c r="Y21" s="1117"/>
      <c r="Z21" s="1117" t="s">
        <v>1305</v>
      </c>
      <c r="AA21" s="1114" t="s">
        <v>1148</v>
      </c>
      <c r="AB21" s="1115" t="s">
        <v>1482</v>
      </c>
      <c r="AC21" s="1115" t="n">
        <v>12.22</v>
      </c>
      <c r="AD21" s="1115" t="s">
        <v>1483</v>
      </c>
      <c r="AE21" s="1114" t="s">
        <v>1134</v>
      </c>
      <c r="AF21" s="1114" t="s">
        <v>1135</v>
      </c>
      <c r="AG21" s="1114"/>
      <c r="AH21" s="1117" t="s">
        <v>1484</v>
      </c>
      <c r="AI21" s="1114" t="s">
        <v>1148</v>
      </c>
      <c r="AJ21" s="1115" t="s">
        <v>1485</v>
      </c>
      <c r="AK21" s="1116" t="n">
        <v>12.4</v>
      </c>
      <c r="AL21" s="1115" t="s">
        <v>1486</v>
      </c>
      <c r="AM21" s="1114" t="s">
        <v>1134</v>
      </c>
      <c r="AN21" s="1114" t="s">
        <v>1135</v>
      </c>
      <c r="AO21" s="1114"/>
      <c r="AP21" s="1117" t="s">
        <v>1487</v>
      </c>
      <c r="AQ21" s="1114" t="s">
        <v>1152</v>
      </c>
      <c r="AR21" s="1115" t="s">
        <v>1488</v>
      </c>
      <c r="AS21" s="1115" t="n">
        <v>9.25</v>
      </c>
      <c r="AT21" s="1115" t="s">
        <v>1489</v>
      </c>
      <c r="AU21" s="1114" t="s">
        <v>1134</v>
      </c>
      <c r="AV21" s="1114" t="s">
        <v>1135</v>
      </c>
      <c r="AW21" s="1114"/>
      <c r="AX21" s="1117" t="s">
        <v>1197</v>
      </c>
      <c r="AY21" s="1114" t="s">
        <v>1156</v>
      </c>
      <c r="AZ21" s="1115" t="s">
        <v>1490</v>
      </c>
      <c r="BA21" s="1115" t="n">
        <v>11.95</v>
      </c>
      <c r="BB21" s="1115" t="s">
        <v>1491</v>
      </c>
      <c r="BC21" s="1114" t="s">
        <v>1134</v>
      </c>
      <c r="BD21" s="1114" t="s">
        <v>1135</v>
      </c>
      <c r="BE21" s="1118"/>
      <c r="BF21" s="1113" t="s">
        <v>1200</v>
      </c>
      <c r="BG21" s="1114" t="s">
        <v>1160</v>
      </c>
      <c r="BH21" s="1119" t="s">
        <v>1153</v>
      </c>
      <c r="BI21" s="1120" t="n">
        <v>8.54</v>
      </c>
      <c r="BJ21" s="1119" t="s">
        <v>1492</v>
      </c>
      <c r="BK21" s="1121" t="s">
        <v>1134</v>
      </c>
      <c r="BL21" s="1121" t="s">
        <v>1135</v>
      </c>
    </row>
    <row r="22" s="291" customFormat="true" ht="9.95" hidden="false" customHeight="true" outlineLevel="0" collapsed="false">
      <c r="A22" s="287"/>
      <c r="B22" s="1133" t="s">
        <v>84</v>
      </c>
      <c r="C22" s="1105" t="s">
        <v>1131</v>
      </c>
      <c r="D22" s="1106" t="s">
        <v>1493</v>
      </c>
      <c r="E22" s="1106" t="n">
        <v>7.84</v>
      </c>
      <c r="F22" s="1106" t="s">
        <v>1494</v>
      </c>
      <c r="G22" s="1105" t="s">
        <v>1134</v>
      </c>
      <c r="H22" s="1105" t="s">
        <v>1135</v>
      </c>
      <c r="I22" s="1105"/>
      <c r="J22" s="1108" t="s">
        <v>1257</v>
      </c>
      <c r="K22" s="1140" t="s">
        <v>1495</v>
      </c>
      <c r="L22" s="1141" t="s">
        <v>1173</v>
      </c>
      <c r="M22" s="1126" t="n">
        <v>5</v>
      </c>
      <c r="N22" s="1141" t="s">
        <v>1479</v>
      </c>
      <c r="O22" s="1140" t="s">
        <v>1134</v>
      </c>
      <c r="P22" s="1105" t="s">
        <v>1135</v>
      </c>
      <c r="Q22" s="1105"/>
      <c r="R22" s="1104" t="s">
        <v>1257</v>
      </c>
      <c r="S22" s="1105" t="s">
        <v>1140</v>
      </c>
      <c r="T22" s="1106" t="s">
        <v>1496</v>
      </c>
      <c r="U22" s="1106" t="n">
        <v>7.36</v>
      </c>
      <c r="V22" s="1106" t="s">
        <v>1497</v>
      </c>
      <c r="W22" s="1105" t="s">
        <v>1134</v>
      </c>
      <c r="X22" s="1105" t="s">
        <v>1135</v>
      </c>
      <c r="Y22" s="1108"/>
      <c r="Z22" s="1108" t="s">
        <v>64</v>
      </c>
      <c r="AA22" s="1105" t="s">
        <v>1148</v>
      </c>
      <c r="AB22" s="1106" t="s">
        <v>1498</v>
      </c>
      <c r="AC22" s="1106" t="n">
        <v>12.22</v>
      </c>
      <c r="AD22" s="1106" t="s">
        <v>1499</v>
      </c>
      <c r="AE22" s="1105" t="s">
        <v>1134</v>
      </c>
      <c r="AF22" s="1105" t="s">
        <v>1135</v>
      </c>
      <c r="AG22" s="1105"/>
      <c r="AH22" s="1108" t="s">
        <v>1500</v>
      </c>
      <c r="AI22" s="1105" t="s">
        <v>1152</v>
      </c>
      <c r="AJ22" s="1106" t="s">
        <v>1501</v>
      </c>
      <c r="AK22" s="1107" t="n">
        <v>12.4</v>
      </c>
      <c r="AL22" s="1106" t="s">
        <v>1502</v>
      </c>
      <c r="AM22" s="1105" t="s">
        <v>1134</v>
      </c>
      <c r="AN22" s="1105" t="s">
        <v>1135</v>
      </c>
      <c r="AO22" s="1105"/>
      <c r="AP22" s="1108" t="s">
        <v>1503</v>
      </c>
      <c r="AQ22" s="1105" t="s">
        <v>1152</v>
      </c>
      <c r="AR22" s="1106" t="s">
        <v>1504</v>
      </c>
      <c r="AS22" s="1106" t="n">
        <v>9.19</v>
      </c>
      <c r="AT22" s="1106" t="s">
        <v>1505</v>
      </c>
      <c r="AU22" s="1105" t="s">
        <v>1134</v>
      </c>
      <c r="AV22" s="1105" t="s">
        <v>1135</v>
      </c>
      <c r="AW22" s="1105"/>
      <c r="AX22" s="1104" t="s">
        <v>1216</v>
      </c>
      <c r="AY22" s="1140" t="s">
        <v>1156</v>
      </c>
      <c r="AZ22" s="1141" t="s">
        <v>1506</v>
      </c>
      <c r="BA22" s="1142" t="n">
        <v>11.95</v>
      </c>
      <c r="BB22" s="1141" t="s">
        <v>1507</v>
      </c>
      <c r="BC22" s="1137" t="s">
        <v>1134</v>
      </c>
      <c r="BD22" s="1137" t="s">
        <v>1135</v>
      </c>
      <c r="BE22" s="1109"/>
      <c r="BF22" s="1104" t="s">
        <v>1219</v>
      </c>
      <c r="BG22" s="1105" t="s">
        <v>1160</v>
      </c>
      <c r="BH22" s="1110" t="s">
        <v>1179</v>
      </c>
      <c r="BI22" s="1111" t="n">
        <v>8.48</v>
      </c>
      <c r="BJ22" s="1110" t="s">
        <v>1508</v>
      </c>
      <c r="BK22" s="1112" t="s">
        <v>1134</v>
      </c>
      <c r="BL22" s="1112" t="s">
        <v>1135</v>
      </c>
    </row>
    <row r="23" s="291" customFormat="true" ht="9.95" hidden="false" customHeight="true" outlineLevel="0" collapsed="false">
      <c r="A23" s="304"/>
      <c r="B23" s="1134" t="s">
        <v>86</v>
      </c>
      <c r="C23" s="1114" t="s">
        <v>1131</v>
      </c>
      <c r="D23" s="1115" t="s">
        <v>1509</v>
      </c>
      <c r="E23" s="1116" t="n">
        <v>7.8</v>
      </c>
      <c r="F23" s="1115" t="s">
        <v>1510</v>
      </c>
      <c r="G23" s="1114" t="s">
        <v>1134</v>
      </c>
      <c r="H23" s="1114" t="s">
        <v>1135</v>
      </c>
      <c r="I23" s="1114"/>
      <c r="J23" s="1117" t="s">
        <v>1276</v>
      </c>
      <c r="K23" s="1114" t="s">
        <v>1511</v>
      </c>
      <c r="L23" s="1115" t="s">
        <v>1173</v>
      </c>
      <c r="M23" s="1116" t="n">
        <v>5</v>
      </c>
      <c r="N23" s="1115" t="s">
        <v>1479</v>
      </c>
      <c r="O23" s="1114" t="s">
        <v>1134</v>
      </c>
      <c r="P23" s="1114" t="s">
        <v>1135</v>
      </c>
      <c r="Q23" s="1114"/>
      <c r="R23" s="1117" t="s">
        <v>1276</v>
      </c>
      <c r="S23" s="1114" t="s">
        <v>1140</v>
      </c>
      <c r="T23" s="1115" t="s">
        <v>1512</v>
      </c>
      <c r="U23" s="1115" t="n">
        <v>7.25</v>
      </c>
      <c r="V23" s="1115" t="s">
        <v>1513</v>
      </c>
      <c r="W23" s="1114" t="s">
        <v>1134</v>
      </c>
      <c r="X23" s="1114" t="s">
        <v>1135</v>
      </c>
      <c r="Y23" s="1117"/>
      <c r="Z23" s="1117" t="s">
        <v>66</v>
      </c>
      <c r="AA23" s="1114" t="s">
        <v>1148</v>
      </c>
      <c r="AB23" s="1115" t="s">
        <v>1514</v>
      </c>
      <c r="AC23" s="1115" t="n">
        <v>12.14</v>
      </c>
      <c r="AD23" s="1115" t="s">
        <v>1515</v>
      </c>
      <c r="AE23" s="1114" t="s">
        <v>1134</v>
      </c>
      <c r="AF23" s="1114" t="s">
        <v>1135</v>
      </c>
      <c r="AG23" s="1114"/>
      <c r="AH23" s="1117" t="s">
        <v>1516</v>
      </c>
      <c r="AI23" s="1114" t="s">
        <v>1152</v>
      </c>
      <c r="AJ23" s="1115" t="s">
        <v>1517</v>
      </c>
      <c r="AK23" s="1115" t="n">
        <v>12.42</v>
      </c>
      <c r="AL23" s="1115" t="s">
        <v>1518</v>
      </c>
      <c r="AM23" s="1114" t="s">
        <v>1134</v>
      </c>
      <c r="AN23" s="1114" t="s">
        <v>1135</v>
      </c>
      <c r="AO23" s="1114"/>
      <c r="AP23" s="1117" t="s">
        <v>1519</v>
      </c>
      <c r="AQ23" s="1114" t="s">
        <v>1152</v>
      </c>
      <c r="AR23" s="1115" t="s">
        <v>1520</v>
      </c>
      <c r="AS23" s="1115" t="n">
        <v>9.33</v>
      </c>
      <c r="AT23" s="1115" t="s">
        <v>1521</v>
      </c>
      <c r="AU23" s="1114" t="s">
        <v>1134</v>
      </c>
      <c r="AV23" s="1114" t="s">
        <v>1135</v>
      </c>
      <c r="AW23" s="1114"/>
      <c r="AX23" s="1117" t="s">
        <v>1237</v>
      </c>
      <c r="AY23" s="1114" t="s">
        <v>1156</v>
      </c>
      <c r="AZ23" s="1115" t="s">
        <v>1522</v>
      </c>
      <c r="BA23" s="1115" t="n">
        <v>12.03</v>
      </c>
      <c r="BB23" s="1115" t="s">
        <v>1523</v>
      </c>
      <c r="BC23" s="1114" t="s">
        <v>1134</v>
      </c>
      <c r="BD23" s="1114" t="s">
        <v>1135</v>
      </c>
      <c r="BE23" s="1118"/>
      <c r="BF23" s="1113" t="s">
        <v>1240</v>
      </c>
      <c r="BG23" s="1114" t="s">
        <v>1160</v>
      </c>
      <c r="BH23" s="1119" t="s">
        <v>1201</v>
      </c>
      <c r="BI23" s="1120" t="n">
        <v>8</v>
      </c>
      <c r="BJ23" s="1119" t="s">
        <v>1524</v>
      </c>
      <c r="BK23" s="1121" t="s">
        <v>1134</v>
      </c>
      <c r="BL23" s="1121" t="s">
        <v>1135</v>
      </c>
    </row>
    <row r="24" s="207" customFormat="true" ht="9.95" hidden="false" customHeight="true" outlineLevel="0" collapsed="false">
      <c r="A24" s="287"/>
      <c r="B24" s="1104" t="s">
        <v>88</v>
      </c>
      <c r="C24" s="1105" t="s">
        <v>1131</v>
      </c>
      <c r="D24" s="1125" t="s">
        <v>1525</v>
      </c>
      <c r="E24" s="1143" t="n">
        <v>6.48</v>
      </c>
      <c r="F24" s="1143" t="s">
        <v>1526</v>
      </c>
      <c r="G24" s="1144" t="s">
        <v>1134</v>
      </c>
      <c r="H24" s="1144" t="s">
        <v>1135</v>
      </c>
      <c r="I24" s="1105" t="s">
        <v>1527</v>
      </c>
      <c r="J24" s="1108" t="s">
        <v>1130</v>
      </c>
      <c r="K24" s="1105" t="s">
        <v>1140</v>
      </c>
      <c r="L24" s="1106" t="s">
        <v>1528</v>
      </c>
      <c r="M24" s="1106" t="n">
        <v>8.82</v>
      </c>
      <c r="N24" s="1106" t="s">
        <v>1529</v>
      </c>
      <c r="O24" s="1105" t="s">
        <v>1134</v>
      </c>
      <c r="P24" s="1105" t="s">
        <v>1135</v>
      </c>
      <c r="Q24" s="1105"/>
      <c r="R24" s="1108" t="s">
        <v>1295</v>
      </c>
      <c r="S24" s="1105" t="s">
        <v>1140</v>
      </c>
      <c r="T24" s="1106" t="s">
        <v>1530</v>
      </c>
      <c r="U24" s="1106" t="n">
        <v>6.98</v>
      </c>
      <c r="V24" s="1106" t="s">
        <v>1531</v>
      </c>
      <c r="W24" s="1105" t="s">
        <v>1134</v>
      </c>
      <c r="X24" s="1105" t="s">
        <v>1135</v>
      </c>
      <c r="Y24" s="1108"/>
      <c r="Z24" s="1108" t="s">
        <v>1363</v>
      </c>
      <c r="AA24" s="1105" t="s">
        <v>1148</v>
      </c>
      <c r="AB24" s="1106" t="s">
        <v>1532</v>
      </c>
      <c r="AC24" s="1106" t="n">
        <v>12.14</v>
      </c>
      <c r="AD24" s="1106" t="s">
        <v>1533</v>
      </c>
      <c r="AE24" s="1105" t="s">
        <v>1134</v>
      </c>
      <c r="AF24" s="1105" t="s">
        <v>1135</v>
      </c>
      <c r="AG24" s="1105"/>
      <c r="AH24" s="1108" t="s">
        <v>1534</v>
      </c>
      <c r="AI24" s="1105" t="s">
        <v>1152</v>
      </c>
      <c r="AJ24" s="1106" t="s">
        <v>1535</v>
      </c>
      <c r="AK24" s="1106" t="n">
        <v>12.42</v>
      </c>
      <c r="AL24" s="1106" t="s">
        <v>1536</v>
      </c>
      <c r="AM24" s="1105" t="s">
        <v>1134</v>
      </c>
      <c r="AN24" s="1105" t="s">
        <v>1135</v>
      </c>
      <c r="AO24" s="1105"/>
      <c r="AP24" s="1108" t="s">
        <v>1537</v>
      </c>
      <c r="AQ24" s="1105" t="s">
        <v>1152</v>
      </c>
      <c r="AR24" s="1106" t="s">
        <v>1538</v>
      </c>
      <c r="AS24" s="1106" t="n">
        <v>9.09</v>
      </c>
      <c r="AT24" s="1106" t="s">
        <v>1539</v>
      </c>
      <c r="AU24" s="1105" t="s">
        <v>1134</v>
      </c>
      <c r="AV24" s="1105" t="s">
        <v>1135</v>
      </c>
      <c r="AW24" s="1105"/>
      <c r="AX24" s="1108" t="s">
        <v>1257</v>
      </c>
      <c r="AY24" s="1105" t="s">
        <v>1156</v>
      </c>
      <c r="AZ24" s="1106" t="s">
        <v>1540</v>
      </c>
      <c r="BA24" s="1106" t="n">
        <v>12.07</v>
      </c>
      <c r="BB24" s="1106" t="s">
        <v>1541</v>
      </c>
      <c r="BC24" s="1105" t="s">
        <v>1134</v>
      </c>
      <c r="BD24" s="1105" t="s">
        <v>1135</v>
      </c>
      <c r="BE24" s="1109"/>
      <c r="BF24" s="1104" t="s">
        <v>1260</v>
      </c>
      <c r="BG24" s="1105" t="s">
        <v>1160</v>
      </c>
      <c r="BH24" s="1110" t="s">
        <v>1220</v>
      </c>
      <c r="BI24" s="1111" t="n">
        <v>8.4</v>
      </c>
      <c r="BJ24" s="1110" t="s">
        <v>1542</v>
      </c>
      <c r="BK24" s="1112" t="s">
        <v>1134</v>
      </c>
      <c r="BL24" s="1112" t="s">
        <v>1135</v>
      </c>
    </row>
    <row r="25" s="207" customFormat="true" ht="9.95" hidden="false" customHeight="true" outlineLevel="0" collapsed="false">
      <c r="A25" s="921"/>
      <c r="B25" s="1113" t="s">
        <v>90</v>
      </c>
      <c r="C25" s="1145" t="s">
        <v>1543</v>
      </c>
      <c r="D25" s="1146" t="s">
        <v>1544</v>
      </c>
      <c r="E25" s="1147" t="n">
        <v>6.5</v>
      </c>
      <c r="F25" s="1146" t="s">
        <v>1545</v>
      </c>
      <c r="G25" s="1114" t="s">
        <v>1134</v>
      </c>
      <c r="H25" s="1114" t="s">
        <v>1546</v>
      </c>
      <c r="I25" s="1114"/>
      <c r="J25" s="1117" t="s">
        <v>1163</v>
      </c>
      <c r="K25" s="1114" t="s">
        <v>1140</v>
      </c>
      <c r="L25" s="1115" t="s">
        <v>1547</v>
      </c>
      <c r="M25" s="1115" t="n">
        <v>8.85</v>
      </c>
      <c r="N25" s="1115" t="s">
        <v>1548</v>
      </c>
      <c r="O25" s="1114" t="s">
        <v>1134</v>
      </c>
      <c r="P25" s="1114" t="s">
        <v>1135</v>
      </c>
      <c r="Q25" s="1114"/>
      <c r="R25" s="1117" t="s">
        <v>1316</v>
      </c>
      <c r="S25" s="1114" t="s">
        <v>1140</v>
      </c>
      <c r="T25" s="1115" t="s">
        <v>1549</v>
      </c>
      <c r="U25" s="1115" t="n">
        <v>6.89</v>
      </c>
      <c r="V25" s="1115" t="s">
        <v>1550</v>
      </c>
      <c r="W25" s="1114" t="s">
        <v>1134</v>
      </c>
      <c r="X25" s="1114" t="s">
        <v>1135</v>
      </c>
      <c r="Y25" s="1117"/>
      <c r="Z25" s="1117" t="s">
        <v>72</v>
      </c>
      <c r="AA25" s="1114" t="s">
        <v>1148</v>
      </c>
      <c r="AB25" s="1115" t="s">
        <v>1551</v>
      </c>
      <c r="AC25" s="1115" t="n">
        <v>12.14</v>
      </c>
      <c r="AD25" s="1115" t="s">
        <v>1552</v>
      </c>
      <c r="AE25" s="1114" t="s">
        <v>1134</v>
      </c>
      <c r="AF25" s="1114" t="s">
        <v>1135</v>
      </c>
      <c r="AG25" s="1114"/>
      <c r="AH25" s="1117" t="s">
        <v>1553</v>
      </c>
      <c r="AI25" s="1114" t="s">
        <v>1152</v>
      </c>
      <c r="AJ25" s="1115" t="s">
        <v>1554</v>
      </c>
      <c r="AK25" s="1115" t="n">
        <v>12.29</v>
      </c>
      <c r="AL25" s="1115" t="s">
        <v>1555</v>
      </c>
      <c r="AM25" s="1114" t="s">
        <v>1134</v>
      </c>
      <c r="AN25" s="1114" t="s">
        <v>1135</v>
      </c>
      <c r="AO25" s="1114"/>
      <c r="AP25" s="1117" t="s">
        <v>1556</v>
      </c>
      <c r="AQ25" s="1114" t="s">
        <v>1152</v>
      </c>
      <c r="AR25" s="1115" t="s">
        <v>1557</v>
      </c>
      <c r="AS25" s="1115" t="n">
        <v>8.89</v>
      </c>
      <c r="AT25" s="1115" t="s">
        <v>1558</v>
      </c>
      <c r="AU25" s="1114" t="s">
        <v>1134</v>
      </c>
      <c r="AV25" s="1114" t="s">
        <v>1135</v>
      </c>
      <c r="AW25" s="1114"/>
      <c r="AX25" s="1117" t="s">
        <v>1276</v>
      </c>
      <c r="AY25" s="1114" t="s">
        <v>1156</v>
      </c>
      <c r="AZ25" s="1115" t="s">
        <v>1559</v>
      </c>
      <c r="BA25" s="1116" t="n">
        <v>12.1</v>
      </c>
      <c r="BB25" s="1115" t="s">
        <v>1560</v>
      </c>
      <c r="BC25" s="1114" t="s">
        <v>1134</v>
      </c>
      <c r="BD25" s="1114" t="s">
        <v>1135</v>
      </c>
      <c r="BE25" s="1118"/>
      <c r="BF25" s="1113" t="s">
        <v>1279</v>
      </c>
      <c r="BG25" s="1114" t="s">
        <v>1160</v>
      </c>
      <c r="BH25" s="1119" t="s">
        <v>1241</v>
      </c>
      <c r="BI25" s="1120" t="n">
        <v>8.9</v>
      </c>
      <c r="BJ25" s="1119" t="s">
        <v>1561</v>
      </c>
      <c r="BK25" s="1121" t="s">
        <v>1134</v>
      </c>
      <c r="BL25" s="1121" t="s">
        <v>1135</v>
      </c>
    </row>
    <row r="26" s="207" customFormat="true" ht="9.95" hidden="false" customHeight="true" outlineLevel="0" collapsed="false">
      <c r="A26" s="1148" t="s">
        <v>1562</v>
      </c>
      <c r="B26" s="1104" t="s">
        <v>1130</v>
      </c>
      <c r="C26" s="1105" t="s">
        <v>1137</v>
      </c>
      <c r="D26" s="1106" t="s">
        <v>1563</v>
      </c>
      <c r="E26" s="1107" t="n">
        <v>7.6</v>
      </c>
      <c r="F26" s="1106" t="s">
        <v>1564</v>
      </c>
      <c r="G26" s="1105" t="s">
        <v>1134</v>
      </c>
      <c r="H26" s="1105" t="s">
        <v>1135</v>
      </c>
      <c r="I26" s="215"/>
      <c r="J26" s="1108" t="s">
        <v>1187</v>
      </c>
      <c r="K26" s="1105" t="s">
        <v>1140</v>
      </c>
      <c r="L26" s="1106" t="s">
        <v>1565</v>
      </c>
      <c r="M26" s="1106" t="n">
        <v>8.85</v>
      </c>
      <c r="N26" s="1106" t="s">
        <v>1566</v>
      </c>
      <c r="O26" s="1105" t="s">
        <v>1134</v>
      </c>
      <c r="P26" s="1105" t="s">
        <v>1135</v>
      </c>
      <c r="Q26" s="1105"/>
      <c r="R26" s="1108" t="s">
        <v>1335</v>
      </c>
      <c r="S26" s="1105" t="s">
        <v>1140</v>
      </c>
      <c r="T26" s="1106" t="s">
        <v>1567</v>
      </c>
      <c r="U26" s="1106" t="n">
        <v>6.89</v>
      </c>
      <c r="V26" s="1106" t="s">
        <v>1568</v>
      </c>
      <c r="W26" s="1105" t="s">
        <v>1134</v>
      </c>
      <c r="X26" s="1105" t="s">
        <v>1135</v>
      </c>
      <c r="Y26" s="1108"/>
      <c r="Z26" s="1108" t="s">
        <v>74</v>
      </c>
      <c r="AA26" s="1105" t="s">
        <v>1148</v>
      </c>
      <c r="AB26" s="1106" t="s">
        <v>1569</v>
      </c>
      <c r="AC26" s="1106" t="n">
        <v>12.14</v>
      </c>
      <c r="AD26" s="1106" t="s">
        <v>1570</v>
      </c>
      <c r="AE26" s="1105" t="s">
        <v>1134</v>
      </c>
      <c r="AF26" s="1105" t="s">
        <v>1135</v>
      </c>
      <c r="AG26" s="1105"/>
      <c r="AH26" s="1108" t="s">
        <v>1571</v>
      </c>
      <c r="AI26" s="1105" t="s">
        <v>1152</v>
      </c>
      <c r="AJ26" s="1106" t="s">
        <v>1572</v>
      </c>
      <c r="AK26" s="1106" t="n">
        <v>12.29</v>
      </c>
      <c r="AL26" s="1106" t="s">
        <v>1573</v>
      </c>
      <c r="AM26" s="1105" t="s">
        <v>1134</v>
      </c>
      <c r="AN26" s="1105" t="s">
        <v>1135</v>
      </c>
      <c r="AO26" s="1105"/>
      <c r="AP26" s="1108" t="s">
        <v>1574</v>
      </c>
      <c r="AQ26" s="1105" t="s">
        <v>1152</v>
      </c>
      <c r="AR26" s="1125" t="s">
        <v>1575</v>
      </c>
      <c r="AS26" s="183" t="n">
        <v>8.7</v>
      </c>
      <c r="AT26" s="919" t="s">
        <v>1576</v>
      </c>
      <c r="AU26" s="1144" t="s">
        <v>1134</v>
      </c>
      <c r="AV26" s="1144" t="s">
        <v>1135</v>
      </c>
      <c r="AW26" s="1105"/>
      <c r="AX26" s="1108" t="s">
        <v>1295</v>
      </c>
      <c r="AY26" s="1105" t="s">
        <v>1156</v>
      </c>
      <c r="AZ26" s="1106" t="s">
        <v>1577</v>
      </c>
      <c r="BA26" s="1106" t="n">
        <v>11.45</v>
      </c>
      <c r="BB26" s="1106" t="s">
        <v>1578</v>
      </c>
      <c r="BC26" s="1105" t="s">
        <v>1134</v>
      </c>
      <c r="BD26" s="1105" t="s">
        <v>1135</v>
      </c>
      <c r="BE26" s="1109"/>
      <c r="BF26" s="1104" t="s">
        <v>1298</v>
      </c>
      <c r="BG26" s="1105" t="s">
        <v>1160</v>
      </c>
      <c r="BH26" s="1110" t="s">
        <v>1261</v>
      </c>
      <c r="BI26" s="1111" t="n">
        <v>8.09</v>
      </c>
      <c r="BJ26" s="1110" t="s">
        <v>1579</v>
      </c>
      <c r="BK26" s="1112" t="s">
        <v>1134</v>
      </c>
      <c r="BL26" s="1112" t="s">
        <v>1135</v>
      </c>
    </row>
    <row r="27" s="207" customFormat="true" ht="9.95" hidden="false" customHeight="true" outlineLevel="0" collapsed="false">
      <c r="A27" s="1149"/>
      <c r="B27" s="1113" t="s">
        <v>1163</v>
      </c>
      <c r="C27" s="1114" t="s">
        <v>1137</v>
      </c>
      <c r="D27" s="1115" t="s">
        <v>1580</v>
      </c>
      <c r="E27" s="1115" t="n">
        <v>7.49</v>
      </c>
      <c r="F27" s="1115" t="s">
        <v>1581</v>
      </c>
      <c r="G27" s="1114" t="s">
        <v>1134</v>
      </c>
      <c r="H27" s="1114" t="s">
        <v>1135</v>
      </c>
      <c r="J27" s="1117" t="s">
        <v>48</v>
      </c>
      <c r="K27" s="1114" t="s">
        <v>1140</v>
      </c>
      <c r="L27" s="1115" t="s">
        <v>1582</v>
      </c>
      <c r="M27" s="1116" t="n">
        <v>8.9</v>
      </c>
      <c r="N27" s="1115" t="s">
        <v>1583</v>
      </c>
      <c r="O27" s="1114" t="s">
        <v>1134</v>
      </c>
      <c r="P27" s="1114" t="s">
        <v>1135</v>
      </c>
      <c r="Q27" s="1150"/>
      <c r="R27" s="1117" t="s">
        <v>1353</v>
      </c>
      <c r="S27" s="1114" t="s">
        <v>1140</v>
      </c>
      <c r="T27" s="1115" t="s">
        <v>1584</v>
      </c>
      <c r="U27" s="1115" t="n">
        <v>6.77</v>
      </c>
      <c r="V27" s="1115" t="s">
        <v>1150</v>
      </c>
      <c r="W27" s="1114" t="s">
        <v>1134</v>
      </c>
      <c r="X27" s="1114" t="s">
        <v>1135</v>
      </c>
      <c r="Y27" s="1117"/>
      <c r="Z27" s="1117" t="s">
        <v>76</v>
      </c>
      <c r="AA27" s="1114" t="s">
        <v>1148</v>
      </c>
      <c r="AB27" s="1115" t="s">
        <v>1585</v>
      </c>
      <c r="AC27" s="1115" t="n">
        <v>12.14</v>
      </c>
      <c r="AD27" s="1115" t="s">
        <v>1586</v>
      </c>
      <c r="AE27" s="1114" t="s">
        <v>1134</v>
      </c>
      <c r="AF27" s="1114" t="s">
        <v>1135</v>
      </c>
      <c r="AG27" s="1150"/>
      <c r="AH27" s="1117" t="s">
        <v>1587</v>
      </c>
      <c r="AI27" s="1114" t="s">
        <v>1152</v>
      </c>
      <c r="AJ27" s="1115" t="s">
        <v>1588</v>
      </c>
      <c r="AK27" s="1116" t="n">
        <v>12.2</v>
      </c>
      <c r="AL27" s="1115" t="s">
        <v>1589</v>
      </c>
      <c r="AM27" s="1114" t="s">
        <v>1134</v>
      </c>
      <c r="AN27" s="1114" t="s">
        <v>1135</v>
      </c>
      <c r="AP27" s="1151" t="s">
        <v>1574</v>
      </c>
      <c r="AQ27" s="1152" t="s">
        <v>1152</v>
      </c>
      <c r="AR27" s="1136" t="s">
        <v>1590</v>
      </c>
      <c r="AS27" s="1136" t="n">
        <v>7.97</v>
      </c>
      <c r="AT27" s="1136" t="s">
        <v>1591</v>
      </c>
      <c r="AU27" s="1152" t="s">
        <v>1134</v>
      </c>
      <c r="AV27" s="1152" t="s">
        <v>1135</v>
      </c>
      <c r="AW27" s="1150"/>
      <c r="AX27" s="1117" t="s">
        <v>1316</v>
      </c>
      <c r="AY27" s="1114" t="s">
        <v>1156</v>
      </c>
      <c r="AZ27" s="1115" t="s">
        <v>1592</v>
      </c>
      <c r="BA27" s="1115" t="n">
        <v>12.12</v>
      </c>
      <c r="BB27" s="1115" t="s">
        <v>1593</v>
      </c>
      <c r="BC27" s="1114" t="s">
        <v>1134</v>
      </c>
      <c r="BD27" s="1114" t="s">
        <v>1135</v>
      </c>
      <c r="BE27" s="1118"/>
      <c r="BF27" s="1113" t="s">
        <v>1319</v>
      </c>
      <c r="BG27" s="1114" t="s">
        <v>1160</v>
      </c>
      <c r="BH27" s="1119" t="s">
        <v>1280</v>
      </c>
      <c r="BI27" s="1120" t="n">
        <v>7.97</v>
      </c>
      <c r="BJ27" s="1119" t="s">
        <v>1594</v>
      </c>
      <c r="BK27" s="1121" t="s">
        <v>1134</v>
      </c>
      <c r="BL27" s="1121" t="s">
        <v>1135</v>
      </c>
    </row>
    <row r="28" s="207" customFormat="true" ht="9.95" hidden="false" customHeight="true" outlineLevel="0" collapsed="false">
      <c r="A28" s="1148"/>
      <c r="B28" s="1104" t="s">
        <v>1187</v>
      </c>
      <c r="C28" s="1105" t="s">
        <v>1137</v>
      </c>
      <c r="D28" s="1106" t="s">
        <v>1595</v>
      </c>
      <c r="E28" s="1106" t="n">
        <v>7.35</v>
      </c>
      <c r="F28" s="1106" t="s">
        <v>1596</v>
      </c>
      <c r="G28" s="1105" t="s">
        <v>1134</v>
      </c>
      <c r="H28" s="1105" t="s">
        <v>1135</v>
      </c>
      <c r="I28" s="1105"/>
      <c r="J28" s="1108" t="s">
        <v>50</v>
      </c>
      <c r="K28" s="1105" t="s">
        <v>1140</v>
      </c>
      <c r="L28" s="1106" t="s">
        <v>1597</v>
      </c>
      <c r="M28" s="1107" t="n">
        <v>9.5</v>
      </c>
      <c r="N28" s="1106" t="s">
        <v>1598</v>
      </c>
      <c r="O28" s="1105" t="s">
        <v>1134</v>
      </c>
      <c r="P28" s="1105" t="s">
        <v>1135</v>
      </c>
      <c r="Q28" s="1105"/>
      <c r="R28" s="1108" t="s">
        <v>1372</v>
      </c>
      <c r="S28" s="1105" t="s">
        <v>1140</v>
      </c>
      <c r="T28" s="1106" t="s">
        <v>1599</v>
      </c>
      <c r="U28" s="1107" t="n">
        <v>6.3</v>
      </c>
      <c r="V28" s="1106" t="s">
        <v>1177</v>
      </c>
      <c r="W28" s="1105" t="s">
        <v>1134</v>
      </c>
      <c r="X28" s="1105" t="s">
        <v>1135</v>
      </c>
      <c r="Y28" s="1108"/>
      <c r="Z28" s="1108" t="s">
        <v>78</v>
      </c>
      <c r="AA28" s="1105" t="s">
        <v>1148</v>
      </c>
      <c r="AB28" s="1106" t="s">
        <v>1600</v>
      </c>
      <c r="AC28" s="1106" t="n">
        <v>12.14</v>
      </c>
      <c r="AD28" s="1106" t="s">
        <v>1601</v>
      </c>
      <c r="AE28" s="1105" t="s">
        <v>1134</v>
      </c>
      <c r="AF28" s="1105" t="s">
        <v>1135</v>
      </c>
      <c r="AG28" s="1105"/>
      <c r="AH28" s="1108" t="s">
        <v>1602</v>
      </c>
      <c r="AI28" s="1105" t="s">
        <v>1152</v>
      </c>
      <c r="AJ28" s="1106" t="s">
        <v>1603</v>
      </c>
      <c r="AK28" s="1107" t="n">
        <v>12.1</v>
      </c>
      <c r="AL28" s="1106" t="s">
        <v>1604</v>
      </c>
      <c r="AM28" s="1105" t="s">
        <v>1134</v>
      </c>
      <c r="AN28" s="1105" t="s">
        <v>1135</v>
      </c>
      <c r="AO28" s="1105" t="s">
        <v>1605</v>
      </c>
      <c r="AP28" s="1108" t="s">
        <v>1130</v>
      </c>
      <c r="AQ28" s="1105" t="s">
        <v>1156</v>
      </c>
      <c r="AR28" s="1106" t="s">
        <v>1606</v>
      </c>
      <c r="AS28" s="1106" t="n">
        <v>14.23</v>
      </c>
      <c r="AT28" s="1106" t="s">
        <v>1607</v>
      </c>
      <c r="AU28" s="1105" t="s">
        <v>1134</v>
      </c>
      <c r="AV28" s="1105" t="s">
        <v>1135</v>
      </c>
      <c r="AW28" s="1105"/>
      <c r="AX28" s="1108" t="s">
        <v>1335</v>
      </c>
      <c r="AY28" s="1105" t="s">
        <v>1156</v>
      </c>
      <c r="AZ28" s="1106" t="s">
        <v>1608</v>
      </c>
      <c r="BA28" s="1106" t="n">
        <v>12.16</v>
      </c>
      <c r="BB28" s="1106" t="s">
        <v>1609</v>
      </c>
      <c r="BC28" s="1105" t="s">
        <v>1134</v>
      </c>
      <c r="BD28" s="1105" t="s">
        <v>1135</v>
      </c>
      <c r="BE28" s="1109"/>
      <c r="BF28" s="1104" t="s">
        <v>1338</v>
      </c>
      <c r="BG28" s="1105" t="s">
        <v>1160</v>
      </c>
      <c r="BH28" s="1110" t="s">
        <v>1299</v>
      </c>
      <c r="BI28" s="1111" t="n">
        <v>8.24</v>
      </c>
      <c r="BJ28" s="1110" t="s">
        <v>1610</v>
      </c>
      <c r="BK28" s="1112" t="s">
        <v>1134</v>
      </c>
      <c r="BL28" s="1112" t="s">
        <v>1135</v>
      </c>
    </row>
    <row r="29" s="207" customFormat="true" ht="9.95" hidden="false" customHeight="true" outlineLevel="0" collapsed="false">
      <c r="A29" s="1149"/>
      <c r="B29" s="1113" t="s">
        <v>48</v>
      </c>
      <c r="C29" s="1114" t="s">
        <v>1137</v>
      </c>
      <c r="D29" s="1115" t="s">
        <v>1611</v>
      </c>
      <c r="E29" s="1115" t="n">
        <v>5.15</v>
      </c>
      <c r="F29" s="1115" t="s">
        <v>1612</v>
      </c>
      <c r="G29" s="1114" t="s">
        <v>1134</v>
      </c>
      <c r="H29" s="1114" t="s">
        <v>1135</v>
      </c>
      <c r="J29" s="1117" t="s">
        <v>52</v>
      </c>
      <c r="K29" s="1114" t="s">
        <v>1140</v>
      </c>
      <c r="L29" s="1115" t="s">
        <v>1613</v>
      </c>
      <c r="M29" s="1115" t="n">
        <v>9.53</v>
      </c>
      <c r="N29" s="1115" t="s">
        <v>1614</v>
      </c>
      <c r="O29" s="1114" t="s">
        <v>1134</v>
      </c>
      <c r="P29" s="1114" t="s">
        <v>1135</v>
      </c>
      <c r="Q29" s="1114"/>
      <c r="R29" s="1117" t="s">
        <v>1393</v>
      </c>
      <c r="S29" s="1114" t="s">
        <v>1140</v>
      </c>
      <c r="T29" s="1115" t="s">
        <v>1615</v>
      </c>
      <c r="U29" s="1115" t="n">
        <v>6.86</v>
      </c>
      <c r="V29" s="1115" t="s">
        <v>1616</v>
      </c>
      <c r="W29" s="1114" t="s">
        <v>1134</v>
      </c>
      <c r="X29" s="1114" t="s">
        <v>1135</v>
      </c>
      <c r="Y29" s="1117"/>
      <c r="Z29" s="1117" t="s">
        <v>80</v>
      </c>
      <c r="AA29" s="1114" t="s">
        <v>1148</v>
      </c>
      <c r="AB29" s="1115" t="s">
        <v>1617</v>
      </c>
      <c r="AC29" s="1115" t="n">
        <v>12.14</v>
      </c>
      <c r="AD29" s="1115" t="s">
        <v>1618</v>
      </c>
      <c r="AE29" s="1114" t="s">
        <v>1134</v>
      </c>
      <c r="AF29" s="1114" t="s">
        <v>1135</v>
      </c>
      <c r="AG29" s="1114"/>
      <c r="AH29" s="1117" t="s">
        <v>1619</v>
      </c>
      <c r="AI29" s="1114" t="s">
        <v>1152</v>
      </c>
      <c r="AJ29" s="1115" t="s">
        <v>1620</v>
      </c>
      <c r="AK29" s="1116" t="n">
        <v>12</v>
      </c>
      <c r="AL29" s="1115" t="s">
        <v>1621</v>
      </c>
      <c r="AM29" s="1114" t="s">
        <v>1134</v>
      </c>
      <c r="AN29" s="1114" t="s">
        <v>1135</v>
      </c>
      <c r="AO29" s="1114"/>
      <c r="AP29" s="1117" t="s">
        <v>1163</v>
      </c>
      <c r="AQ29" s="1114" t="s">
        <v>1156</v>
      </c>
      <c r="AR29" s="1115" t="s">
        <v>1622</v>
      </c>
      <c r="AS29" s="1115" t="n">
        <v>13.88</v>
      </c>
      <c r="AT29" s="1115" t="s">
        <v>1623</v>
      </c>
      <c r="AU29" s="1114" t="s">
        <v>1134</v>
      </c>
      <c r="AV29" s="1114" t="s">
        <v>1135</v>
      </c>
      <c r="AW29" s="1114"/>
      <c r="AX29" s="1117" t="s">
        <v>1353</v>
      </c>
      <c r="AY29" s="1114" t="s">
        <v>1156</v>
      </c>
      <c r="AZ29" s="1115" t="s">
        <v>1624</v>
      </c>
      <c r="BA29" s="1115" t="n">
        <v>12.16</v>
      </c>
      <c r="BB29" s="1115" t="s">
        <v>1625</v>
      </c>
      <c r="BC29" s="1114" t="s">
        <v>1134</v>
      </c>
      <c r="BD29" s="1114" t="s">
        <v>1135</v>
      </c>
      <c r="BE29" s="1118"/>
      <c r="BF29" s="1113" t="s">
        <v>1356</v>
      </c>
      <c r="BG29" s="1114" t="s">
        <v>1160</v>
      </c>
      <c r="BH29" s="1119" t="s">
        <v>1320</v>
      </c>
      <c r="BI29" s="1120" t="n">
        <v>8.44</v>
      </c>
      <c r="BJ29" s="1119" t="s">
        <v>1626</v>
      </c>
      <c r="BK29" s="1121" t="s">
        <v>1134</v>
      </c>
      <c r="BL29" s="1121" t="s">
        <v>1135</v>
      </c>
    </row>
    <row r="30" s="207" customFormat="true" ht="9.95" hidden="false" customHeight="true" outlineLevel="0" collapsed="false">
      <c r="A30" s="1148"/>
      <c r="B30" s="1104" t="s">
        <v>50</v>
      </c>
      <c r="C30" s="1105" t="s">
        <v>1137</v>
      </c>
      <c r="D30" s="1106" t="s">
        <v>1627</v>
      </c>
      <c r="E30" s="1107" t="n">
        <v>6</v>
      </c>
      <c r="F30" s="1106" t="s">
        <v>1628</v>
      </c>
      <c r="G30" s="1105" t="s">
        <v>1134</v>
      </c>
      <c r="H30" s="1105" t="s">
        <v>1135</v>
      </c>
      <c r="I30" s="1105"/>
      <c r="J30" s="1108" t="s">
        <v>54</v>
      </c>
      <c r="K30" s="1105" t="s">
        <v>1140</v>
      </c>
      <c r="L30" s="1106" t="s">
        <v>1629</v>
      </c>
      <c r="M30" s="1106" t="s">
        <v>1630</v>
      </c>
      <c r="N30" s="1106" t="s">
        <v>1631</v>
      </c>
      <c r="O30" s="1105" t="s">
        <v>1134</v>
      </c>
      <c r="P30" s="1105" t="s">
        <v>1632</v>
      </c>
      <c r="Q30" s="1105"/>
      <c r="R30" s="1108" t="s">
        <v>1412</v>
      </c>
      <c r="S30" s="1105" t="s">
        <v>1140</v>
      </c>
      <c r="T30" s="1106" t="s">
        <v>1633</v>
      </c>
      <c r="U30" s="1106" t="n">
        <v>6.96</v>
      </c>
      <c r="V30" s="1106" t="s">
        <v>1634</v>
      </c>
      <c r="W30" s="1105" t="s">
        <v>1134</v>
      </c>
      <c r="X30" s="1105" t="s">
        <v>1135</v>
      </c>
      <c r="Y30" s="1108"/>
      <c r="Z30" s="1108" t="s">
        <v>82</v>
      </c>
      <c r="AA30" s="1105" t="s">
        <v>1148</v>
      </c>
      <c r="AB30" s="1106" t="s">
        <v>1635</v>
      </c>
      <c r="AC30" s="1106" t="n">
        <v>12.14</v>
      </c>
      <c r="AD30" s="1106" t="s">
        <v>1636</v>
      </c>
      <c r="AE30" s="1105" t="s">
        <v>1134</v>
      </c>
      <c r="AF30" s="1105" t="s">
        <v>1135</v>
      </c>
      <c r="AG30" s="1105"/>
      <c r="AH30" s="1108" t="s">
        <v>1637</v>
      </c>
      <c r="AI30" s="1105" t="s">
        <v>1152</v>
      </c>
      <c r="AJ30" s="1106" t="s">
        <v>1638</v>
      </c>
      <c r="AK30" s="1106" t="n">
        <v>11.97</v>
      </c>
      <c r="AL30" s="1106" t="s">
        <v>1639</v>
      </c>
      <c r="AM30" s="1105" t="s">
        <v>1134</v>
      </c>
      <c r="AN30" s="1105" t="s">
        <v>1135</v>
      </c>
      <c r="AO30" s="1105"/>
      <c r="AP30" s="1108" t="s">
        <v>1187</v>
      </c>
      <c r="AQ30" s="1105" t="s">
        <v>1156</v>
      </c>
      <c r="AR30" s="1106" t="s">
        <v>1640</v>
      </c>
      <c r="AS30" s="1106" t="n">
        <v>13.49</v>
      </c>
      <c r="AT30" s="1106" t="s">
        <v>1641</v>
      </c>
      <c r="AU30" s="1105" t="s">
        <v>1134</v>
      </c>
      <c r="AV30" s="1105" t="s">
        <v>1135</v>
      </c>
      <c r="AW30" s="1105"/>
      <c r="AX30" s="1108" t="s">
        <v>1372</v>
      </c>
      <c r="AY30" s="1105" t="s">
        <v>1156</v>
      </c>
      <c r="AZ30" s="1106" t="s">
        <v>1642</v>
      </c>
      <c r="BA30" s="1106" t="n">
        <v>12.16</v>
      </c>
      <c r="BB30" s="1106" t="s">
        <v>1643</v>
      </c>
      <c r="BC30" s="1105" t="s">
        <v>1134</v>
      </c>
      <c r="BD30" s="1105" t="s">
        <v>1135</v>
      </c>
      <c r="BE30" s="1109"/>
      <c r="BF30" s="1104" t="s">
        <v>1375</v>
      </c>
      <c r="BG30" s="1105" t="s">
        <v>1160</v>
      </c>
      <c r="BH30" s="1110" t="s">
        <v>1339</v>
      </c>
      <c r="BI30" s="1111" t="n">
        <v>8.44</v>
      </c>
      <c r="BJ30" s="1110" t="s">
        <v>1644</v>
      </c>
      <c r="BK30" s="1112" t="s">
        <v>1134</v>
      </c>
      <c r="BL30" s="1112" t="s">
        <v>1135</v>
      </c>
    </row>
    <row r="31" s="429" customFormat="true" ht="9.95" hidden="false" customHeight="true" outlineLevel="0" collapsed="false">
      <c r="A31" s="1149"/>
      <c r="B31" s="1113" t="s">
        <v>52</v>
      </c>
      <c r="C31" s="1114" t="s">
        <v>1137</v>
      </c>
      <c r="D31" s="1115" t="s">
        <v>1645</v>
      </c>
      <c r="E31" s="1115" t="n">
        <v>6.44</v>
      </c>
      <c r="F31" s="1115" t="s">
        <v>1646</v>
      </c>
      <c r="G31" s="1114" t="s">
        <v>1134</v>
      </c>
      <c r="H31" s="1114" t="s">
        <v>1135</v>
      </c>
      <c r="I31" s="1114"/>
      <c r="J31" s="1117" t="s">
        <v>56</v>
      </c>
      <c r="K31" s="1114" t="s">
        <v>1647</v>
      </c>
      <c r="L31" s="1115" t="s">
        <v>1648</v>
      </c>
      <c r="M31" s="1115" t="n">
        <v>9.45</v>
      </c>
      <c r="N31" s="1115" t="s">
        <v>1649</v>
      </c>
      <c r="O31" s="1114" t="s">
        <v>1134</v>
      </c>
      <c r="P31" s="1114" t="s">
        <v>1135</v>
      </c>
      <c r="Q31" s="1114"/>
      <c r="R31" s="1117" t="s">
        <v>1431</v>
      </c>
      <c r="S31" s="1114" t="s">
        <v>1140</v>
      </c>
      <c r="T31" s="1115" t="s">
        <v>1650</v>
      </c>
      <c r="U31" s="1115" t="n">
        <v>6.99</v>
      </c>
      <c r="V31" s="1115" t="s">
        <v>1651</v>
      </c>
      <c r="W31" s="1114" t="s">
        <v>1134</v>
      </c>
      <c r="X31" s="1114" t="s">
        <v>1135</v>
      </c>
      <c r="Y31" s="1117"/>
      <c r="Z31" s="1117" t="s">
        <v>84</v>
      </c>
      <c r="AA31" s="1114" t="s">
        <v>1148</v>
      </c>
      <c r="AB31" s="1115" t="s">
        <v>1652</v>
      </c>
      <c r="AC31" s="1115" t="n">
        <v>12.14</v>
      </c>
      <c r="AD31" s="1115" t="s">
        <v>1653</v>
      </c>
      <c r="AE31" s="1114" t="s">
        <v>1134</v>
      </c>
      <c r="AF31" s="1114" t="s">
        <v>1135</v>
      </c>
      <c r="AG31" s="1114"/>
      <c r="AH31" s="1117" t="s">
        <v>1654</v>
      </c>
      <c r="AI31" s="1114" t="s">
        <v>1152</v>
      </c>
      <c r="AJ31" s="1115" t="s">
        <v>1655</v>
      </c>
      <c r="AK31" s="1115" t="n">
        <v>11.97</v>
      </c>
      <c r="AL31" s="1115" t="s">
        <v>1656</v>
      </c>
      <c r="AM31" s="1114" t="s">
        <v>1134</v>
      </c>
      <c r="AN31" s="1114" t="s">
        <v>1135</v>
      </c>
      <c r="AO31" s="1114"/>
      <c r="AP31" s="1117" t="s">
        <v>48</v>
      </c>
      <c r="AQ31" s="1114" t="s">
        <v>1156</v>
      </c>
      <c r="AR31" s="1115" t="s">
        <v>1657</v>
      </c>
      <c r="AS31" s="1115" t="n">
        <v>13.29</v>
      </c>
      <c r="AT31" s="1115" t="s">
        <v>1658</v>
      </c>
      <c r="AU31" s="1114" t="s">
        <v>1134</v>
      </c>
      <c r="AV31" s="1114" t="s">
        <v>1135</v>
      </c>
      <c r="AW31" s="1114"/>
      <c r="AX31" s="1117" t="s">
        <v>1393</v>
      </c>
      <c r="AY31" s="1114" t="s">
        <v>1156</v>
      </c>
      <c r="AZ31" s="1115" t="s">
        <v>1659</v>
      </c>
      <c r="BA31" s="1115" t="n">
        <v>12.18</v>
      </c>
      <c r="BB31" s="1115" t="s">
        <v>1660</v>
      </c>
      <c r="BC31" s="1114" t="s">
        <v>1134</v>
      </c>
      <c r="BD31" s="1114" t="s">
        <v>1135</v>
      </c>
      <c r="BE31" s="1118"/>
      <c r="BF31" s="1113" t="s">
        <v>1396</v>
      </c>
      <c r="BG31" s="1114" t="s">
        <v>1160</v>
      </c>
      <c r="BH31" s="1119" t="s">
        <v>1357</v>
      </c>
      <c r="BI31" s="1120" t="n">
        <v>8.41</v>
      </c>
      <c r="BJ31" s="1119" t="s">
        <v>1661</v>
      </c>
      <c r="BK31" s="1121" t="s">
        <v>1134</v>
      </c>
      <c r="BL31" s="1121" t="s">
        <v>1135</v>
      </c>
    </row>
    <row r="32" s="429" customFormat="true" ht="9.95" hidden="false" customHeight="true" outlineLevel="0" collapsed="false">
      <c r="A32" s="1148"/>
      <c r="B32" s="1104" t="s">
        <v>54</v>
      </c>
      <c r="C32" s="1105" t="s">
        <v>1137</v>
      </c>
      <c r="D32" s="1106" t="s">
        <v>1662</v>
      </c>
      <c r="E32" s="1106" t="n">
        <v>5.89</v>
      </c>
      <c r="F32" s="1106" t="s">
        <v>1663</v>
      </c>
      <c r="G32" s="1105" t="s">
        <v>1134</v>
      </c>
      <c r="H32" s="1105" t="s">
        <v>1135</v>
      </c>
      <c r="I32" s="1105"/>
      <c r="J32" s="1108" t="s">
        <v>1305</v>
      </c>
      <c r="K32" s="1105" t="s">
        <v>1140</v>
      </c>
      <c r="L32" s="1106" t="s">
        <v>1664</v>
      </c>
      <c r="M32" s="1106" t="n">
        <v>9.45</v>
      </c>
      <c r="N32" s="1106" t="s">
        <v>1665</v>
      </c>
      <c r="O32" s="1105" t="s">
        <v>1134</v>
      </c>
      <c r="P32" s="1105" t="s">
        <v>1135</v>
      </c>
      <c r="Q32" s="1105"/>
      <c r="R32" s="1108" t="s">
        <v>1449</v>
      </c>
      <c r="S32" s="1105" t="s">
        <v>1140</v>
      </c>
      <c r="T32" s="1106" t="s">
        <v>1666</v>
      </c>
      <c r="U32" s="1107" t="n">
        <v>7</v>
      </c>
      <c r="V32" s="1106" t="s">
        <v>1667</v>
      </c>
      <c r="W32" s="1105" t="s">
        <v>1134</v>
      </c>
      <c r="X32" s="1105" t="s">
        <v>1135</v>
      </c>
      <c r="Y32" s="1108"/>
      <c r="Z32" s="1108" t="s">
        <v>86</v>
      </c>
      <c r="AA32" s="1105" t="s">
        <v>1148</v>
      </c>
      <c r="AB32" s="1106" t="s">
        <v>1668</v>
      </c>
      <c r="AC32" s="1107" t="n">
        <v>10.6</v>
      </c>
      <c r="AD32" s="1106" t="s">
        <v>1669</v>
      </c>
      <c r="AE32" s="1105" t="s">
        <v>1134</v>
      </c>
      <c r="AF32" s="1105" t="s">
        <v>1135</v>
      </c>
      <c r="AG32" s="1105"/>
      <c r="AH32" s="1108" t="s">
        <v>1670</v>
      </c>
      <c r="AI32" s="1105" t="s">
        <v>1152</v>
      </c>
      <c r="AJ32" s="1106" t="s">
        <v>1671</v>
      </c>
      <c r="AK32" s="1106" t="n">
        <v>11.97</v>
      </c>
      <c r="AL32" s="1106" t="s">
        <v>1672</v>
      </c>
      <c r="AM32" s="1105" t="s">
        <v>1134</v>
      </c>
      <c r="AN32" s="1105" t="s">
        <v>1135</v>
      </c>
      <c r="AO32" s="1105"/>
      <c r="AP32" s="1108" t="s">
        <v>50</v>
      </c>
      <c r="AQ32" s="1105" t="s">
        <v>1156</v>
      </c>
      <c r="AR32" s="1106" t="s">
        <v>1673</v>
      </c>
      <c r="AS32" s="1106" t="n">
        <v>13.19</v>
      </c>
      <c r="AT32" s="1106" t="s">
        <v>1674</v>
      </c>
      <c r="AU32" s="1105" t="s">
        <v>1134</v>
      </c>
      <c r="AV32" s="1105" t="s">
        <v>1135</v>
      </c>
      <c r="AW32" s="1105"/>
      <c r="AX32" s="1108" t="s">
        <v>1412</v>
      </c>
      <c r="AY32" s="1105" t="s">
        <v>1156</v>
      </c>
      <c r="AZ32" s="1106" t="s">
        <v>1675</v>
      </c>
      <c r="BA32" s="1106" t="n">
        <v>12.28</v>
      </c>
      <c r="BB32" s="1106" t="s">
        <v>1676</v>
      </c>
      <c r="BC32" s="1105" t="s">
        <v>1134</v>
      </c>
      <c r="BD32" s="1105" t="s">
        <v>1135</v>
      </c>
      <c r="BE32" s="1109"/>
      <c r="BF32" s="1104" t="s">
        <v>1415</v>
      </c>
      <c r="BG32" s="1105" t="s">
        <v>1160</v>
      </c>
      <c r="BH32" s="1110" t="s">
        <v>1376</v>
      </c>
      <c r="BI32" s="1111" t="n">
        <v>8.44</v>
      </c>
      <c r="BJ32" s="1110" t="s">
        <v>1677</v>
      </c>
      <c r="BK32" s="1112" t="s">
        <v>1134</v>
      </c>
      <c r="BL32" s="1112" t="s">
        <v>1135</v>
      </c>
    </row>
    <row r="33" s="207" customFormat="true" ht="9.95" hidden="false" customHeight="true" outlineLevel="0" collapsed="false">
      <c r="A33" s="1149"/>
      <c r="B33" s="1113" t="s">
        <v>56</v>
      </c>
      <c r="C33" s="1114" t="s">
        <v>1137</v>
      </c>
      <c r="D33" s="1115" t="s">
        <v>1678</v>
      </c>
      <c r="E33" s="1115" t="n">
        <v>5.94</v>
      </c>
      <c r="F33" s="1115" t="s">
        <v>1679</v>
      </c>
      <c r="G33" s="1114" t="s">
        <v>1134</v>
      </c>
      <c r="H33" s="1114" t="s">
        <v>1135</v>
      </c>
      <c r="I33" s="1114"/>
      <c r="J33" s="1117" t="s">
        <v>64</v>
      </c>
      <c r="K33" s="1114" t="s">
        <v>1140</v>
      </c>
      <c r="L33" s="1115" t="s">
        <v>1680</v>
      </c>
      <c r="M33" s="1115" t="n">
        <v>9.45</v>
      </c>
      <c r="N33" s="1115" t="s">
        <v>1681</v>
      </c>
      <c r="O33" s="1114" t="s">
        <v>1134</v>
      </c>
      <c r="P33" s="1114" t="s">
        <v>1135</v>
      </c>
      <c r="Q33" s="1114"/>
      <c r="R33" s="1117" t="s">
        <v>1466</v>
      </c>
      <c r="S33" s="1114" t="s">
        <v>1140</v>
      </c>
      <c r="T33" s="1115" t="s">
        <v>1682</v>
      </c>
      <c r="U33" s="1115" t="n">
        <v>7.24</v>
      </c>
      <c r="V33" s="1115" t="s">
        <v>1683</v>
      </c>
      <c r="W33" s="1114" t="s">
        <v>1134</v>
      </c>
      <c r="X33" s="1114" t="s">
        <v>1135</v>
      </c>
      <c r="Y33" s="1117"/>
      <c r="Z33" s="1117" t="s">
        <v>88</v>
      </c>
      <c r="AA33" s="1114" t="s">
        <v>1148</v>
      </c>
      <c r="AB33" s="1115" t="s">
        <v>1684</v>
      </c>
      <c r="AC33" s="1115" t="n">
        <v>11.09</v>
      </c>
      <c r="AD33" s="1115" t="s">
        <v>1685</v>
      </c>
      <c r="AE33" s="1114" t="s">
        <v>1134</v>
      </c>
      <c r="AF33" s="1114" t="s">
        <v>1135</v>
      </c>
      <c r="AG33" s="1114"/>
      <c r="AH33" s="1117" t="s">
        <v>1686</v>
      </c>
      <c r="AI33" s="1114" t="s">
        <v>1152</v>
      </c>
      <c r="AJ33" s="1115" t="s">
        <v>1687</v>
      </c>
      <c r="AK33" s="1115" t="n">
        <v>11.87</v>
      </c>
      <c r="AL33" s="1115" t="s">
        <v>1688</v>
      </c>
      <c r="AM33" s="1114" t="s">
        <v>1134</v>
      </c>
      <c r="AN33" s="1114" t="s">
        <v>1135</v>
      </c>
      <c r="AO33" s="1114"/>
      <c r="AP33" s="1117" t="s">
        <v>52</v>
      </c>
      <c r="AQ33" s="1114" t="s">
        <v>1156</v>
      </c>
      <c r="AR33" s="1115" t="s">
        <v>1689</v>
      </c>
      <c r="AS33" s="1115" t="n">
        <v>13.14</v>
      </c>
      <c r="AT33" s="1115" t="s">
        <v>1690</v>
      </c>
      <c r="AU33" s="1114" t="s">
        <v>1134</v>
      </c>
      <c r="AV33" s="1114" t="s">
        <v>1135</v>
      </c>
      <c r="AW33" s="1114"/>
      <c r="AX33" s="1117" t="s">
        <v>1431</v>
      </c>
      <c r="AY33" s="1114" t="s">
        <v>1156</v>
      </c>
      <c r="AZ33" s="1115" t="s">
        <v>1691</v>
      </c>
      <c r="BA33" s="1115" t="n">
        <v>12.38</v>
      </c>
      <c r="BB33" s="1115" t="s">
        <v>1692</v>
      </c>
      <c r="BC33" s="1114" t="s">
        <v>1134</v>
      </c>
      <c r="BD33" s="1114" t="s">
        <v>1135</v>
      </c>
      <c r="BE33" s="1118"/>
      <c r="BF33" s="1153" t="s">
        <v>1434</v>
      </c>
      <c r="BG33" s="1114" t="s">
        <v>1160</v>
      </c>
      <c r="BH33" s="1136" t="s">
        <v>1397</v>
      </c>
      <c r="BI33" s="1120" t="n">
        <v>8.68</v>
      </c>
      <c r="BJ33" s="1136" t="s">
        <v>1693</v>
      </c>
      <c r="BK33" s="1121" t="s">
        <v>1134</v>
      </c>
      <c r="BL33" s="1121" t="s">
        <v>1135</v>
      </c>
    </row>
    <row r="34" s="207" customFormat="true" ht="9.95" hidden="false" customHeight="true" outlineLevel="0" collapsed="false">
      <c r="A34" s="1148"/>
      <c r="B34" s="1104" t="s">
        <v>1305</v>
      </c>
      <c r="C34" s="1105" t="s">
        <v>1137</v>
      </c>
      <c r="D34" s="1106" t="s">
        <v>1694</v>
      </c>
      <c r="E34" s="1106" t="n">
        <v>6.25</v>
      </c>
      <c r="F34" s="1106" t="s">
        <v>1695</v>
      </c>
      <c r="G34" s="1105" t="s">
        <v>1134</v>
      </c>
      <c r="H34" s="1105" t="s">
        <v>1135</v>
      </c>
      <c r="I34" s="1105"/>
      <c r="J34" s="1108" t="s">
        <v>66</v>
      </c>
      <c r="K34" s="1105" t="s">
        <v>1140</v>
      </c>
      <c r="L34" s="1106" t="s">
        <v>1696</v>
      </c>
      <c r="M34" s="1106" t="n">
        <v>9.45</v>
      </c>
      <c r="N34" s="1106" t="s">
        <v>1697</v>
      </c>
      <c r="O34" s="1105" t="s">
        <v>1134</v>
      </c>
      <c r="P34" s="1105" t="s">
        <v>1135</v>
      </c>
      <c r="Q34" s="1105"/>
      <c r="R34" s="1108" t="s">
        <v>1484</v>
      </c>
      <c r="S34" s="1105" t="s">
        <v>1140</v>
      </c>
      <c r="T34" s="1106" t="s">
        <v>1698</v>
      </c>
      <c r="U34" s="1106" t="n">
        <v>7.39</v>
      </c>
      <c r="V34" s="1106" t="s">
        <v>1699</v>
      </c>
      <c r="W34" s="1105" t="s">
        <v>1134</v>
      </c>
      <c r="X34" s="1105" t="s">
        <v>1135</v>
      </c>
      <c r="Y34" s="1108"/>
      <c r="Z34" s="1108" t="s">
        <v>90</v>
      </c>
      <c r="AA34" s="1105" t="s">
        <v>1148</v>
      </c>
      <c r="AB34" s="1106" t="s">
        <v>1700</v>
      </c>
      <c r="AC34" s="1106" t="n">
        <v>9.39</v>
      </c>
      <c r="AD34" s="1106" t="s">
        <v>1701</v>
      </c>
      <c r="AE34" s="1105" t="s">
        <v>1134</v>
      </c>
      <c r="AF34" s="1105" t="s">
        <v>1135</v>
      </c>
      <c r="AG34" s="1105"/>
      <c r="AH34" s="1108" t="s">
        <v>1702</v>
      </c>
      <c r="AI34" s="1105" t="s">
        <v>1152</v>
      </c>
      <c r="AJ34" s="1106" t="s">
        <v>1703</v>
      </c>
      <c r="AK34" s="1106" t="n">
        <v>11.59</v>
      </c>
      <c r="AL34" s="1106" t="s">
        <v>1704</v>
      </c>
      <c r="AM34" s="1105" t="s">
        <v>1134</v>
      </c>
      <c r="AN34" s="1105" t="s">
        <v>1135</v>
      </c>
      <c r="AO34" s="1105"/>
      <c r="AP34" s="1108" t="s">
        <v>54</v>
      </c>
      <c r="AQ34" s="1105" t="s">
        <v>1156</v>
      </c>
      <c r="AR34" s="1106" t="s">
        <v>1705</v>
      </c>
      <c r="AS34" s="1106" t="n">
        <v>13.04</v>
      </c>
      <c r="AT34" s="1106" t="s">
        <v>1706</v>
      </c>
      <c r="AU34" s="1105" t="s">
        <v>1134</v>
      </c>
      <c r="AV34" s="1105" t="s">
        <v>1135</v>
      </c>
      <c r="AW34" s="1105"/>
      <c r="AX34" s="1108" t="s">
        <v>1449</v>
      </c>
      <c r="AY34" s="1105" t="s">
        <v>1160</v>
      </c>
      <c r="AZ34" s="1106" t="s">
        <v>1707</v>
      </c>
      <c r="BA34" s="1106" t="n">
        <v>12.48</v>
      </c>
      <c r="BB34" s="1106" t="s">
        <v>1708</v>
      </c>
      <c r="BC34" s="1105" t="s">
        <v>1134</v>
      </c>
      <c r="BD34" s="1105" t="s">
        <v>1135</v>
      </c>
      <c r="BE34" s="1109"/>
      <c r="BF34" s="1154" t="s">
        <v>1452</v>
      </c>
      <c r="BG34" s="1105" t="s">
        <v>1160</v>
      </c>
      <c r="BH34" s="1143" t="s">
        <v>1416</v>
      </c>
      <c r="BI34" s="1111" t="n">
        <v>9.29</v>
      </c>
      <c r="BJ34" s="1143" t="s">
        <v>1709</v>
      </c>
      <c r="BK34" s="1112" t="s">
        <v>1134</v>
      </c>
      <c r="BL34" s="1112" t="s">
        <v>1135</v>
      </c>
    </row>
    <row r="35" s="207" customFormat="true" ht="9.95" hidden="false" customHeight="true" outlineLevel="0" collapsed="false">
      <c r="A35" s="1149"/>
      <c r="B35" s="1113" t="s">
        <v>64</v>
      </c>
      <c r="C35" s="1114" t="s">
        <v>1137</v>
      </c>
      <c r="D35" s="1115" t="s">
        <v>1710</v>
      </c>
      <c r="E35" s="1115" t="n">
        <v>6.24</v>
      </c>
      <c r="F35" s="1115" t="s">
        <v>1711</v>
      </c>
      <c r="G35" s="1114" t="s">
        <v>1134</v>
      </c>
      <c r="H35" s="1114" t="s">
        <v>1135</v>
      </c>
      <c r="I35" s="1114"/>
      <c r="J35" s="1117" t="s">
        <v>1363</v>
      </c>
      <c r="K35" s="1114" t="s">
        <v>1140</v>
      </c>
      <c r="L35" s="1115" t="s">
        <v>1712</v>
      </c>
      <c r="M35" s="1115" t="n">
        <v>9.45</v>
      </c>
      <c r="N35" s="1115" t="s">
        <v>1713</v>
      </c>
      <c r="O35" s="1114" t="s">
        <v>1134</v>
      </c>
      <c r="P35" s="1114" t="s">
        <v>1135</v>
      </c>
      <c r="Q35" s="1114"/>
      <c r="R35" s="1117" t="s">
        <v>1500</v>
      </c>
      <c r="S35" s="1114" t="s">
        <v>1140</v>
      </c>
      <c r="T35" s="1115" t="s">
        <v>1714</v>
      </c>
      <c r="U35" s="1115" t="n">
        <v>7.35</v>
      </c>
      <c r="V35" s="1115" t="s">
        <v>1715</v>
      </c>
      <c r="W35" s="1114" t="s">
        <v>1134</v>
      </c>
      <c r="X35" s="1114" t="s">
        <v>1135</v>
      </c>
      <c r="Y35" s="1117"/>
      <c r="Z35" s="1117" t="s">
        <v>92</v>
      </c>
      <c r="AA35" s="1114" t="s">
        <v>1148</v>
      </c>
      <c r="AB35" s="1115" t="s">
        <v>1716</v>
      </c>
      <c r="AC35" s="1115" t="n">
        <v>8.59</v>
      </c>
      <c r="AD35" s="1115" t="s">
        <v>1717</v>
      </c>
      <c r="AE35" s="1114" t="s">
        <v>1134</v>
      </c>
      <c r="AF35" s="1114" t="s">
        <v>1135</v>
      </c>
      <c r="AG35" s="1114"/>
      <c r="AH35" s="1117" t="s">
        <v>1718</v>
      </c>
      <c r="AI35" s="1114" t="s">
        <v>1152</v>
      </c>
      <c r="AJ35" s="1115" t="s">
        <v>1719</v>
      </c>
      <c r="AK35" s="1116" t="n">
        <v>11.5</v>
      </c>
      <c r="AL35" s="1115" t="s">
        <v>1720</v>
      </c>
      <c r="AM35" s="1114" t="s">
        <v>1134</v>
      </c>
      <c r="AN35" s="1114" t="s">
        <v>1135</v>
      </c>
      <c r="AO35" s="1114"/>
      <c r="AP35" s="1117" t="s">
        <v>56</v>
      </c>
      <c r="AQ35" s="1114" t="s">
        <v>1156</v>
      </c>
      <c r="AR35" s="1115" t="s">
        <v>1721</v>
      </c>
      <c r="AS35" s="1115" t="n">
        <v>13.14</v>
      </c>
      <c r="AT35" s="1115" t="s">
        <v>1722</v>
      </c>
      <c r="AU35" s="1114" t="s">
        <v>1134</v>
      </c>
      <c r="AV35" s="1114" t="s">
        <v>1135</v>
      </c>
      <c r="AW35" s="1114"/>
      <c r="AX35" s="1117" t="s">
        <v>1466</v>
      </c>
      <c r="AY35" s="1114" t="s">
        <v>1160</v>
      </c>
      <c r="AZ35" s="1115" t="s">
        <v>1723</v>
      </c>
      <c r="BA35" s="1115" t="n">
        <v>12.48</v>
      </c>
      <c r="BB35" s="1115" t="s">
        <v>1724</v>
      </c>
      <c r="BC35" s="1114" t="s">
        <v>1134</v>
      </c>
      <c r="BD35" s="1114" t="s">
        <v>1135</v>
      </c>
      <c r="BE35" s="1118"/>
      <c r="BF35" s="1155" t="s">
        <v>1469</v>
      </c>
      <c r="BG35" s="1114" t="s">
        <v>1160</v>
      </c>
      <c r="BH35" s="1136" t="s">
        <v>1435</v>
      </c>
      <c r="BI35" s="1120" t="n">
        <v>9.54</v>
      </c>
      <c r="BJ35" s="1136" t="s">
        <v>1725</v>
      </c>
      <c r="BK35" s="1121" t="s">
        <v>1134</v>
      </c>
      <c r="BL35" s="1121" t="s">
        <v>1135</v>
      </c>
    </row>
    <row r="36" s="207" customFormat="true" ht="9.95" hidden="false" customHeight="true" outlineLevel="0" collapsed="false">
      <c r="A36" s="1148"/>
      <c r="B36" s="1104" t="s">
        <v>66</v>
      </c>
      <c r="C36" s="1105" t="s">
        <v>1137</v>
      </c>
      <c r="D36" s="1106" t="s">
        <v>1726</v>
      </c>
      <c r="E36" s="1107" t="n">
        <v>6.6</v>
      </c>
      <c r="F36" s="1106" t="s">
        <v>1727</v>
      </c>
      <c r="G36" s="1105" t="s">
        <v>1134</v>
      </c>
      <c r="H36" s="1105" t="s">
        <v>1135</v>
      </c>
      <c r="I36" s="1105"/>
      <c r="J36" s="1108" t="s">
        <v>72</v>
      </c>
      <c r="K36" s="1105" t="s">
        <v>1140</v>
      </c>
      <c r="L36" s="1106" t="s">
        <v>1728</v>
      </c>
      <c r="M36" s="1106" t="n">
        <v>9.45</v>
      </c>
      <c r="N36" s="1106" t="s">
        <v>1729</v>
      </c>
      <c r="O36" s="1105" t="s">
        <v>1134</v>
      </c>
      <c r="P36" s="1105" t="s">
        <v>1135</v>
      </c>
      <c r="Q36" s="1105"/>
      <c r="R36" s="1108" t="s">
        <v>1516</v>
      </c>
      <c r="S36" s="1105" t="s">
        <v>1140</v>
      </c>
      <c r="T36" s="1106" t="s">
        <v>1730</v>
      </c>
      <c r="U36" s="1106" t="n">
        <v>7.11</v>
      </c>
      <c r="V36" s="1106" t="s">
        <v>1731</v>
      </c>
      <c r="W36" s="1105" t="s">
        <v>1134</v>
      </c>
      <c r="X36" s="1105" t="s">
        <v>1135</v>
      </c>
      <c r="Y36" s="1108"/>
      <c r="Z36" s="1108" t="s">
        <v>94</v>
      </c>
      <c r="AA36" s="1105" t="s">
        <v>1148</v>
      </c>
      <c r="AB36" s="1106" t="s">
        <v>1732</v>
      </c>
      <c r="AC36" s="1107" t="n">
        <v>8.8</v>
      </c>
      <c r="AD36" s="1106" t="s">
        <v>1733</v>
      </c>
      <c r="AE36" s="1105" t="s">
        <v>1134</v>
      </c>
      <c r="AF36" s="1105" t="s">
        <v>1135</v>
      </c>
      <c r="AG36" s="1105"/>
      <c r="AH36" s="1108" t="s">
        <v>1734</v>
      </c>
      <c r="AI36" s="1105" t="s">
        <v>1152</v>
      </c>
      <c r="AJ36" s="1106" t="s">
        <v>1735</v>
      </c>
      <c r="AK36" s="1106" t="n">
        <v>11.42</v>
      </c>
      <c r="AL36" s="1106" t="s">
        <v>1736</v>
      </c>
      <c r="AM36" s="1105" t="s">
        <v>1134</v>
      </c>
      <c r="AN36" s="1105" t="s">
        <v>1135</v>
      </c>
      <c r="AO36" s="1105"/>
      <c r="AP36" s="1108" t="s">
        <v>1305</v>
      </c>
      <c r="AQ36" s="1105" t="s">
        <v>1156</v>
      </c>
      <c r="AR36" s="1106" t="s">
        <v>1737</v>
      </c>
      <c r="AS36" s="1106" t="n">
        <v>13.13</v>
      </c>
      <c r="AT36" s="1106" t="s">
        <v>1738</v>
      </c>
      <c r="AU36" s="1105" t="s">
        <v>1134</v>
      </c>
      <c r="AV36" s="1105" t="s">
        <v>1135</v>
      </c>
      <c r="AW36" s="1105"/>
      <c r="AX36" s="1108" t="s">
        <v>1484</v>
      </c>
      <c r="AY36" s="1105" t="s">
        <v>1160</v>
      </c>
      <c r="AZ36" s="1106" t="s">
        <v>1739</v>
      </c>
      <c r="BA36" s="1106" t="n">
        <v>12.48</v>
      </c>
      <c r="BB36" s="1106" t="s">
        <v>1740</v>
      </c>
      <c r="BC36" s="1105" t="s">
        <v>1134</v>
      </c>
      <c r="BD36" s="1105" t="s">
        <v>1135</v>
      </c>
      <c r="BE36" s="1109"/>
      <c r="BF36" s="1156" t="s">
        <v>1487</v>
      </c>
      <c r="BG36" s="1105" t="s">
        <v>1160</v>
      </c>
      <c r="BH36" s="1143" t="s">
        <v>1453</v>
      </c>
      <c r="BI36" s="1111" t="n">
        <v>9.8</v>
      </c>
      <c r="BJ36" s="1143" t="s">
        <v>1741</v>
      </c>
      <c r="BK36" s="1112" t="s">
        <v>1134</v>
      </c>
      <c r="BL36" s="1112" t="s">
        <v>1135</v>
      </c>
    </row>
    <row r="37" s="207" customFormat="true" ht="9.95" hidden="false" customHeight="true" outlineLevel="0" collapsed="false">
      <c r="A37" s="1149"/>
      <c r="B37" s="1113" t="s">
        <v>1363</v>
      </c>
      <c r="C37" s="1114" t="s">
        <v>1137</v>
      </c>
      <c r="D37" s="1115" t="s">
        <v>1742</v>
      </c>
      <c r="E37" s="1115" t="n">
        <v>7.09</v>
      </c>
      <c r="F37" s="1115" t="s">
        <v>1729</v>
      </c>
      <c r="G37" s="1114" t="s">
        <v>1134</v>
      </c>
      <c r="H37" s="1114" t="s">
        <v>1135</v>
      </c>
      <c r="I37" s="1114"/>
      <c r="J37" s="1117" t="s">
        <v>74</v>
      </c>
      <c r="K37" s="1114" t="s">
        <v>1140</v>
      </c>
      <c r="L37" s="1115" t="s">
        <v>1743</v>
      </c>
      <c r="M37" s="1116" t="n">
        <v>9.5</v>
      </c>
      <c r="N37" s="1115" t="s">
        <v>1744</v>
      </c>
      <c r="O37" s="1114" t="s">
        <v>1134</v>
      </c>
      <c r="P37" s="1114" t="s">
        <v>1135</v>
      </c>
      <c r="Q37" s="1114"/>
      <c r="R37" s="1117" t="s">
        <v>1534</v>
      </c>
      <c r="S37" s="1114" t="s">
        <v>1140</v>
      </c>
      <c r="T37" s="1115" t="s">
        <v>1745</v>
      </c>
      <c r="U37" s="1115" t="n">
        <v>6.84</v>
      </c>
      <c r="V37" s="1115" t="s">
        <v>1746</v>
      </c>
      <c r="W37" s="1114" t="s">
        <v>1134</v>
      </c>
      <c r="X37" s="1114" t="s">
        <v>1135</v>
      </c>
      <c r="Y37" s="1117"/>
      <c r="Z37" s="1117" t="s">
        <v>96</v>
      </c>
      <c r="AA37" s="1114" t="s">
        <v>1148</v>
      </c>
      <c r="AB37" s="1115" t="s">
        <v>1747</v>
      </c>
      <c r="AC37" s="1115" t="n">
        <v>8.69</v>
      </c>
      <c r="AD37" s="1115" t="s">
        <v>1748</v>
      </c>
      <c r="AE37" s="1114" t="s">
        <v>1134</v>
      </c>
      <c r="AF37" s="1114" t="s">
        <v>1135</v>
      </c>
      <c r="AG37" s="1114"/>
      <c r="AH37" s="1117" t="s">
        <v>1749</v>
      </c>
      <c r="AI37" s="1114" t="s">
        <v>1152</v>
      </c>
      <c r="AJ37" s="1115" t="s">
        <v>1750</v>
      </c>
      <c r="AK37" s="1115" t="n">
        <v>11.47</v>
      </c>
      <c r="AL37" s="1115" t="s">
        <v>1751</v>
      </c>
      <c r="AM37" s="1114" t="s">
        <v>1134</v>
      </c>
      <c r="AN37" s="1114" t="s">
        <v>1135</v>
      </c>
      <c r="AO37" s="1114"/>
      <c r="AP37" s="1117" t="s">
        <v>64</v>
      </c>
      <c r="AQ37" s="1114" t="s">
        <v>1156</v>
      </c>
      <c r="AR37" s="1115" t="s">
        <v>1752</v>
      </c>
      <c r="AS37" s="1115" t="n">
        <v>13.09</v>
      </c>
      <c r="AT37" s="1115" t="s">
        <v>1753</v>
      </c>
      <c r="AU37" s="1114" t="s">
        <v>1134</v>
      </c>
      <c r="AV37" s="1114" t="s">
        <v>1135</v>
      </c>
      <c r="AW37" s="1114"/>
      <c r="AX37" s="1117" t="s">
        <v>1500</v>
      </c>
      <c r="AY37" s="1114" t="s">
        <v>1160</v>
      </c>
      <c r="AZ37" s="1115" t="s">
        <v>1754</v>
      </c>
      <c r="BA37" s="1115" t="n">
        <v>12.47</v>
      </c>
      <c r="BB37" s="1115" t="s">
        <v>1755</v>
      </c>
      <c r="BC37" s="1114" t="s">
        <v>1134</v>
      </c>
      <c r="BD37" s="1114" t="s">
        <v>1135</v>
      </c>
      <c r="BE37" s="1118"/>
      <c r="BF37" s="1155" t="s">
        <v>1503</v>
      </c>
      <c r="BG37" s="1114" t="s">
        <v>1160</v>
      </c>
      <c r="BH37" s="1136" t="s">
        <v>1470</v>
      </c>
      <c r="BI37" s="1120" t="n">
        <v>9.7802</v>
      </c>
      <c r="BJ37" s="1136" t="s">
        <v>1756</v>
      </c>
      <c r="BK37" s="1115" t="s">
        <v>1134</v>
      </c>
      <c r="BL37" s="1115" t="s">
        <v>1135</v>
      </c>
    </row>
    <row r="38" s="207" customFormat="true" ht="9.95" hidden="false" customHeight="true" outlineLevel="0" collapsed="false">
      <c r="A38" s="1148"/>
      <c r="B38" s="1104" t="s">
        <v>72</v>
      </c>
      <c r="C38" s="1105" t="s">
        <v>1137</v>
      </c>
      <c r="D38" s="1106" t="s">
        <v>1757</v>
      </c>
      <c r="E38" s="1106" t="n">
        <v>6.54</v>
      </c>
      <c r="F38" s="1106" t="s">
        <v>1744</v>
      </c>
      <c r="G38" s="1105" t="s">
        <v>1134</v>
      </c>
      <c r="H38" s="1105" t="s">
        <v>1135</v>
      </c>
      <c r="I38" s="1105"/>
      <c r="J38" s="1108" t="s">
        <v>76</v>
      </c>
      <c r="K38" s="1105" t="s">
        <v>1140</v>
      </c>
      <c r="L38" s="1106" t="s">
        <v>1758</v>
      </c>
      <c r="M38" s="1106" t="n">
        <v>9.53</v>
      </c>
      <c r="N38" s="1106" t="s">
        <v>1759</v>
      </c>
      <c r="O38" s="1105" t="s">
        <v>1134</v>
      </c>
      <c r="P38" s="1105" t="s">
        <v>1135</v>
      </c>
      <c r="Q38" s="1105"/>
      <c r="R38" s="1108" t="s">
        <v>1553</v>
      </c>
      <c r="S38" s="1105" t="s">
        <v>1140</v>
      </c>
      <c r="T38" s="1106" t="s">
        <v>1760</v>
      </c>
      <c r="U38" s="1107" t="n">
        <v>7.5</v>
      </c>
      <c r="V38" s="1106" t="s">
        <v>1761</v>
      </c>
      <c r="W38" s="1105" t="s">
        <v>1134</v>
      </c>
      <c r="X38" s="1105" t="s">
        <v>1135</v>
      </c>
      <c r="Y38" s="1108"/>
      <c r="Z38" s="1108" t="s">
        <v>98</v>
      </c>
      <c r="AA38" s="1105" t="s">
        <v>1148</v>
      </c>
      <c r="AB38" s="1106" t="s">
        <v>1762</v>
      </c>
      <c r="AC38" s="1106" t="n">
        <v>8.69</v>
      </c>
      <c r="AD38" s="1106" t="s">
        <v>1763</v>
      </c>
      <c r="AE38" s="1105" t="s">
        <v>1134</v>
      </c>
      <c r="AF38" s="1105" t="s">
        <v>1135</v>
      </c>
      <c r="AG38" s="1105"/>
      <c r="AH38" s="1108" t="s">
        <v>1764</v>
      </c>
      <c r="AI38" s="1105" t="s">
        <v>1152</v>
      </c>
      <c r="AJ38" s="1106" t="s">
        <v>1765</v>
      </c>
      <c r="AK38" s="1106" t="n">
        <v>10.06</v>
      </c>
      <c r="AL38" s="1106" t="s">
        <v>1766</v>
      </c>
      <c r="AM38" s="1105" t="s">
        <v>1134</v>
      </c>
      <c r="AN38" s="1105" t="s">
        <v>1135</v>
      </c>
      <c r="AO38" s="1105"/>
      <c r="AP38" s="1108" t="s">
        <v>66</v>
      </c>
      <c r="AQ38" s="1105" t="s">
        <v>1156</v>
      </c>
      <c r="AR38" s="1106" t="s">
        <v>1767</v>
      </c>
      <c r="AS38" s="1106" t="n">
        <v>13.07</v>
      </c>
      <c r="AT38" s="1106" t="s">
        <v>1768</v>
      </c>
      <c r="AU38" s="1105" t="s">
        <v>1134</v>
      </c>
      <c r="AV38" s="1105" t="s">
        <v>1135</v>
      </c>
      <c r="AW38" s="1105"/>
      <c r="AX38" s="1108" t="s">
        <v>1516</v>
      </c>
      <c r="AY38" s="1105" t="s">
        <v>1160</v>
      </c>
      <c r="AZ38" s="1106" t="s">
        <v>1769</v>
      </c>
      <c r="BA38" s="1106" t="n">
        <v>12.48</v>
      </c>
      <c r="BB38" s="1106" t="s">
        <v>1770</v>
      </c>
      <c r="BC38" s="1105" t="s">
        <v>1134</v>
      </c>
      <c r="BD38" s="1105" t="s">
        <v>1135</v>
      </c>
      <c r="BE38" s="1109"/>
      <c r="BF38" s="1104" t="s">
        <v>1519</v>
      </c>
      <c r="BG38" s="1105" t="s">
        <v>1160</v>
      </c>
      <c r="BH38" s="1143" t="s">
        <v>1488</v>
      </c>
      <c r="BI38" s="1111" t="n">
        <v>9.49</v>
      </c>
      <c r="BJ38" s="1143" t="s">
        <v>1771</v>
      </c>
      <c r="BK38" s="1106" t="s">
        <v>1134</v>
      </c>
      <c r="BL38" s="1106" t="s">
        <v>1135</v>
      </c>
    </row>
    <row r="39" s="207" customFormat="true" ht="9.95" hidden="false" customHeight="true" outlineLevel="0" collapsed="false">
      <c r="A39" s="1149"/>
      <c r="B39" s="1113" t="s">
        <v>74</v>
      </c>
      <c r="C39" s="1114" t="s">
        <v>1137</v>
      </c>
      <c r="D39" s="1115" t="s">
        <v>1772</v>
      </c>
      <c r="E39" s="1115" t="n">
        <v>6.14</v>
      </c>
      <c r="F39" s="1115" t="s">
        <v>1773</v>
      </c>
      <c r="G39" s="1114" t="s">
        <v>1134</v>
      </c>
      <c r="H39" s="1114" t="s">
        <v>1135</v>
      </c>
      <c r="I39" s="1114"/>
      <c r="J39" s="1117" t="s">
        <v>78</v>
      </c>
      <c r="K39" s="1114" t="s">
        <v>1140</v>
      </c>
      <c r="L39" s="1115" t="s">
        <v>1774</v>
      </c>
      <c r="M39" s="1115" t="n">
        <v>9.55</v>
      </c>
      <c r="N39" s="1115" t="s">
        <v>1775</v>
      </c>
      <c r="O39" s="1114" t="s">
        <v>1134</v>
      </c>
      <c r="P39" s="1114" t="s">
        <v>1135</v>
      </c>
      <c r="Q39" s="1114"/>
      <c r="R39" s="1117" t="s">
        <v>1571</v>
      </c>
      <c r="S39" s="1114" t="s">
        <v>1140</v>
      </c>
      <c r="T39" s="1115" t="s">
        <v>1776</v>
      </c>
      <c r="U39" s="1116" t="n">
        <v>7</v>
      </c>
      <c r="V39" s="1115" t="s">
        <v>1777</v>
      </c>
      <c r="W39" s="1114" t="s">
        <v>1134</v>
      </c>
      <c r="X39" s="1114" t="s">
        <v>1135</v>
      </c>
      <c r="Y39" s="1117"/>
      <c r="Z39" s="1117" t="s">
        <v>100</v>
      </c>
      <c r="AA39" s="1114" t="s">
        <v>1148</v>
      </c>
      <c r="AB39" s="1115" t="s">
        <v>1778</v>
      </c>
      <c r="AC39" s="1115" t="n">
        <v>8.74</v>
      </c>
      <c r="AD39" s="1115" t="s">
        <v>1779</v>
      </c>
      <c r="AE39" s="1114" t="s">
        <v>1134</v>
      </c>
      <c r="AF39" s="1114" t="s">
        <v>1135</v>
      </c>
      <c r="AG39" s="1114"/>
      <c r="AH39" s="1117" t="s">
        <v>1780</v>
      </c>
      <c r="AI39" s="1114" t="s">
        <v>1152</v>
      </c>
      <c r="AJ39" s="1115" t="s">
        <v>1781</v>
      </c>
      <c r="AK39" s="1115" t="n">
        <v>8.57</v>
      </c>
      <c r="AL39" s="1115" t="s">
        <v>1782</v>
      </c>
      <c r="AM39" s="1114" t="s">
        <v>1134</v>
      </c>
      <c r="AN39" s="1114" t="s">
        <v>1135</v>
      </c>
      <c r="AO39" s="1114"/>
      <c r="AP39" s="1117" t="s">
        <v>1363</v>
      </c>
      <c r="AQ39" s="1114" t="s">
        <v>1156</v>
      </c>
      <c r="AR39" s="1115" t="s">
        <v>1783</v>
      </c>
      <c r="AS39" s="1115" t="n">
        <v>13.07</v>
      </c>
      <c r="AT39" s="1115" t="s">
        <v>1784</v>
      </c>
      <c r="AU39" s="1114" t="s">
        <v>1134</v>
      </c>
      <c r="AV39" s="1114" t="s">
        <v>1135</v>
      </c>
      <c r="AW39" s="1114"/>
      <c r="AX39" s="1117" t="s">
        <v>1534</v>
      </c>
      <c r="AY39" s="1114" t="s">
        <v>1160</v>
      </c>
      <c r="AZ39" s="1115" t="s">
        <v>1785</v>
      </c>
      <c r="BA39" s="1115" t="n">
        <v>12.48</v>
      </c>
      <c r="BB39" s="1115" t="s">
        <v>1786</v>
      </c>
      <c r="BC39" s="1114" t="s">
        <v>1134</v>
      </c>
      <c r="BD39" s="1114" t="s">
        <v>1135</v>
      </c>
      <c r="BE39" s="1118"/>
      <c r="BF39" s="1113" t="s">
        <v>1537</v>
      </c>
      <c r="BG39" s="1114" t="s">
        <v>1160</v>
      </c>
      <c r="BH39" s="1136" t="s">
        <v>1504</v>
      </c>
      <c r="BI39" s="1120" t="n">
        <v>9.29</v>
      </c>
      <c r="BJ39" s="1136" t="s">
        <v>1787</v>
      </c>
      <c r="BK39" s="1121" t="s">
        <v>1134</v>
      </c>
      <c r="BL39" s="1121" t="s">
        <v>1135</v>
      </c>
    </row>
    <row r="40" s="207" customFormat="true" ht="9.95" hidden="false" customHeight="true" outlineLevel="0" collapsed="false">
      <c r="A40" s="1148"/>
      <c r="B40" s="1104" t="s">
        <v>76</v>
      </c>
      <c r="C40" s="1105" t="s">
        <v>1137</v>
      </c>
      <c r="D40" s="1106" t="s">
        <v>1788</v>
      </c>
      <c r="E40" s="1107" t="n">
        <v>5.8</v>
      </c>
      <c r="F40" s="1106" t="s">
        <v>1789</v>
      </c>
      <c r="G40" s="1105" t="s">
        <v>1134</v>
      </c>
      <c r="H40" s="1105" t="s">
        <v>1135</v>
      </c>
      <c r="I40" s="1105"/>
      <c r="J40" s="1108" t="s">
        <v>80</v>
      </c>
      <c r="K40" s="1105" t="s">
        <v>1140</v>
      </c>
      <c r="L40" s="1106" t="s">
        <v>1790</v>
      </c>
      <c r="M40" s="1106" t="n">
        <v>9.55</v>
      </c>
      <c r="N40" s="1106" t="s">
        <v>1791</v>
      </c>
      <c r="O40" s="1105" t="s">
        <v>1134</v>
      </c>
      <c r="P40" s="1105" t="s">
        <v>1135</v>
      </c>
      <c r="Q40" s="1105"/>
      <c r="R40" s="1108" t="s">
        <v>1587</v>
      </c>
      <c r="S40" s="1105" t="s">
        <v>1140</v>
      </c>
      <c r="T40" s="1106" t="s">
        <v>1792</v>
      </c>
      <c r="U40" s="1106" t="n">
        <v>6.95</v>
      </c>
      <c r="V40" s="1106" t="s">
        <v>1793</v>
      </c>
      <c r="W40" s="1105" t="s">
        <v>1134</v>
      </c>
      <c r="X40" s="1105" t="s">
        <v>1135</v>
      </c>
      <c r="Y40" s="1108"/>
      <c r="Z40" s="1108" t="s">
        <v>1794</v>
      </c>
      <c r="AA40" s="1105" t="s">
        <v>1148</v>
      </c>
      <c r="AB40" s="1106" t="s">
        <v>1795</v>
      </c>
      <c r="AC40" s="1106" t="n">
        <v>8.74</v>
      </c>
      <c r="AD40" s="1106" t="s">
        <v>1796</v>
      </c>
      <c r="AE40" s="1105" t="s">
        <v>1134</v>
      </c>
      <c r="AF40" s="1105" t="s">
        <v>1135</v>
      </c>
      <c r="AG40" s="1105"/>
      <c r="AH40" s="1108" t="s">
        <v>1797</v>
      </c>
      <c r="AI40" s="1105" t="s">
        <v>1152</v>
      </c>
      <c r="AJ40" s="1106" t="s">
        <v>1798</v>
      </c>
      <c r="AK40" s="1106" t="n">
        <v>8.44</v>
      </c>
      <c r="AL40" s="1106" t="s">
        <v>1799</v>
      </c>
      <c r="AM40" s="1105" t="s">
        <v>1134</v>
      </c>
      <c r="AN40" s="1105" t="s">
        <v>1135</v>
      </c>
      <c r="AO40" s="1105"/>
      <c r="AP40" s="1108" t="s">
        <v>72</v>
      </c>
      <c r="AQ40" s="1105" t="s">
        <v>1156</v>
      </c>
      <c r="AR40" s="1106" t="s">
        <v>1800</v>
      </c>
      <c r="AS40" s="1106" t="n">
        <v>13.07</v>
      </c>
      <c r="AT40" s="1106" t="s">
        <v>1801</v>
      </c>
      <c r="AU40" s="1105" t="s">
        <v>1134</v>
      </c>
      <c r="AV40" s="1105" t="s">
        <v>1135</v>
      </c>
      <c r="AW40" s="1105"/>
      <c r="AX40" s="1108" t="s">
        <v>1553</v>
      </c>
      <c r="AY40" s="1105" t="s">
        <v>1160</v>
      </c>
      <c r="AZ40" s="1106" t="s">
        <v>1802</v>
      </c>
      <c r="BA40" s="1106" t="n">
        <v>12.48</v>
      </c>
      <c r="BB40" s="1106" t="s">
        <v>1803</v>
      </c>
      <c r="BC40" s="1105" t="s">
        <v>1134</v>
      </c>
      <c r="BD40" s="1105" t="s">
        <v>1135</v>
      </c>
      <c r="BE40" s="287"/>
      <c r="BF40" s="1104" t="s">
        <v>1556</v>
      </c>
      <c r="BG40" s="1105" t="s">
        <v>1160</v>
      </c>
      <c r="BH40" s="1143" t="s">
        <v>1520</v>
      </c>
      <c r="BI40" s="1111" t="n">
        <v>9.43</v>
      </c>
      <c r="BJ40" s="1143" t="s">
        <v>1804</v>
      </c>
      <c r="BK40" s="1112" t="s">
        <v>1134</v>
      </c>
      <c r="BL40" s="1112" t="s">
        <v>1135</v>
      </c>
    </row>
    <row r="41" s="207" customFormat="true" ht="9.95" hidden="false" customHeight="true" outlineLevel="0" collapsed="false">
      <c r="A41" s="1149"/>
      <c r="B41" s="1113" t="s">
        <v>78</v>
      </c>
      <c r="C41" s="1114" t="s">
        <v>1137</v>
      </c>
      <c r="D41" s="1115" t="s">
        <v>1805</v>
      </c>
      <c r="E41" s="1116" t="n">
        <v>6</v>
      </c>
      <c r="F41" s="1115" t="s">
        <v>1806</v>
      </c>
      <c r="G41" s="1114" t="s">
        <v>1134</v>
      </c>
      <c r="H41" s="1114" t="s">
        <v>1135</v>
      </c>
      <c r="I41" s="1114"/>
      <c r="J41" s="1117" t="s">
        <v>82</v>
      </c>
      <c r="K41" s="1114" t="s">
        <v>1140</v>
      </c>
      <c r="L41" s="1115" t="s">
        <v>1807</v>
      </c>
      <c r="M41" s="1115" t="n">
        <v>9.55</v>
      </c>
      <c r="N41" s="1115" t="s">
        <v>1806</v>
      </c>
      <c r="O41" s="1114" t="s">
        <v>1134</v>
      </c>
      <c r="P41" s="1114" t="s">
        <v>1135</v>
      </c>
      <c r="Q41" s="1114"/>
      <c r="R41" s="1117" t="s">
        <v>1602</v>
      </c>
      <c r="S41" s="1114" t="s">
        <v>1140</v>
      </c>
      <c r="T41" s="1115" t="s">
        <v>1808</v>
      </c>
      <c r="U41" s="1115" t="n">
        <v>7.15</v>
      </c>
      <c r="V41" s="1115" t="s">
        <v>1809</v>
      </c>
      <c r="W41" s="1114" t="s">
        <v>1134</v>
      </c>
      <c r="X41" s="1114" t="s">
        <v>1135</v>
      </c>
      <c r="Y41" s="1117"/>
      <c r="Z41" s="1117" t="s">
        <v>1810</v>
      </c>
      <c r="AA41" s="1114" t="s">
        <v>1148</v>
      </c>
      <c r="AB41" s="1115" t="s">
        <v>1811</v>
      </c>
      <c r="AC41" s="1115" t="n">
        <v>8.75</v>
      </c>
      <c r="AD41" s="1115" t="s">
        <v>1812</v>
      </c>
      <c r="AE41" s="1114" t="s">
        <v>1134</v>
      </c>
      <c r="AF41" s="1114" t="s">
        <v>1135</v>
      </c>
      <c r="AG41" s="1114"/>
      <c r="AH41" s="1117" t="s">
        <v>1813</v>
      </c>
      <c r="AI41" s="1114" t="s">
        <v>1152</v>
      </c>
      <c r="AJ41" s="1115" t="s">
        <v>1814</v>
      </c>
      <c r="AK41" s="1116" t="n">
        <v>7.8</v>
      </c>
      <c r="AL41" s="1115" t="s">
        <v>1815</v>
      </c>
      <c r="AM41" s="1114" t="s">
        <v>1134</v>
      </c>
      <c r="AN41" s="1114" t="s">
        <v>1135</v>
      </c>
      <c r="AO41" s="1114"/>
      <c r="AP41" s="1117" t="s">
        <v>74</v>
      </c>
      <c r="AQ41" s="1114" t="s">
        <v>1156</v>
      </c>
      <c r="AR41" s="1115" t="s">
        <v>1816</v>
      </c>
      <c r="AS41" s="1115" t="n">
        <v>13.07</v>
      </c>
      <c r="AT41" s="1115" t="s">
        <v>1817</v>
      </c>
      <c r="AU41" s="1114" t="s">
        <v>1134</v>
      </c>
      <c r="AV41" s="1114" t="s">
        <v>1135</v>
      </c>
      <c r="AW41" s="1114"/>
      <c r="AX41" s="1117" t="s">
        <v>1571</v>
      </c>
      <c r="AY41" s="1114" t="s">
        <v>1160</v>
      </c>
      <c r="AZ41" s="1115" t="s">
        <v>1818</v>
      </c>
      <c r="BA41" s="1115" t="n">
        <v>12.48</v>
      </c>
      <c r="BB41" s="1115" t="s">
        <v>1819</v>
      </c>
      <c r="BC41" s="1114" t="s">
        <v>1134</v>
      </c>
      <c r="BD41" s="1114" t="s">
        <v>1135</v>
      </c>
      <c r="BE41" s="291"/>
      <c r="BF41" s="1113" t="s">
        <v>1574</v>
      </c>
      <c r="BG41" s="1114" t="s">
        <v>1160</v>
      </c>
      <c r="BH41" s="1136" t="s">
        <v>1557</v>
      </c>
      <c r="BI41" s="1120" t="n">
        <v>9.1</v>
      </c>
      <c r="BJ41" s="1136" t="s">
        <v>1820</v>
      </c>
      <c r="BK41" s="1121" t="s">
        <v>1134</v>
      </c>
      <c r="BL41" s="1121" t="s">
        <v>1135</v>
      </c>
    </row>
    <row r="42" s="207" customFormat="true" ht="9.95" hidden="false" customHeight="true" outlineLevel="0" collapsed="false">
      <c r="A42" s="1148"/>
      <c r="B42" s="1104" t="s">
        <v>80</v>
      </c>
      <c r="C42" s="1105" t="s">
        <v>1137</v>
      </c>
      <c r="D42" s="1106" t="s">
        <v>1821</v>
      </c>
      <c r="E42" s="1106" t="n">
        <v>5.84</v>
      </c>
      <c r="F42" s="1106" t="s">
        <v>1822</v>
      </c>
      <c r="G42" s="1105" t="s">
        <v>1134</v>
      </c>
      <c r="H42" s="1105" t="s">
        <v>1135</v>
      </c>
      <c r="I42" s="1105"/>
      <c r="J42" s="1108" t="s">
        <v>84</v>
      </c>
      <c r="K42" s="1105" t="s">
        <v>1140</v>
      </c>
      <c r="L42" s="1106" t="s">
        <v>1823</v>
      </c>
      <c r="M42" s="1106" t="n">
        <v>11.25</v>
      </c>
      <c r="N42" s="1106" t="s">
        <v>1822</v>
      </c>
      <c r="O42" s="1105" t="s">
        <v>1134</v>
      </c>
      <c r="P42" s="1105" t="s">
        <v>1135</v>
      </c>
      <c r="Q42" s="1105"/>
      <c r="R42" s="1108" t="s">
        <v>1619</v>
      </c>
      <c r="S42" s="1105" t="s">
        <v>1140</v>
      </c>
      <c r="T42" s="1106" t="s">
        <v>1824</v>
      </c>
      <c r="U42" s="1106" t="n">
        <v>7.54</v>
      </c>
      <c r="V42" s="1106" t="s">
        <v>1825</v>
      </c>
      <c r="W42" s="1105" t="s">
        <v>1134</v>
      </c>
      <c r="X42" s="1105" t="s">
        <v>1135</v>
      </c>
      <c r="Y42" s="1108"/>
      <c r="Z42" s="1108" t="s">
        <v>1826</v>
      </c>
      <c r="AA42" s="1105" t="s">
        <v>1148</v>
      </c>
      <c r="AB42" s="1106" t="s">
        <v>1827</v>
      </c>
      <c r="AC42" s="1106" t="n">
        <v>8.77</v>
      </c>
      <c r="AD42" s="1106" t="s">
        <v>1828</v>
      </c>
      <c r="AE42" s="1105" t="s">
        <v>1134</v>
      </c>
      <c r="AF42" s="1105" t="s">
        <v>1135</v>
      </c>
      <c r="AG42" s="1105"/>
      <c r="AH42" s="1108" t="s">
        <v>1829</v>
      </c>
      <c r="AI42" s="1105" t="s">
        <v>1152</v>
      </c>
      <c r="AJ42" s="1106" t="s">
        <v>1161</v>
      </c>
      <c r="AK42" s="1107" t="n">
        <v>8.3</v>
      </c>
      <c r="AL42" s="1106" t="s">
        <v>1830</v>
      </c>
      <c r="AM42" s="1105" t="s">
        <v>1134</v>
      </c>
      <c r="AN42" s="1105" t="s">
        <v>1135</v>
      </c>
      <c r="AO42" s="1105"/>
      <c r="AP42" s="1108" t="s">
        <v>76</v>
      </c>
      <c r="AQ42" s="1105" t="s">
        <v>1156</v>
      </c>
      <c r="AR42" s="1106" t="s">
        <v>1831</v>
      </c>
      <c r="AS42" s="1106" t="n">
        <v>13.07</v>
      </c>
      <c r="AT42" s="1106" t="s">
        <v>1832</v>
      </c>
      <c r="AU42" s="1105" t="s">
        <v>1134</v>
      </c>
      <c r="AV42" s="1105" t="s">
        <v>1135</v>
      </c>
      <c r="AW42" s="1105"/>
      <c r="AX42" s="1108" t="s">
        <v>1587</v>
      </c>
      <c r="AY42" s="1105" t="s">
        <v>1160</v>
      </c>
      <c r="AZ42" s="1106" t="s">
        <v>1833</v>
      </c>
      <c r="BA42" s="1106" t="n">
        <v>12.48</v>
      </c>
      <c r="BB42" s="1106" t="s">
        <v>1834</v>
      </c>
      <c r="BC42" s="1105" t="s">
        <v>1134</v>
      </c>
      <c r="BD42" s="1105" t="s">
        <v>1135</v>
      </c>
      <c r="BE42" s="1157"/>
      <c r="BF42" s="1104" t="s">
        <v>1835</v>
      </c>
      <c r="BG42" s="1105" t="s">
        <v>1160</v>
      </c>
      <c r="BH42" s="1143" t="s">
        <v>1575</v>
      </c>
      <c r="BI42" s="1143" t="n">
        <v>8.94</v>
      </c>
      <c r="BJ42" s="1143" t="s">
        <v>1836</v>
      </c>
      <c r="BK42" s="1112" t="s">
        <v>1134</v>
      </c>
      <c r="BL42" s="1112" t="s">
        <v>1135</v>
      </c>
    </row>
    <row r="43" s="207" customFormat="true" ht="9.95" hidden="false" customHeight="true" outlineLevel="0" collapsed="false">
      <c r="A43" s="1149"/>
      <c r="B43" s="1113" t="s">
        <v>82</v>
      </c>
      <c r="C43" s="1114" t="s">
        <v>1137</v>
      </c>
      <c r="D43" s="1115" t="s">
        <v>1837</v>
      </c>
      <c r="E43" s="1116" t="n">
        <v>5.1</v>
      </c>
      <c r="F43" s="1115" t="s">
        <v>1477</v>
      </c>
      <c r="G43" s="1114" t="s">
        <v>1134</v>
      </c>
      <c r="H43" s="1114" t="s">
        <v>1135</v>
      </c>
      <c r="I43" s="1114"/>
      <c r="J43" s="1117" t="s">
        <v>86</v>
      </c>
      <c r="K43" s="1114" t="s">
        <v>1140</v>
      </c>
      <c r="L43" s="1115" t="s">
        <v>1838</v>
      </c>
      <c r="M43" s="1115" t="n">
        <v>11.25</v>
      </c>
      <c r="N43" s="1115" t="s">
        <v>1839</v>
      </c>
      <c r="O43" s="1114" t="s">
        <v>1134</v>
      </c>
      <c r="P43" s="1114" t="s">
        <v>1135</v>
      </c>
      <c r="Q43" s="1114"/>
      <c r="R43" s="1117" t="s">
        <v>1637</v>
      </c>
      <c r="S43" s="1114" t="s">
        <v>1140</v>
      </c>
      <c r="T43" s="1115" t="s">
        <v>1840</v>
      </c>
      <c r="U43" s="1115" t="n">
        <v>7.63</v>
      </c>
      <c r="V43" s="1115" t="s">
        <v>1841</v>
      </c>
      <c r="W43" s="1114" t="s">
        <v>1134</v>
      </c>
      <c r="X43" s="1114" t="s">
        <v>1135</v>
      </c>
      <c r="Y43" s="1117"/>
      <c r="Z43" s="1117" t="s">
        <v>1842</v>
      </c>
      <c r="AA43" s="1114" t="s">
        <v>1148</v>
      </c>
      <c r="AB43" s="1115" t="s">
        <v>1843</v>
      </c>
      <c r="AC43" s="1116" t="n">
        <v>8.8</v>
      </c>
      <c r="AD43" s="1115" t="s">
        <v>1844</v>
      </c>
      <c r="AE43" s="1114" t="s">
        <v>1134</v>
      </c>
      <c r="AF43" s="1114" t="s">
        <v>1135</v>
      </c>
      <c r="AG43" s="1114"/>
      <c r="AH43" s="1117" t="s">
        <v>1845</v>
      </c>
      <c r="AI43" s="1114" t="s">
        <v>1152</v>
      </c>
      <c r="AJ43" s="1115" t="s">
        <v>1185</v>
      </c>
      <c r="AK43" s="1115" t="n">
        <v>7.44</v>
      </c>
      <c r="AL43" s="1115" t="s">
        <v>1846</v>
      </c>
      <c r="AM43" s="1114" t="s">
        <v>1134</v>
      </c>
      <c r="AN43" s="1114" t="s">
        <v>1135</v>
      </c>
      <c r="AO43" s="1114"/>
      <c r="AP43" s="1117" t="s">
        <v>78</v>
      </c>
      <c r="AQ43" s="1114" t="s">
        <v>1156</v>
      </c>
      <c r="AR43" s="1115" t="s">
        <v>1847</v>
      </c>
      <c r="AS43" s="1115" t="n">
        <v>13.07</v>
      </c>
      <c r="AT43" s="1115" t="s">
        <v>1848</v>
      </c>
      <c r="AU43" s="1114" t="s">
        <v>1134</v>
      </c>
      <c r="AV43" s="1114" t="s">
        <v>1135</v>
      </c>
      <c r="AW43" s="1114"/>
      <c r="AX43" s="1117" t="s">
        <v>1602</v>
      </c>
      <c r="AY43" s="1114" t="s">
        <v>1160</v>
      </c>
      <c r="AZ43" s="1115" t="s">
        <v>1849</v>
      </c>
      <c r="BA43" s="1115" t="n">
        <v>12.33</v>
      </c>
      <c r="BB43" s="1115" t="s">
        <v>1850</v>
      </c>
      <c r="BC43" s="1114" t="s">
        <v>1134</v>
      </c>
      <c r="BD43" s="1114" t="s">
        <v>1135</v>
      </c>
      <c r="BE43" s="485"/>
      <c r="BF43" s="1158" t="s">
        <v>1851</v>
      </c>
      <c r="BG43" s="1159" t="s">
        <v>1160</v>
      </c>
      <c r="BH43" s="1160" t="s">
        <v>1590</v>
      </c>
      <c r="BI43" s="1160" t="n">
        <v>8.14</v>
      </c>
      <c r="BJ43" s="1160" t="s">
        <v>1852</v>
      </c>
      <c r="BK43" s="1160" t="s">
        <v>1134</v>
      </c>
      <c r="BL43" s="1160" t="s">
        <v>1135</v>
      </c>
    </row>
    <row r="44" s="207" customFormat="true" ht="9.95" hidden="false" customHeight="true" outlineLevel="0" collapsed="false">
      <c r="A44" s="1148"/>
      <c r="B44" s="1104" t="s">
        <v>84</v>
      </c>
      <c r="C44" s="1105" t="s">
        <v>1137</v>
      </c>
      <c r="D44" s="1106" t="s">
        <v>1853</v>
      </c>
      <c r="E44" s="1106" t="n">
        <v>5.83</v>
      </c>
      <c r="F44" s="1106" t="s">
        <v>1854</v>
      </c>
      <c r="G44" s="1105" t="s">
        <v>1134</v>
      </c>
      <c r="H44" s="1105" t="s">
        <v>1135</v>
      </c>
      <c r="I44" s="1105"/>
      <c r="J44" s="1108" t="s">
        <v>88</v>
      </c>
      <c r="K44" s="1105" t="s">
        <v>1140</v>
      </c>
      <c r="L44" s="1106" t="s">
        <v>1855</v>
      </c>
      <c r="M44" s="1106" t="n">
        <v>11.35</v>
      </c>
      <c r="N44" s="1106" t="s">
        <v>1856</v>
      </c>
      <c r="O44" s="1105" t="s">
        <v>1134</v>
      </c>
      <c r="P44" s="1105" t="s">
        <v>1135</v>
      </c>
      <c r="Q44" s="1105"/>
      <c r="R44" s="1108" t="s">
        <v>1654</v>
      </c>
      <c r="S44" s="1105" t="s">
        <v>1140</v>
      </c>
      <c r="T44" s="1106" t="s">
        <v>1857</v>
      </c>
      <c r="U44" s="1107" t="n">
        <v>7.6</v>
      </c>
      <c r="V44" s="1106" t="s">
        <v>1858</v>
      </c>
      <c r="W44" s="1105" t="s">
        <v>1134</v>
      </c>
      <c r="X44" s="1105" t="s">
        <v>1135</v>
      </c>
      <c r="Y44" s="1108"/>
      <c r="Z44" s="1108" t="s">
        <v>1859</v>
      </c>
      <c r="AA44" s="1105" t="s">
        <v>1148</v>
      </c>
      <c r="AB44" s="1106" t="s">
        <v>1860</v>
      </c>
      <c r="AC44" s="1107" t="n">
        <v>8.8</v>
      </c>
      <c r="AD44" s="1106" t="s">
        <v>1861</v>
      </c>
      <c r="AE44" s="1105" t="s">
        <v>1134</v>
      </c>
      <c r="AF44" s="1105" t="s">
        <v>1135</v>
      </c>
      <c r="AG44" s="1105"/>
      <c r="AH44" s="1108" t="s">
        <v>1862</v>
      </c>
      <c r="AI44" s="1105" t="s">
        <v>1152</v>
      </c>
      <c r="AJ44" s="1106" t="s">
        <v>1205</v>
      </c>
      <c r="AK44" s="1107" t="n">
        <v>7.4</v>
      </c>
      <c r="AL44" s="1106" t="s">
        <v>1863</v>
      </c>
      <c r="AM44" s="1105" t="s">
        <v>1134</v>
      </c>
      <c r="AN44" s="1105" t="s">
        <v>1135</v>
      </c>
      <c r="AO44" s="1105"/>
      <c r="AP44" s="1108" t="s">
        <v>80</v>
      </c>
      <c r="AQ44" s="1105" t="s">
        <v>1156</v>
      </c>
      <c r="AR44" s="1106" t="s">
        <v>1864</v>
      </c>
      <c r="AS44" s="1106" t="n">
        <v>13.07</v>
      </c>
      <c r="AT44" s="1106" t="s">
        <v>1865</v>
      </c>
      <c r="AU44" s="1105" t="s">
        <v>1134</v>
      </c>
      <c r="AV44" s="1105" t="s">
        <v>1135</v>
      </c>
      <c r="AW44" s="1105"/>
      <c r="AX44" s="1108" t="s">
        <v>1619</v>
      </c>
      <c r="AY44" s="1105" t="s">
        <v>1160</v>
      </c>
      <c r="AZ44" s="1106" t="s">
        <v>1572</v>
      </c>
      <c r="BA44" s="1106" t="n">
        <v>12.33</v>
      </c>
      <c r="BB44" s="1106" t="s">
        <v>1321</v>
      </c>
      <c r="BC44" s="1105" t="s">
        <v>1134</v>
      </c>
      <c r="BD44" s="1105" t="s">
        <v>1135</v>
      </c>
    </row>
    <row r="45" s="207" customFormat="true" ht="9.95" hidden="false" customHeight="true" outlineLevel="0" collapsed="false">
      <c r="A45" s="1149"/>
      <c r="B45" s="1113" t="s">
        <v>86</v>
      </c>
      <c r="C45" s="1114" t="s">
        <v>1137</v>
      </c>
      <c r="D45" s="1115" t="s">
        <v>1866</v>
      </c>
      <c r="E45" s="1115" t="n">
        <v>5.93</v>
      </c>
      <c r="F45" s="1115" t="s">
        <v>1867</v>
      </c>
      <c r="G45" s="1114" t="s">
        <v>1134</v>
      </c>
      <c r="H45" s="1114" t="s">
        <v>1135</v>
      </c>
      <c r="I45" s="1114"/>
      <c r="J45" s="1117" t="s">
        <v>90</v>
      </c>
      <c r="K45" s="1114" t="s">
        <v>1140</v>
      </c>
      <c r="L45" s="1115" t="s">
        <v>1868</v>
      </c>
      <c r="M45" s="1116" t="n">
        <v>11.5</v>
      </c>
      <c r="N45" s="1115" t="s">
        <v>1869</v>
      </c>
      <c r="O45" s="1114" t="s">
        <v>1134</v>
      </c>
      <c r="P45" s="1114" t="s">
        <v>1135</v>
      </c>
      <c r="Q45" s="1114"/>
      <c r="R45" s="1117" t="s">
        <v>1670</v>
      </c>
      <c r="S45" s="1114" t="s">
        <v>1140</v>
      </c>
      <c r="T45" s="1115" t="s">
        <v>1870</v>
      </c>
      <c r="U45" s="1115" t="n">
        <v>7.74</v>
      </c>
      <c r="V45" s="1115" t="s">
        <v>1871</v>
      </c>
      <c r="W45" s="1114" t="s">
        <v>1134</v>
      </c>
      <c r="X45" s="1114" t="s">
        <v>1135</v>
      </c>
      <c r="Y45" s="1117"/>
      <c r="Z45" s="1117" t="s">
        <v>1155</v>
      </c>
      <c r="AA45" s="1114" t="s">
        <v>1148</v>
      </c>
      <c r="AB45" s="1115" t="s">
        <v>1872</v>
      </c>
      <c r="AC45" s="1115" t="n">
        <v>8.86</v>
      </c>
      <c r="AD45" s="1115" t="s">
        <v>1873</v>
      </c>
      <c r="AE45" s="1114" t="s">
        <v>1134</v>
      </c>
      <c r="AF45" s="1114" t="s">
        <v>1135</v>
      </c>
      <c r="AG45" s="1114"/>
      <c r="AH45" s="1117" t="s">
        <v>1159</v>
      </c>
      <c r="AI45" s="1114" t="s">
        <v>1152</v>
      </c>
      <c r="AJ45" s="1115" t="s">
        <v>1224</v>
      </c>
      <c r="AK45" s="1115" t="n">
        <v>7.59</v>
      </c>
      <c r="AL45" s="1115" t="s">
        <v>1302</v>
      </c>
      <c r="AM45" s="1114" t="s">
        <v>1134</v>
      </c>
      <c r="AN45" s="1114" t="s">
        <v>1135</v>
      </c>
      <c r="AO45" s="1114"/>
      <c r="AP45" s="1117" t="s">
        <v>82</v>
      </c>
      <c r="AQ45" s="1114" t="s">
        <v>1156</v>
      </c>
      <c r="AR45" s="1115" t="s">
        <v>1874</v>
      </c>
      <c r="AS45" s="1115" t="n">
        <v>13.07</v>
      </c>
      <c r="AT45" s="1115" t="s">
        <v>1875</v>
      </c>
      <c r="AU45" s="1114" t="s">
        <v>1134</v>
      </c>
      <c r="AV45" s="1114" t="s">
        <v>1135</v>
      </c>
      <c r="AW45" s="1114"/>
      <c r="AX45" s="1117" t="s">
        <v>1637</v>
      </c>
      <c r="AY45" s="1114" t="s">
        <v>1160</v>
      </c>
      <c r="AZ45" s="1115" t="s">
        <v>1588</v>
      </c>
      <c r="BA45" s="1115" t="n">
        <v>12.26</v>
      </c>
      <c r="BB45" s="1115" t="s">
        <v>1876</v>
      </c>
      <c r="BC45" s="1114" t="s">
        <v>1134</v>
      </c>
      <c r="BD45" s="1114" t="s">
        <v>1135</v>
      </c>
      <c r="BE45" s="304"/>
    </row>
    <row r="46" s="207" customFormat="true" ht="9.95" hidden="false" customHeight="true" outlineLevel="0" collapsed="false">
      <c r="A46" s="1148"/>
      <c r="B46" s="1104" t="s">
        <v>88</v>
      </c>
      <c r="C46" s="1105" t="s">
        <v>1137</v>
      </c>
      <c r="D46" s="1106" t="s">
        <v>1877</v>
      </c>
      <c r="E46" s="1106" t="n">
        <v>5.84</v>
      </c>
      <c r="F46" s="1106" t="s">
        <v>1878</v>
      </c>
      <c r="G46" s="1105" t="s">
        <v>1134</v>
      </c>
      <c r="H46" s="1105" t="s">
        <v>1135</v>
      </c>
      <c r="I46" s="1105"/>
      <c r="J46" s="1108" t="s">
        <v>92</v>
      </c>
      <c r="K46" s="1144" t="s">
        <v>1140</v>
      </c>
      <c r="L46" s="1161" t="s">
        <v>1879</v>
      </c>
      <c r="M46" s="1161" t="n">
        <v>11.56</v>
      </c>
      <c r="N46" s="1161" t="s">
        <v>1880</v>
      </c>
      <c r="O46" s="1144" t="s">
        <v>1134</v>
      </c>
      <c r="P46" s="1144" t="s">
        <v>1135</v>
      </c>
      <c r="Q46" s="1105"/>
      <c r="R46" s="1108" t="s">
        <v>1686</v>
      </c>
      <c r="S46" s="1144" t="s">
        <v>1140</v>
      </c>
      <c r="T46" s="1161" t="s">
        <v>1881</v>
      </c>
      <c r="U46" s="1161" t="n">
        <v>8.11</v>
      </c>
      <c r="V46" s="1161" t="s">
        <v>1882</v>
      </c>
      <c r="W46" s="1144" t="s">
        <v>1134</v>
      </c>
      <c r="X46" s="1144" t="s">
        <v>1135</v>
      </c>
      <c r="Y46" s="1108"/>
      <c r="Z46" s="1108" t="s">
        <v>1181</v>
      </c>
      <c r="AA46" s="1105" t="s">
        <v>1148</v>
      </c>
      <c r="AB46" s="1106" t="s">
        <v>1883</v>
      </c>
      <c r="AC46" s="1106" t="n">
        <v>8.92</v>
      </c>
      <c r="AD46" s="1106" t="s">
        <v>1884</v>
      </c>
      <c r="AE46" s="1105" t="s">
        <v>1134</v>
      </c>
      <c r="AF46" s="1105" t="s">
        <v>1135</v>
      </c>
      <c r="AG46" s="1105"/>
      <c r="AH46" s="1108" t="s">
        <v>1184</v>
      </c>
      <c r="AI46" s="1105" t="s">
        <v>1152</v>
      </c>
      <c r="AJ46" s="1106" t="s">
        <v>1245</v>
      </c>
      <c r="AK46" s="1106" t="n">
        <v>7.79</v>
      </c>
      <c r="AL46" s="1106" t="s">
        <v>1323</v>
      </c>
      <c r="AM46" s="1105" t="s">
        <v>1134</v>
      </c>
      <c r="AN46" s="1105" t="s">
        <v>1135</v>
      </c>
      <c r="AO46" s="1105"/>
      <c r="AP46" s="1108" t="s">
        <v>84</v>
      </c>
      <c r="AQ46" s="1105" t="s">
        <v>1156</v>
      </c>
      <c r="AR46" s="1106" t="s">
        <v>1885</v>
      </c>
      <c r="AS46" s="1106" t="n">
        <v>13.07</v>
      </c>
      <c r="AT46" s="1106" t="s">
        <v>1886</v>
      </c>
      <c r="AU46" s="1105" t="s">
        <v>1134</v>
      </c>
      <c r="AV46" s="1105" t="s">
        <v>1135</v>
      </c>
      <c r="AW46" s="1105"/>
      <c r="AX46" s="1108" t="s">
        <v>1654</v>
      </c>
      <c r="AY46" s="1105" t="s">
        <v>1160</v>
      </c>
      <c r="AZ46" s="1106" t="s">
        <v>1603</v>
      </c>
      <c r="BA46" s="1106" t="n">
        <v>12.24</v>
      </c>
      <c r="BB46" s="1106" t="s">
        <v>1887</v>
      </c>
      <c r="BC46" s="1105" t="s">
        <v>1134</v>
      </c>
      <c r="BD46" s="1105" t="s">
        <v>1135</v>
      </c>
      <c r="BE46" s="842"/>
    </row>
    <row r="47" s="207" customFormat="true" ht="9.95" hidden="false" customHeight="true" outlineLevel="0" collapsed="false">
      <c r="A47" s="291"/>
      <c r="B47" s="1113" t="s">
        <v>90</v>
      </c>
      <c r="C47" s="1114" t="s">
        <v>1137</v>
      </c>
      <c r="D47" s="1115" t="s">
        <v>1888</v>
      </c>
      <c r="E47" s="1115" t="n">
        <v>5.73</v>
      </c>
      <c r="F47" s="1115" t="s">
        <v>1371</v>
      </c>
      <c r="G47" s="1114" t="s">
        <v>1134</v>
      </c>
      <c r="H47" s="1114" t="s">
        <v>1135</v>
      </c>
      <c r="I47" s="1114"/>
      <c r="J47" s="1117" t="s">
        <v>94</v>
      </c>
      <c r="K47" s="1152" t="s">
        <v>1140</v>
      </c>
      <c r="L47" s="1162" t="s">
        <v>1889</v>
      </c>
      <c r="M47" s="1163" t="n">
        <v>11.6</v>
      </c>
      <c r="N47" s="1162" t="s">
        <v>1890</v>
      </c>
      <c r="O47" s="1152" t="s">
        <v>1134</v>
      </c>
      <c r="P47" s="1152" t="s">
        <v>1135</v>
      </c>
      <c r="Q47" s="1114"/>
      <c r="R47" s="1117" t="s">
        <v>1702</v>
      </c>
      <c r="S47" s="1152" t="s">
        <v>1140</v>
      </c>
      <c r="T47" s="1162" t="s">
        <v>1891</v>
      </c>
      <c r="U47" s="1162" t="n">
        <v>8.44</v>
      </c>
      <c r="V47" s="1162" t="s">
        <v>1892</v>
      </c>
      <c r="W47" s="1152" t="s">
        <v>1134</v>
      </c>
      <c r="X47" s="1152" t="s">
        <v>1135</v>
      </c>
      <c r="Y47" s="1117"/>
      <c r="Z47" s="1117" t="s">
        <v>1136</v>
      </c>
      <c r="AA47" s="1114" t="s">
        <v>1148</v>
      </c>
      <c r="AB47" s="1115" t="s">
        <v>1893</v>
      </c>
      <c r="AC47" s="1115" t="n">
        <v>8.95</v>
      </c>
      <c r="AD47" s="1115" t="s">
        <v>1894</v>
      </c>
      <c r="AE47" s="1114" t="s">
        <v>1134</v>
      </c>
      <c r="AF47" s="1114" t="s">
        <v>1135</v>
      </c>
      <c r="AG47" s="1114"/>
      <c r="AH47" s="1117" t="s">
        <v>1143</v>
      </c>
      <c r="AI47" s="1114" t="s">
        <v>1152</v>
      </c>
      <c r="AJ47" s="1115" t="s">
        <v>1265</v>
      </c>
      <c r="AK47" s="1115" t="n">
        <v>7.84</v>
      </c>
      <c r="AL47" s="1115" t="s">
        <v>1342</v>
      </c>
      <c r="AM47" s="1114" t="s">
        <v>1134</v>
      </c>
      <c r="AN47" s="1114" t="s">
        <v>1135</v>
      </c>
      <c r="AO47" s="1114"/>
      <c r="AP47" s="1117" t="s">
        <v>86</v>
      </c>
      <c r="AQ47" s="1114" t="s">
        <v>1156</v>
      </c>
      <c r="AR47" s="1115" t="s">
        <v>1895</v>
      </c>
      <c r="AS47" s="1115" t="n">
        <v>13.07</v>
      </c>
      <c r="AT47" s="1115" t="s">
        <v>1896</v>
      </c>
      <c r="AU47" s="1114" t="s">
        <v>1134</v>
      </c>
      <c r="AV47" s="1114" t="s">
        <v>1135</v>
      </c>
      <c r="AW47" s="1114"/>
      <c r="AX47" s="1117" t="s">
        <v>1670</v>
      </c>
      <c r="AY47" s="1114" t="s">
        <v>1160</v>
      </c>
      <c r="AZ47" s="1115" t="s">
        <v>1620</v>
      </c>
      <c r="BA47" s="1115" t="n">
        <v>12.14</v>
      </c>
      <c r="BB47" s="1115" t="s">
        <v>1358</v>
      </c>
      <c r="BC47" s="1114" t="s">
        <v>1134</v>
      </c>
      <c r="BD47" s="1114" t="s">
        <v>1135</v>
      </c>
      <c r="BG47" s="1152"/>
    </row>
    <row r="48" s="207" customFormat="true" ht="9.95" hidden="false" customHeight="true" outlineLevel="0" collapsed="false">
      <c r="A48" s="287"/>
      <c r="B48" s="1104" t="s">
        <v>92</v>
      </c>
      <c r="C48" s="1105" t="s">
        <v>1137</v>
      </c>
      <c r="D48" s="1106" t="s">
        <v>1897</v>
      </c>
      <c r="E48" s="1106" t="n">
        <v>5.94</v>
      </c>
      <c r="F48" s="1106" t="s">
        <v>1898</v>
      </c>
      <c r="G48" s="1105" t="s">
        <v>1134</v>
      </c>
      <c r="H48" s="1105" t="s">
        <v>1135</v>
      </c>
      <c r="I48" s="1105"/>
      <c r="J48" s="1108" t="s">
        <v>96</v>
      </c>
      <c r="K48" s="1105" t="s">
        <v>1140</v>
      </c>
      <c r="L48" s="1106" t="s">
        <v>1899</v>
      </c>
      <c r="M48" s="1107" t="n">
        <v>11.6</v>
      </c>
      <c r="N48" s="1106" t="s">
        <v>1900</v>
      </c>
      <c r="O48" s="1105" t="s">
        <v>1134</v>
      </c>
      <c r="P48" s="1105" t="s">
        <v>1135</v>
      </c>
      <c r="Q48" s="1105"/>
      <c r="R48" s="1108" t="s">
        <v>1718</v>
      </c>
      <c r="S48" s="1105" t="s">
        <v>1140</v>
      </c>
      <c r="T48" s="1106" t="s">
        <v>1901</v>
      </c>
      <c r="U48" s="1106" t="n">
        <v>8.89</v>
      </c>
      <c r="V48" s="1106" t="s">
        <v>1902</v>
      </c>
      <c r="W48" s="1105" t="s">
        <v>1134</v>
      </c>
      <c r="X48" s="1105" t="s">
        <v>1135</v>
      </c>
      <c r="Y48" s="1164"/>
      <c r="Z48" s="1164" t="s">
        <v>1166</v>
      </c>
      <c r="AA48" s="1144" t="s">
        <v>1148</v>
      </c>
      <c r="AB48" s="1161" t="s">
        <v>1903</v>
      </c>
      <c r="AC48" s="1161" t="n">
        <v>9.05</v>
      </c>
      <c r="AD48" s="1161" t="s">
        <v>1904</v>
      </c>
      <c r="AE48" s="1144" t="s">
        <v>1134</v>
      </c>
      <c r="AF48" s="1144" t="s">
        <v>1135</v>
      </c>
      <c r="AG48" s="1105"/>
      <c r="AH48" s="1164" t="s">
        <v>1171</v>
      </c>
      <c r="AI48" s="1144" t="s">
        <v>1152</v>
      </c>
      <c r="AJ48" s="1161" t="s">
        <v>1284</v>
      </c>
      <c r="AK48" s="1165" t="n">
        <v>8</v>
      </c>
      <c r="AL48" s="1161" t="s">
        <v>1360</v>
      </c>
      <c r="AM48" s="1144" t="s">
        <v>1134</v>
      </c>
      <c r="AN48" s="1144" t="s">
        <v>1135</v>
      </c>
      <c r="AO48" s="1105"/>
      <c r="AP48" s="1108" t="s">
        <v>88</v>
      </c>
      <c r="AQ48" s="1105" t="s">
        <v>1156</v>
      </c>
      <c r="AR48" s="1106" t="s">
        <v>1905</v>
      </c>
      <c r="AS48" s="1106" t="n">
        <v>11.09</v>
      </c>
      <c r="AT48" s="1106" t="s">
        <v>1906</v>
      </c>
      <c r="AU48" s="1105" t="s">
        <v>1134</v>
      </c>
      <c r="AV48" s="1105" t="s">
        <v>1135</v>
      </c>
      <c r="AW48" s="1105"/>
      <c r="AX48" s="1108" t="s">
        <v>1686</v>
      </c>
      <c r="AY48" s="1105" t="s">
        <v>1160</v>
      </c>
      <c r="AZ48" s="1106" t="s">
        <v>1638</v>
      </c>
      <c r="BA48" s="1106" t="n">
        <v>12.14</v>
      </c>
      <c r="BB48" s="1106" t="s">
        <v>1907</v>
      </c>
      <c r="BC48" s="1105" t="s">
        <v>1134</v>
      </c>
      <c r="BD48" s="1105" t="s">
        <v>1135</v>
      </c>
    </row>
    <row r="49" s="207" customFormat="true" ht="9.95" hidden="false" customHeight="true" outlineLevel="0" collapsed="false">
      <c r="A49" s="1166"/>
      <c r="B49" s="1113" t="s">
        <v>94</v>
      </c>
      <c r="C49" s="1114" t="s">
        <v>1137</v>
      </c>
      <c r="D49" s="1115" t="s">
        <v>1908</v>
      </c>
      <c r="E49" s="1115" t="n">
        <v>5.99</v>
      </c>
      <c r="F49" s="1115" t="s">
        <v>1909</v>
      </c>
      <c r="G49" s="1114" t="s">
        <v>1134</v>
      </c>
      <c r="H49" s="1114" t="s">
        <v>1135</v>
      </c>
      <c r="I49" s="1114"/>
      <c r="J49" s="1117" t="s">
        <v>98</v>
      </c>
      <c r="K49" s="1114" t="s">
        <v>1140</v>
      </c>
      <c r="L49" s="1115" t="s">
        <v>1910</v>
      </c>
      <c r="M49" s="1115" t="n">
        <v>11.75</v>
      </c>
      <c r="N49" s="1115" t="s">
        <v>1911</v>
      </c>
      <c r="O49" s="1114" t="s">
        <v>1134</v>
      </c>
      <c r="P49" s="1114" t="s">
        <v>1135</v>
      </c>
      <c r="Q49" s="1114"/>
      <c r="R49" s="1117" t="s">
        <v>1734</v>
      </c>
      <c r="S49" s="1114" t="s">
        <v>1140</v>
      </c>
      <c r="T49" s="1115" t="s">
        <v>1912</v>
      </c>
      <c r="U49" s="1115" t="n">
        <v>9.27</v>
      </c>
      <c r="V49" s="1115" t="s">
        <v>1913</v>
      </c>
      <c r="W49" s="1114" t="s">
        <v>1134</v>
      </c>
      <c r="X49" s="1114" t="s">
        <v>1135</v>
      </c>
      <c r="Y49" s="1151"/>
      <c r="Z49" s="1151" t="s">
        <v>1190</v>
      </c>
      <c r="AA49" s="1152" t="s">
        <v>1148</v>
      </c>
      <c r="AB49" s="1162" t="s">
        <v>1914</v>
      </c>
      <c r="AC49" s="1162" t="n">
        <v>9.12</v>
      </c>
      <c r="AD49" s="1162" t="s">
        <v>1915</v>
      </c>
      <c r="AE49" s="1152" t="s">
        <v>1134</v>
      </c>
      <c r="AF49" s="1152" t="s">
        <v>1135</v>
      </c>
      <c r="AG49" s="1114"/>
      <c r="AH49" s="1151" t="s">
        <v>1195</v>
      </c>
      <c r="AI49" s="1152" t="s">
        <v>1152</v>
      </c>
      <c r="AJ49" s="1162" t="s">
        <v>1303</v>
      </c>
      <c r="AK49" s="1163" t="n">
        <v>8</v>
      </c>
      <c r="AL49" s="1162" t="s">
        <v>1379</v>
      </c>
      <c r="AM49" s="1152" t="s">
        <v>1134</v>
      </c>
      <c r="AN49" s="1152" t="s">
        <v>1135</v>
      </c>
      <c r="AO49" s="1114"/>
      <c r="AP49" s="1117" t="s">
        <v>90</v>
      </c>
      <c r="AQ49" s="1114" t="s">
        <v>1156</v>
      </c>
      <c r="AR49" s="1115" t="s">
        <v>1916</v>
      </c>
      <c r="AS49" s="1115" t="n">
        <v>10.07</v>
      </c>
      <c r="AT49" s="1115" t="s">
        <v>1917</v>
      </c>
      <c r="AU49" s="1114" t="s">
        <v>1134</v>
      </c>
      <c r="AV49" s="1114" t="s">
        <v>1135</v>
      </c>
      <c r="AW49" s="1114"/>
      <c r="AX49" s="1117" t="s">
        <v>1702</v>
      </c>
      <c r="AY49" s="1114" t="s">
        <v>1160</v>
      </c>
      <c r="AZ49" s="1115" t="s">
        <v>1655</v>
      </c>
      <c r="BA49" s="1115" t="n">
        <v>12.14</v>
      </c>
      <c r="BB49" s="1115" t="s">
        <v>1918</v>
      </c>
      <c r="BC49" s="1114" t="s">
        <v>1134</v>
      </c>
      <c r="BD49" s="1114" t="s">
        <v>1135</v>
      </c>
      <c r="BE49" s="291"/>
      <c r="BF49" s="1118"/>
      <c r="BG49" s="1114"/>
      <c r="BH49" s="184"/>
      <c r="BI49" s="187"/>
      <c r="BJ49" s="184"/>
      <c r="BK49" s="1121"/>
      <c r="BL49" s="1121"/>
    </row>
    <row r="50" s="207" customFormat="true" ht="9.95" hidden="false" customHeight="true" outlineLevel="0" collapsed="false">
      <c r="A50" s="287"/>
      <c r="B50" s="1104" t="s">
        <v>96</v>
      </c>
      <c r="C50" s="1105" t="s">
        <v>1137</v>
      </c>
      <c r="D50" s="1106" t="s">
        <v>1919</v>
      </c>
      <c r="E50" s="1106" t="n">
        <v>5.89</v>
      </c>
      <c r="F50" s="1106" t="s">
        <v>1920</v>
      </c>
      <c r="G50" s="1105" t="s">
        <v>1134</v>
      </c>
      <c r="H50" s="1105" t="s">
        <v>1135</v>
      </c>
      <c r="I50" s="1105"/>
      <c r="J50" s="1164" t="s">
        <v>100</v>
      </c>
      <c r="K50" s="1105" t="s">
        <v>1140</v>
      </c>
      <c r="L50" s="1106" t="s">
        <v>1921</v>
      </c>
      <c r="M50" s="1106" t="n">
        <v>11.75</v>
      </c>
      <c r="N50" s="1106" t="s">
        <v>1334</v>
      </c>
      <c r="O50" s="1105" t="s">
        <v>1134</v>
      </c>
      <c r="P50" s="1105" t="s">
        <v>1135</v>
      </c>
      <c r="Q50" s="1105"/>
      <c r="R50" s="1164" t="s">
        <v>1749</v>
      </c>
      <c r="S50" s="1105" t="s">
        <v>1140</v>
      </c>
      <c r="T50" s="1106" t="s">
        <v>1922</v>
      </c>
      <c r="U50" s="1106" t="n">
        <v>9.27</v>
      </c>
      <c r="V50" s="1106" t="s">
        <v>1923</v>
      </c>
      <c r="W50" s="1105" t="s">
        <v>1134</v>
      </c>
      <c r="X50" s="1105" t="s">
        <v>1135</v>
      </c>
      <c r="Y50" s="1108"/>
      <c r="Z50" s="1108" t="s">
        <v>1209</v>
      </c>
      <c r="AA50" s="1105" t="s">
        <v>1148</v>
      </c>
      <c r="AB50" s="1106" t="s">
        <v>1924</v>
      </c>
      <c r="AC50" s="1106" t="n">
        <v>9.12</v>
      </c>
      <c r="AD50" s="1106" t="s">
        <v>1925</v>
      </c>
      <c r="AE50" s="1105" t="s">
        <v>1134</v>
      </c>
      <c r="AF50" s="1105" t="s">
        <v>1135</v>
      </c>
      <c r="AG50" s="1105"/>
      <c r="AH50" s="1108" t="s">
        <v>1214</v>
      </c>
      <c r="AI50" s="1105" t="s">
        <v>1152</v>
      </c>
      <c r="AJ50" s="1106" t="s">
        <v>1926</v>
      </c>
      <c r="AK50" s="1107" t="n">
        <v>8</v>
      </c>
      <c r="AL50" s="1106" t="s">
        <v>1927</v>
      </c>
      <c r="AM50" s="1105" t="s">
        <v>1134</v>
      </c>
      <c r="AN50" s="1105" t="s">
        <v>1135</v>
      </c>
      <c r="AO50" s="1144"/>
      <c r="AP50" s="1164" t="s">
        <v>92</v>
      </c>
      <c r="AQ50" s="1144" t="s">
        <v>1156</v>
      </c>
      <c r="AR50" s="1161" t="s">
        <v>1928</v>
      </c>
      <c r="AS50" s="1161" t="n">
        <v>8.97</v>
      </c>
      <c r="AT50" s="1161" t="s">
        <v>1929</v>
      </c>
      <c r="AU50" s="1144" t="s">
        <v>1134</v>
      </c>
      <c r="AV50" s="1144" t="s">
        <v>1135</v>
      </c>
      <c r="AW50" s="1105"/>
      <c r="AX50" s="1164" t="s">
        <v>1718</v>
      </c>
      <c r="AY50" s="1144" t="s">
        <v>1160</v>
      </c>
      <c r="AZ50" s="1161" t="s">
        <v>1671</v>
      </c>
      <c r="BA50" s="1161" t="n">
        <v>12.12</v>
      </c>
      <c r="BB50" s="1161" t="s">
        <v>1930</v>
      </c>
      <c r="BC50" s="1144" t="s">
        <v>1134</v>
      </c>
      <c r="BD50" s="1144" t="s">
        <v>1135</v>
      </c>
      <c r="BE50" s="291"/>
      <c r="BF50" s="1118"/>
      <c r="BG50" s="1114"/>
      <c r="BH50" s="184"/>
      <c r="BI50" s="187"/>
      <c r="BJ50" s="184"/>
      <c r="BK50" s="1121"/>
      <c r="BL50" s="1121"/>
    </row>
    <row r="51" s="207" customFormat="true" ht="9.95" hidden="false" customHeight="true" outlineLevel="0" collapsed="false">
      <c r="A51" s="291"/>
      <c r="B51" s="1113" t="s">
        <v>1931</v>
      </c>
      <c r="C51" s="1114" t="s">
        <v>1137</v>
      </c>
      <c r="D51" s="1162" t="s">
        <v>1932</v>
      </c>
      <c r="E51" s="1162" t="n">
        <v>5.69</v>
      </c>
      <c r="F51" s="1162" t="s">
        <v>1933</v>
      </c>
      <c r="G51" s="1114" t="s">
        <v>1134</v>
      </c>
      <c r="H51" s="1114" t="s">
        <v>1135</v>
      </c>
      <c r="I51" s="1114"/>
      <c r="J51" s="1151" t="s">
        <v>1794</v>
      </c>
      <c r="K51" s="1114" t="s">
        <v>1140</v>
      </c>
      <c r="L51" s="1115" t="s">
        <v>1934</v>
      </c>
      <c r="M51" s="1115" t="n">
        <v>11.8</v>
      </c>
      <c r="N51" s="1115" t="s">
        <v>1935</v>
      </c>
      <c r="O51" s="1114" t="s">
        <v>1134</v>
      </c>
      <c r="P51" s="1114" t="s">
        <v>1135</v>
      </c>
      <c r="Q51" s="1114"/>
      <c r="R51" s="1151" t="s">
        <v>1764</v>
      </c>
      <c r="S51" s="1114" t="s">
        <v>1140</v>
      </c>
      <c r="T51" s="1115" t="s">
        <v>1936</v>
      </c>
      <c r="U51" s="1115" t="n">
        <v>9.05</v>
      </c>
      <c r="V51" s="1115" t="s">
        <v>1937</v>
      </c>
      <c r="W51" s="1114" t="s">
        <v>1134</v>
      </c>
      <c r="X51" s="1114" t="s">
        <v>1135</v>
      </c>
      <c r="Y51" s="1117"/>
      <c r="Z51" s="1117" t="s">
        <v>1228</v>
      </c>
      <c r="AA51" s="1114" t="s">
        <v>1148</v>
      </c>
      <c r="AB51" s="1115" t="s">
        <v>1938</v>
      </c>
      <c r="AC51" s="1116" t="n">
        <v>9.2</v>
      </c>
      <c r="AD51" s="1115" t="s">
        <v>1939</v>
      </c>
      <c r="AE51" s="1114" t="s">
        <v>1134</v>
      </c>
      <c r="AF51" s="1114" t="s">
        <v>1135</v>
      </c>
      <c r="AG51" s="1114"/>
      <c r="AH51" s="1117" t="s">
        <v>1233</v>
      </c>
      <c r="AI51" s="1114" t="s">
        <v>1152</v>
      </c>
      <c r="AJ51" s="1115" t="s">
        <v>1324</v>
      </c>
      <c r="AK51" s="1115" t="n">
        <v>7.69</v>
      </c>
      <c r="AL51" s="1115" t="s">
        <v>1940</v>
      </c>
      <c r="AM51" s="1114" t="s">
        <v>1134</v>
      </c>
      <c r="AN51" s="1114" t="s">
        <v>1135</v>
      </c>
      <c r="AO51" s="1152"/>
      <c r="AP51" s="1151" t="s">
        <v>94</v>
      </c>
      <c r="AQ51" s="1152" t="s">
        <v>1156</v>
      </c>
      <c r="AR51" s="1162" t="s">
        <v>1941</v>
      </c>
      <c r="AS51" s="1162" t="n">
        <v>8.59</v>
      </c>
      <c r="AT51" s="1162" t="s">
        <v>1942</v>
      </c>
      <c r="AU51" s="1152" t="s">
        <v>1134</v>
      </c>
      <c r="AV51" s="1152" t="s">
        <v>1135</v>
      </c>
      <c r="AW51" s="1114"/>
      <c r="AX51" s="1151" t="s">
        <v>1734</v>
      </c>
      <c r="AY51" s="1152" t="s">
        <v>1160</v>
      </c>
      <c r="AZ51" s="1162" t="s">
        <v>1687</v>
      </c>
      <c r="BA51" s="1163" t="n">
        <v>12.1</v>
      </c>
      <c r="BB51" s="1162" t="s">
        <v>1943</v>
      </c>
      <c r="BC51" s="1152" t="s">
        <v>1134</v>
      </c>
      <c r="BD51" s="1152" t="s">
        <v>1135</v>
      </c>
      <c r="BE51" s="1114"/>
      <c r="BF51" s="1150"/>
      <c r="BG51" s="1114"/>
      <c r="BH51" s="197"/>
      <c r="BI51" s="198"/>
      <c r="BJ51" s="197"/>
      <c r="BK51" s="1115"/>
      <c r="BL51" s="1115"/>
    </row>
    <row r="52" s="291" customFormat="true" ht="9.95" hidden="false" customHeight="true" outlineLevel="0" collapsed="false">
      <c r="A52" s="215"/>
      <c r="B52" s="1104" t="s">
        <v>100</v>
      </c>
      <c r="C52" s="1144" t="s">
        <v>1137</v>
      </c>
      <c r="D52" s="1161" t="s">
        <v>1944</v>
      </c>
      <c r="E52" s="1165" t="n">
        <v>6.1</v>
      </c>
      <c r="F52" s="1161" t="s">
        <v>1945</v>
      </c>
      <c r="G52" s="1144" t="s">
        <v>1134</v>
      </c>
      <c r="H52" s="1144" t="s">
        <v>1135</v>
      </c>
      <c r="I52" s="1105"/>
      <c r="J52" s="1108" t="s">
        <v>100</v>
      </c>
      <c r="K52" s="1105" t="s">
        <v>1140</v>
      </c>
      <c r="L52" s="1106" t="s">
        <v>1946</v>
      </c>
      <c r="M52" s="1106" t="n">
        <v>11.75</v>
      </c>
      <c r="N52" s="1106" t="s">
        <v>1392</v>
      </c>
      <c r="O52" s="1105" t="s">
        <v>1134</v>
      </c>
      <c r="P52" s="1105" t="s">
        <v>1135</v>
      </c>
      <c r="Q52" s="1105"/>
      <c r="R52" s="1108" t="s">
        <v>1780</v>
      </c>
      <c r="S52" s="1105" t="s">
        <v>1140</v>
      </c>
      <c r="T52" s="1106" t="s">
        <v>1947</v>
      </c>
      <c r="U52" s="1106" t="n">
        <v>9.19</v>
      </c>
      <c r="V52" s="1106" t="s">
        <v>1948</v>
      </c>
      <c r="W52" s="1105" t="s">
        <v>1134</v>
      </c>
      <c r="X52" s="1105" t="s">
        <v>1135</v>
      </c>
      <c r="Y52" s="1108"/>
      <c r="Z52" s="1108" t="s">
        <v>1249</v>
      </c>
      <c r="AA52" s="1105" t="s">
        <v>1148</v>
      </c>
      <c r="AB52" s="1106" t="s">
        <v>1949</v>
      </c>
      <c r="AC52" s="1107" t="n">
        <v>9.3</v>
      </c>
      <c r="AD52" s="1106" t="s">
        <v>1950</v>
      </c>
      <c r="AE52" s="1105" t="s">
        <v>1134</v>
      </c>
      <c r="AF52" s="1105" t="s">
        <v>1135</v>
      </c>
      <c r="AG52" s="1105"/>
      <c r="AH52" s="1108" t="s">
        <v>1254</v>
      </c>
      <c r="AI52" s="1105" t="s">
        <v>1152</v>
      </c>
      <c r="AJ52" s="1106" t="s">
        <v>1343</v>
      </c>
      <c r="AK52" s="1106" t="n">
        <v>7.54</v>
      </c>
      <c r="AL52" s="1106" t="s">
        <v>1951</v>
      </c>
      <c r="AM52" s="1105" t="s">
        <v>1134</v>
      </c>
      <c r="AN52" s="1105" t="s">
        <v>1135</v>
      </c>
      <c r="AO52" s="1105"/>
      <c r="AP52" s="1108" t="s">
        <v>96</v>
      </c>
      <c r="AQ52" s="1105" t="s">
        <v>1156</v>
      </c>
      <c r="AR52" s="1106" t="s">
        <v>1952</v>
      </c>
      <c r="AS52" s="1107" t="n">
        <v>9.1</v>
      </c>
      <c r="AT52" s="1106" t="s">
        <v>1953</v>
      </c>
      <c r="AU52" s="1105" t="s">
        <v>1134</v>
      </c>
      <c r="AV52" s="1105" t="s">
        <v>1135</v>
      </c>
      <c r="AW52" s="1105"/>
      <c r="AX52" s="1108" t="s">
        <v>1749</v>
      </c>
      <c r="AY52" s="1105" t="s">
        <v>1160</v>
      </c>
      <c r="AZ52" s="1106" t="s">
        <v>1703</v>
      </c>
      <c r="BA52" s="1106" t="n">
        <v>11.89</v>
      </c>
      <c r="BB52" s="1106" t="s">
        <v>1954</v>
      </c>
      <c r="BC52" s="1105" t="s">
        <v>1134</v>
      </c>
      <c r="BD52" s="1105" t="s">
        <v>1135</v>
      </c>
      <c r="BE52" s="1167"/>
      <c r="BF52" s="1150"/>
      <c r="BG52" s="1114"/>
      <c r="BH52" s="197"/>
      <c r="BI52" s="198"/>
      <c r="BJ52" s="197"/>
      <c r="BK52" s="1115"/>
      <c r="BL52" s="1115"/>
    </row>
    <row r="53" s="207" customFormat="true" ht="9.95" hidden="false" customHeight="true" outlineLevel="0" collapsed="false">
      <c r="B53" s="1151" t="s">
        <v>1794</v>
      </c>
      <c r="C53" s="1152" t="s">
        <v>1137</v>
      </c>
      <c r="D53" s="1115" t="s">
        <v>1955</v>
      </c>
      <c r="E53" s="1115" t="n">
        <v>5.74</v>
      </c>
      <c r="F53" s="1115" t="s">
        <v>1956</v>
      </c>
      <c r="G53" s="1152" t="s">
        <v>1134</v>
      </c>
      <c r="H53" s="1152" t="s">
        <v>1135</v>
      </c>
      <c r="I53" s="1114"/>
      <c r="J53" s="1117" t="s">
        <v>1794</v>
      </c>
      <c r="K53" s="1114" t="s">
        <v>1140</v>
      </c>
      <c r="L53" s="1115" t="s">
        <v>1957</v>
      </c>
      <c r="M53" s="1116" t="n">
        <v>11.8</v>
      </c>
      <c r="N53" s="1115" t="s">
        <v>1411</v>
      </c>
      <c r="O53" s="1114" t="s">
        <v>1134</v>
      </c>
      <c r="P53" s="1114" t="s">
        <v>1135</v>
      </c>
      <c r="Q53" s="1114"/>
      <c r="R53" s="1117" t="s">
        <v>1797</v>
      </c>
      <c r="S53" s="1114" t="s">
        <v>1140</v>
      </c>
      <c r="T53" s="1115" t="s">
        <v>1958</v>
      </c>
      <c r="U53" s="1115" t="n">
        <v>9.23</v>
      </c>
      <c r="V53" s="1115" t="s">
        <v>1959</v>
      </c>
      <c r="W53" s="1114" t="s">
        <v>1134</v>
      </c>
      <c r="X53" s="1114" t="s">
        <v>1135</v>
      </c>
      <c r="Y53" s="222"/>
      <c r="Z53" s="1117" t="s">
        <v>1269</v>
      </c>
      <c r="AA53" s="1114" t="s">
        <v>1148</v>
      </c>
      <c r="AB53" s="1115" t="s">
        <v>1960</v>
      </c>
      <c r="AC53" s="1115" t="n">
        <v>9.35</v>
      </c>
      <c r="AD53" s="1115" t="s">
        <v>1961</v>
      </c>
      <c r="AE53" s="1114" t="s">
        <v>1134</v>
      </c>
      <c r="AF53" s="1114" t="s">
        <v>1135</v>
      </c>
      <c r="AG53" s="1114"/>
      <c r="AH53" s="1117" t="s">
        <v>1274</v>
      </c>
      <c r="AI53" s="1114" t="s">
        <v>1152</v>
      </c>
      <c r="AJ53" s="1115" t="s">
        <v>1361</v>
      </c>
      <c r="AK53" s="1115" t="n">
        <v>7.75</v>
      </c>
      <c r="AL53" s="1115" t="s">
        <v>1456</v>
      </c>
      <c r="AM53" s="1114" t="s">
        <v>1134</v>
      </c>
      <c r="AN53" s="1114" t="s">
        <v>1135</v>
      </c>
      <c r="AO53" s="1114"/>
      <c r="AP53" s="1117" t="s">
        <v>98</v>
      </c>
      <c r="AQ53" s="1114" t="s">
        <v>1156</v>
      </c>
      <c r="AR53" s="1115" t="s">
        <v>1962</v>
      </c>
      <c r="AS53" s="1116" t="n">
        <v>9.1</v>
      </c>
      <c r="AT53" s="1115" t="s">
        <v>1963</v>
      </c>
      <c r="AU53" s="1114" t="s">
        <v>1134</v>
      </c>
      <c r="AV53" s="1114" t="s">
        <v>1135</v>
      </c>
      <c r="AW53" s="1114"/>
      <c r="AX53" s="1117" t="s">
        <v>1764</v>
      </c>
      <c r="AY53" s="1114" t="s">
        <v>1160</v>
      </c>
      <c r="AZ53" s="1115" t="s">
        <v>1719</v>
      </c>
      <c r="BA53" s="1115" t="n">
        <v>11.98</v>
      </c>
      <c r="BB53" s="1115" t="s">
        <v>1964</v>
      </c>
      <c r="BC53" s="1114" t="s">
        <v>1134</v>
      </c>
      <c r="BD53" s="1114" t="s">
        <v>1135</v>
      </c>
      <c r="BE53" s="1168"/>
      <c r="BF53" s="1118"/>
      <c r="BG53" s="1114"/>
      <c r="BH53" s="184"/>
      <c r="BI53" s="187"/>
      <c r="BJ53" s="184"/>
      <c r="BK53" s="1136"/>
      <c r="BL53" s="1136"/>
    </row>
    <row r="54" s="207" customFormat="true" ht="9.95" hidden="false" customHeight="true" outlineLevel="0" collapsed="false">
      <c r="A54" s="215"/>
      <c r="B54" s="1164" t="s">
        <v>1810</v>
      </c>
      <c r="C54" s="1105" t="s">
        <v>1137</v>
      </c>
      <c r="D54" s="1106" t="s">
        <v>1965</v>
      </c>
      <c r="E54" s="1107" t="n">
        <v>4</v>
      </c>
      <c r="F54" s="1106" t="s">
        <v>1966</v>
      </c>
      <c r="G54" s="1105" t="s">
        <v>1134</v>
      </c>
      <c r="H54" s="1105" t="s">
        <v>1135</v>
      </c>
      <c r="I54" s="1144"/>
      <c r="J54" s="1108" t="s">
        <v>1810</v>
      </c>
      <c r="K54" s="1105" t="s">
        <v>1140</v>
      </c>
      <c r="L54" s="1106" t="s">
        <v>1967</v>
      </c>
      <c r="M54" s="1107" t="n">
        <v>11.9</v>
      </c>
      <c r="N54" s="1106" t="s">
        <v>1430</v>
      </c>
      <c r="O54" s="1105" t="s">
        <v>1134</v>
      </c>
      <c r="P54" s="1105" t="s">
        <v>1135</v>
      </c>
      <c r="Q54" s="1105"/>
      <c r="R54" s="1108" t="s">
        <v>1813</v>
      </c>
      <c r="S54" s="1105" t="s">
        <v>1140</v>
      </c>
      <c r="T54" s="1106" t="s">
        <v>1968</v>
      </c>
      <c r="U54" s="1106" t="n">
        <v>9.15</v>
      </c>
      <c r="V54" s="1106" t="s">
        <v>1969</v>
      </c>
      <c r="W54" s="1105" t="s">
        <v>1134</v>
      </c>
      <c r="X54" s="1105" t="s">
        <v>1135</v>
      </c>
      <c r="Y54" s="389"/>
      <c r="Z54" s="1108" t="s">
        <v>1288</v>
      </c>
      <c r="AA54" s="1105" t="s">
        <v>1148</v>
      </c>
      <c r="AB54" s="1106" t="s">
        <v>1970</v>
      </c>
      <c r="AC54" s="1106" t="n">
        <v>9.35</v>
      </c>
      <c r="AD54" s="1106" t="s">
        <v>1971</v>
      </c>
      <c r="AE54" s="1105" t="s">
        <v>1134</v>
      </c>
      <c r="AF54" s="1105" t="s">
        <v>1135</v>
      </c>
      <c r="AG54" s="1105"/>
      <c r="AH54" s="1108" t="s">
        <v>1293</v>
      </c>
      <c r="AI54" s="1105" t="s">
        <v>1152</v>
      </c>
      <c r="AJ54" s="1106" t="s">
        <v>1381</v>
      </c>
      <c r="AK54" s="1106" t="n">
        <v>7.64</v>
      </c>
      <c r="AL54" s="1106" t="s">
        <v>1972</v>
      </c>
      <c r="AM54" s="1105" t="s">
        <v>1134</v>
      </c>
      <c r="AN54" s="1105" t="s">
        <v>1135</v>
      </c>
      <c r="AO54" s="1105"/>
      <c r="AP54" s="1108" t="s">
        <v>100</v>
      </c>
      <c r="AQ54" s="1105" t="s">
        <v>1156</v>
      </c>
      <c r="AR54" s="1106" t="s">
        <v>1973</v>
      </c>
      <c r="AS54" s="1106" t="n">
        <v>9.11</v>
      </c>
      <c r="AT54" s="1106" t="s">
        <v>1974</v>
      </c>
      <c r="AU54" s="1105" t="s">
        <v>1134</v>
      </c>
      <c r="AV54" s="1105" t="s">
        <v>1135</v>
      </c>
      <c r="AW54" s="1105"/>
      <c r="AX54" s="1108" t="s">
        <v>1780</v>
      </c>
      <c r="AY54" s="1105" t="s">
        <v>1160</v>
      </c>
      <c r="AZ54" s="1106" t="s">
        <v>1735</v>
      </c>
      <c r="BA54" s="1106" t="n">
        <v>11.98</v>
      </c>
      <c r="BB54" s="1106" t="s">
        <v>1975</v>
      </c>
      <c r="BC54" s="1105" t="s">
        <v>1134</v>
      </c>
      <c r="BD54" s="1105" t="s">
        <v>1135</v>
      </c>
      <c r="BE54" s="1169"/>
      <c r="BF54" s="1169"/>
      <c r="BG54" s="1169"/>
      <c r="BH54" s="184"/>
      <c r="BI54" s="187"/>
      <c r="BJ54" s="184"/>
      <c r="BK54" s="1169"/>
      <c r="BL54" s="1136"/>
    </row>
    <row r="55" s="207" customFormat="true" ht="9.95" hidden="false" customHeight="true" outlineLevel="0" collapsed="false">
      <c r="B55" s="1151" t="s">
        <v>1826</v>
      </c>
      <c r="C55" s="1114" t="s">
        <v>1137</v>
      </c>
      <c r="D55" s="1115" t="s">
        <v>1976</v>
      </c>
      <c r="E55" s="1115" t="n">
        <v>5.45</v>
      </c>
      <c r="F55" s="1115" t="s">
        <v>1977</v>
      </c>
      <c r="G55" s="1114" t="s">
        <v>1134</v>
      </c>
      <c r="H55" s="1114" t="s">
        <v>1135</v>
      </c>
      <c r="I55" s="1152"/>
      <c r="J55" s="1117" t="s">
        <v>1826</v>
      </c>
      <c r="K55" s="1114" t="s">
        <v>1140</v>
      </c>
      <c r="L55" s="1115" t="s">
        <v>1978</v>
      </c>
      <c r="M55" s="1116" t="n">
        <v>12</v>
      </c>
      <c r="N55" s="1115" t="s">
        <v>1448</v>
      </c>
      <c r="O55" s="1114" t="s">
        <v>1134</v>
      </c>
      <c r="P55" s="1114" t="s">
        <v>1135</v>
      </c>
      <c r="Q55" s="1152"/>
      <c r="R55" s="1117" t="s">
        <v>1829</v>
      </c>
      <c r="S55" s="1114" t="s">
        <v>1140</v>
      </c>
      <c r="T55" s="1115" t="s">
        <v>1979</v>
      </c>
      <c r="U55" s="1115" t="n">
        <v>8.94</v>
      </c>
      <c r="V55" s="1115" t="s">
        <v>1980</v>
      </c>
      <c r="W55" s="1114" t="s">
        <v>1134</v>
      </c>
      <c r="X55" s="1114" t="s">
        <v>1135</v>
      </c>
      <c r="Z55" s="1117" t="s">
        <v>1308</v>
      </c>
      <c r="AA55" s="1114" t="s">
        <v>1148</v>
      </c>
      <c r="AB55" s="1115" t="s">
        <v>1981</v>
      </c>
      <c r="AC55" s="1115" t="n">
        <v>9.65</v>
      </c>
      <c r="AD55" s="1115" t="s">
        <v>1497</v>
      </c>
      <c r="AE55" s="1114" t="s">
        <v>1134</v>
      </c>
      <c r="AF55" s="1114" t="s">
        <v>1135</v>
      </c>
      <c r="AG55" s="1152"/>
      <c r="AH55" s="1117" t="s">
        <v>1313</v>
      </c>
      <c r="AI55" s="1114" t="s">
        <v>1152</v>
      </c>
      <c r="AJ55" s="1115" t="s">
        <v>1402</v>
      </c>
      <c r="AK55" s="1115" t="n">
        <v>7.48</v>
      </c>
      <c r="AL55" s="1115" t="s">
        <v>1982</v>
      </c>
      <c r="AM55" s="1114" t="s">
        <v>1134</v>
      </c>
      <c r="AN55" s="1114" t="s">
        <v>1135</v>
      </c>
      <c r="AO55" s="222"/>
      <c r="AP55" s="1117" t="s">
        <v>1794</v>
      </c>
      <c r="AQ55" s="1114" t="s">
        <v>1156</v>
      </c>
      <c r="AR55" s="1115" t="s">
        <v>1983</v>
      </c>
      <c r="AS55" s="1115" t="n">
        <v>9.15</v>
      </c>
      <c r="AT55" s="1115" t="s">
        <v>1984</v>
      </c>
      <c r="AU55" s="1114" t="s">
        <v>1134</v>
      </c>
      <c r="AV55" s="1114" t="s">
        <v>1135</v>
      </c>
      <c r="AW55" s="1152"/>
      <c r="AX55" s="1113" t="s">
        <v>1797</v>
      </c>
      <c r="AY55" s="1114" t="s">
        <v>1160</v>
      </c>
      <c r="AZ55" s="1119" t="s">
        <v>1750</v>
      </c>
      <c r="BA55" s="1120" t="n">
        <v>11.98</v>
      </c>
      <c r="BB55" s="1119" t="s">
        <v>1985</v>
      </c>
      <c r="BC55" s="1121" t="s">
        <v>1134</v>
      </c>
      <c r="BD55" s="1170" t="s">
        <v>1135</v>
      </c>
      <c r="BE55" s="1152"/>
      <c r="BF55" s="1152"/>
      <c r="BG55" s="1152"/>
      <c r="BH55" s="161"/>
      <c r="BI55" s="160"/>
      <c r="BJ55" s="161"/>
      <c r="BK55" s="1152"/>
      <c r="BL55" s="1162"/>
    </row>
    <row r="56" s="222" customFormat="true" ht="9.95" hidden="false" customHeight="true" outlineLevel="0" collapsed="false">
      <c r="A56" s="389"/>
      <c r="B56" s="1164" t="s">
        <v>1842</v>
      </c>
      <c r="C56" s="1105" t="s">
        <v>1137</v>
      </c>
      <c r="D56" s="1106" t="s">
        <v>1986</v>
      </c>
      <c r="E56" s="1107" t="n">
        <v>4.5</v>
      </c>
      <c r="F56" s="1106" t="s">
        <v>1987</v>
      </c>
      <c r="G56" s="1105" t="s">
        <v>1134</v>
      </c>
      <c r="H56" s="1105" t="s">
        <v>1135</v>
      </c>
      <c r="I56" s="1105"/>
      <c r="J56" s="1108" t="s">
        <v>1842</v>
      </c>
      <c r="K56" s="1105" t="s">
        <v>1140</v>
      </c>
      <c r="L56" s="1106" t="s">
        <v>1988</v>
      </c>
      <c r="M56" s="1107" t="n">
        <v>12.1</v>
      </c>
      <c r="N56" s="1106" t="s">
        <v>1989</v>
      </c>
      <c r="O56" s="1105" t="s">
        <v>1134</v>
      </c>
      <c r="P56" s="1105" t="s">
        <v>1135</v>
      </c>
      <c r="Q56" s="1144"/>
      <c r="R56" s="1108" t="s">
        <v>1845</v>
      </c>
      <c r="S56" s="1105" t="s">
        <v>1140</v>
      </c>
      <c r="T56" s="1106" t="s">
        <v>1990</v>
      </c>
      <c r="U56" s="919" t="n">
        <v>8.66</v>
      </c>
      <c r="V56" s="1106" t="s">
        <v>1991</v>
      </c>
      <c r="W56" s="1105" t="s">
        <v>1134</v>
      </c>
      <c r="X56" s="1105" t="s">
        <v>1135</v>
      </c>
      <c r="Y56" s="215"/>
      <c r="Z56" s="1108" t="s">
        <v>1327</v>
      </c>
      <c r="AA56" s="1105" t="s">
        <v>1148</v>
      </c>
      <c r="AB56" s="1106" t="s">
        <v>1992</v>
      </c>
      <c r="AC56" s="1106" t="n">
        <v>10.3</v>
      </c>
      <c r="AD56" s="1106" t="s">
        <v>1513</v>
      </c>
      <c r="AE56" s="1105" t="s">
        <v>1134</v>
      </c>
      <c r="AF56" s="1105" t="s">
        <v>1135</v>
      </c>
      <c r="AG56" s="1144"/>
      <c r="AH56" s="1108" t="s">
        <v>1380</v>
      </c>
      <c r="AI56" s="1105" t="s">
        <v>1152</v>
      </c>
      <c r="AJ56" s="1106" t="s">
        <v>1421</v>
      </c>
      <c r="AK56" s="1106" t="n">
        <v>7.25</v>
      </c>
      <c r="AL56" s="1106" t="s">
        <v>1993</v>
      </c>
      <c r="AM56" s="1105" t="s">
        <v>1134</v>
      </c>
      <c r="AN56" s="1105" t="s">
        <v>1135</v>
      </c>
      <c r="AO56" s="389"/>
      <c r="AP56" s="1108" t="s">
        <v>1810</v>
      </c>
      <c r="AQ56" s="1105" t="s">
        <v>1156</v>
      </c>
      <c r="AR56" s="1106" t="s">
        <v>1994</v>
      </c>
      <c r="AS56" s="1106" t="n">
        <v>9.17</v>
      </c>
      <c r="AT56" s="1106" t="s">
        <v>1995</v>
      </c>
      <c r="AU56" s="1105" t="s">
        <v>1134</v>
      </c>
      <c r="AV56" s="1105" t="s">
        <v>1135</v>
      </c>
      <c r="AW56" s="1144"/>
      <c r="AX56" s="1104" t="s">
        <v>1813</v>
      </c>
      <c r="AY56" s="1105" t="s">
        <v>1160</v>
      </c>
      <c r="AZ56" s="1110" t="s">
        <v>1765</v>
      </c>
      <c r="BA56" s="1111" t="n">
        <v>10.36</v>
      </c>
      <c r="BB56" s="1110" t="s">
        <v>1591</v>
      </c>
      <c r="BC56" s="1112" t="s">
        <v>1134</v>
      </c>
      <c r="BD56" s="1157" t="s">
        <v>1135</v>
      </c>
      <c r="BE56" s="1152"/>
      <c r="BF56" s="1152"/>
      <c r="BG56" s="1152"/>
      <c r="BH56" s="161"/>
      <c r="BI56" s="160"/>
      <c r="BJ56" s="161"/>
      <c r="BK56" s="1152"/>
      <c r="BL56" s="1162"/>
    </row>
    <row r="57" customFormat="false" ht="9.95" hidden="false" customHeight="true" outlineLevel="0" collapsed="false">
      <c r="A57" s="207"/>
      <c r="B57" s="367" t="s">
        <v>1859</v>
      </c>
      <c r="C57" s="1114" t="s">
        <v>1137</v>
      </c>
      <c r="D57" s="1115" t="s">
        <v>1996</v>
      </c>
      <c r="E57" s="1115" t="n">
        <v>5.45</v>
      </c>
      <c r="F57" s="1115" t="s">
        <v>1997</v>
      </c>
      <c r="G57" s="1114" t="s">
        <v>1134</v>
      </c>
      <c r="H57" s="1114" t="s">
        <v>1135</v>
      </c>
      <c r="I57" s="1114"/>
      <c r="J57" s="1117" t="s">
        <v>1859</v>
      </c>
      <c r="K57" s="1114" t="s">
        <v>1140</v>
      </c>
      <c r="L57" s="1115" t="s">
        <v>1998</v>
      </c>
      <c r="M57" s="1116" t="n">
        <v>12.1</v>
      </c>
      <c r="N57" s="1115" t="s">
        <v>1999</v>
      </c>
      <c r="O57" s="1114" t="s">
        <v>1134</v>
      </c>
      <c r="P57" s="1114" t="s">
        <v>1135</v>
      </c>
      <c r="Q57" s="1114"/>
      <c r="R57" s="1117" t="s">
        <v>1862</v>
      </c>
      <c r="S57" s="884" t="s">
        <v>1140</v>
      </c>
      <c r="T57" s="1171" t="s">
        <v>2000</v>
      </c>
      <c r="U57" s="1171" t="n">
        <v>7.89</v>
      </c>
      <c r="V57" s="1171" t="s">
        <v>2000</v>
      </c>
      <c r="W57" s="884" t="s">
        <v>1134</v>
      </c>
      <c r="X57" s="884" t="s">
        <v>1135</v>
      </c>
      <c r="Y57" s="207"/>
      <c r="Z57" s="1117" t="s">
        <v>1347</v>
      </c>
      <c r="AA57" s="1114" t="s">
        <v>1148</v>
      </c>
      <c r="AB57" s="1115" t="s">
        <v>2001</v>
      </c>
      <c r="AC57" s="1115" t="n">
        <v>10.99</v>
      </c>
      <c r="AD57" s="1115" t="s">
        <v>1531</v>
      </c>
      <c r="AE57" s="1114" t="s">
        <v>1134</v>
      </c>
      <c r="AF57" s="1114" t="s">
        <v>1135</v>
      </c>
      <c r="AG57" s="1114"/>
      <c r="AH57" s="1117" t="s">
        <v>1401</v>
      </c>
      <c r="AI57" s="1114" t="s">
        <v>1152</v>
      </c>
      <c r="AJ57" s="1115" t="s">
        <v>1440</v>
      </c>
      <c r="AK57" s="1116" t="n">
        <v>7.7</v>
      </c>
      <c r="AL57" s="1115" t="s">
        <v>2002</v>
      </c>
      <c r="AM57" s="1114" t="s">
        <v>1134</v>
      </c>
      <c r="AN57" s="1114" t="s">
        <v>1135</v>
      </c>
      <c r="AO57" s="207"/>
      <c r="AP57" s="1117" t="s">
        <v>1826</v>
      </c>
      <c r="AQ57" s="1114" t="s">
        <v>1156</v>
      </c>
      <c r="AR57" s="1115" t="s">
        <v>2003</v>
      </c>
      <c r="AS57" s="1116" t="n">
        <v>9.2</v>
      </c>
      <c r="AT57" s="1115" t="s">
        <v>2004</v>
      </c>
      <c r="AU57" s="1114" t="s">
        <v>1134</v>
      </c>
      <c r="AV57" s="1114" t="s">
        <v>1135</v>
      </c>
      <c r="AW57" s="1114"/>
      <c r="AX57" s="1113" t="s">
        <v>1829</v>
      </c>
      <c r="AY57" s="1114" t="s">
        <v>1160</v>
      </c>
      <c r="AZ57" s="1119" t="s">
        <v>1781</v>
      </c>
      <c r="BA57" s="1120" t="n">
        <v>8.93</v>
      </c>
      <c r="BB57" s="1119" t="s">
        <v>2005</v>
      </c>
      <c r="BC57" s="1121" t="s">
        <v>1134</v>
      </c>
      <c r="BD57" s="1170" t="s">
        <v>1135</v>
      </c>
      <c r="BE57" s="1162"/>
      <c r="BF57" s="1172"/>
      <c r="BG57" s="1152"/>
      <c r="BH57" s="161"/>
      <c r="BI57" s="160"/>
      <c r="BJ57" s="161"/>
      <c r="BK57" s="1152"/>
      <c r="BL57" s="1162"/>
    </row>
    <row r="58" customFormat="false" ht="9.95" hidden="false" customHeight="true" outlineLevel="0" collapsed="false">
      <c r="A58" s="215"/>
      <c r="B58" s="1164" t="s">
        <v>1155</v>
      </c>
      <c r="C58" s="1105" t="s">
        <v>1137</v>
      </c>
      <c r="D58" s="1106" t="s">
        <v>2006</v>
      </c>
      <c r="E58" s="1106" t="n">
        <v>5.93</v>
      </c>
      <c r="F58" s="1106" t="s">
        <v>2007</v>
      </c>
      <c r="G58" s="1105" t="s">
        <v>1134</v>
      </c>
      <c r="H58" s="1105" t="s">
        <v>1135</v>
      </c>
      <c r="I58" s="1105"/>
      <c r="J58" s="1108" t="s">
        <v>1155</v>
      </c>
      <c r="K58" s="1105" t="s">
        <v>1140</v>
      </c>
      <c r="L58" s="1106" t="s">
        <v>2008</v>
      </c>
      <c r="M58" s="1106" t="n">
        <v>12.16</v>
      </c>
      <c r="N58" s="1106" t="s">
        <v>2009</v>
      </c>
      <c r="O58" s="1105" t="s">
        <v>1134</v>
      </c>
      <c r="P58" s="1105" t="s">
        <v>1135</v>
      </c>
      <c r="Q58" s="1105"/>
      <c r="R58" s="1108" t="s">
        <v>1159</v>
      </c>
      <c r="S58" s="1105" t="s">
        <v>2010</v>
      </c>
      <c r="T58" s="1106" t="s">
        <v>1145</v>
      </c>
      <c r="U58" s="1107" t="n">
        <v>7</v>
      </c>
      <c r="V58" s="1106" t="s">
        <v>1146</v>
      </c>
      <c r="W58" s="1105" t="s">
        <v>1134</v>
      </c>
      <c r="X58" s="1105" t="s">
        <v>1135</v>
      </c>
      <c r="Y58" s="215"/>
      <c r="Z58" s="1108" t="s">
        <v>1365</v>
      </c>
      <c r="AA58" s="1105" t="s">
        <v>1148</v>
      </c>
      <c r="AB58" s="1106" t="s">
        <v>2011</v>
      </c>
      <c r="AC58" s="1107" t="n">
        <v>11</v>
      </c>
      <c r="AD58" s="1106" t="s">
        <v>1550</v>
      </c>
      <c r="AE58" s="1105" t="s">
        <v>1134</v>
      </c>
      <c r="AF58" s="1105" t="s">
        <v>1135</v>
      </c>
      <c r="AG58" s="1105"/>
      <c r="AH58" s="1108" t="s">
        <v>1420</v>
      </c>
      <c r="AI58" s="1105" t="s">
        <v>1152</v>
      </c>
      <c r="AJ58" s="1106" t="s">
        <v>1457</v>
      </c>
      <c r="AK58" s="1106" t="n">
        <v>7.74</v>
      </c>
      <c r="AL58" s="1106" t="s">
        <v>2012</v>
      </c>
      <c r="AM58" s="1105" t="s">
        <v>1134</v>
      </c>
      <c r="AN58" s="1105" t="s">
        <v>1135</v>
      </c>
      <c r="AO58" s="215"/>
      <c r="AP58" s="1108" t="s">
        <v>1842</v>
      </c>
      <c r="AQ58" s="1105" t="s">
        <v>1156</v>
      </c>
      <c r="AR58" s="1106" t="s">
        <v>2013</v>
      </c>
      <c r="AS58" s="1106" t="n">
        <v>9.15</v>
      </c>
      <c r="AT58" s="1106" t="s">
        <v>2014</v>
      </c>
      <c r="AU58" s="1105" t="s">
        <v>1134</v>
      </c>
      <c r="AV58" s="1105" t="s">
        <v>1135</v>
      </c>
      <c r="AW58" s="1105"/>
      <c r="AX58" s="1104" t="s">
        <v>1845</v>
      </c>
      <c r="AY58" s="1105" t="s">
        <v>1160</v>
      </c>
      <c r="AZ58" s="1110" t="s">
        <v>1798</v>
      </c>
      <c r="BA58" s="1111" t="n">
        <v>8.99</v>
      </c>
      <c r="BB58" s="1110" t="s">
        <v>2015</v>
      </c>
      <c r="BC58" s="1112" t="s">
        <v>1134</v>
      </c>
      <c r="BD58" s="1157" t="s">
        <v>1135</v>
      </c>
      <c r="BE58" s="1152"/>
      <c r="BF58" s="1152"/>
      <c r="BG58" s="1152"/>
      <c r="BH58" s="161"/>
      <c r="BI58" s="160"/>
      <c r="BJ58" s="161"/>
      <c r="BK58" s="1152"/>
      <c r="BL58" s="1162"/>
    </row>
    <row r="59" customFormat="false" ht="9.95" hidden="false" customHeight="true" outlineLevel="0" collapsed="false">
      <c r="A59" s="225"/>
      <c r="B59" s="1173" t="s">
        <v>1181</v>
      </c>
      <c r="C59" s="1174" t="s">
        <v>1137</v>
      </c>
      <c r="D59" s="859" t="s">
        <v>2016</v>
      </c>
      <c r="E59" s="859" t="n">
        <v>5.99</v>
      </c>
      <c r="F59" s="859" t="s">
        <v>2017</v>
      </c>
      <c r="G59" s="1174" t="s">
        <v>1134</v>
      </c>
      <c r="H59" s="1174" t="s">
        <v>1135</v>
      </c>
      <c r="I59" s="225"/>
      <c r="J59" s="1173" t="s">
        <v>1181</v>
      </c>
      <c r="K59" s="1174" t="s">
        <v>1140</v>
      </c>
      <c r="L59" s="1175" t="s">
        <v>2018</v>
      </c>
      <c r="M59" s="1175" t="n">
        <v>12.19</v>
      </c>
      <c r="N59" s="1175" t="s">
        <v>1945</v>
      </c>
      <c r="O59" s="1174" t="s">
        <v>1134</v>
      </c>
      <c r="P59" s="1174" t="s">
        <v>1135</v>
      </c>
      <c r="Q59" s="1174"/>
      <c r="R59" s="1173" t="s">
        <v>1184</v>
      </c>
      <c r="S59" s="1174" t="s">
        <v>2019</v>
      </c>
      <c r="T59" s="1175" t="s">
        <v>1145</v>
      </c>
      <c r="U59" s="1176" t="n">
        <v>7</v>
      </c>
      <c r="V59" s="1175" t="s">
        <v>1146</v>
      </c>
      <c r="W59" s="1174" t="s">
        <v>1134</v>
      </c>
      <c r="X59" s="1174" t="s">
        <v>1135</v>
      </c>
      <c r="Y59" s="225"/>
      <c r="Z59" s="1173" t="s">
        <v>1385</v>
      </c>
      <c r="AA59" s="1174" t="s">
        <v>1148</v>
      </c>
      <c r="AB59" s="1175" t="s">
        <v>2020</v>
      </c>
      <c r="AC59" s="1176" t="n">
        <v>11</v>
      </c>
      <c r="AD59" s="1175" t="s">
        <v>1568</v>
      </c>
      <c r="AE59" s="1174" t="s">
        <v>1134</v>
      </c>
      <c r="AF59" s="1174" t="s">
        <v>1135</v>
      </c>
      <c r="AG59" s="1174"/>
      <c r="AH59" s="1173" t="s">
        <v>1439</v>
      </c>
      <c r="AI59" s="1174" t="s">
        <v>1152</v>
      </c>
      <c r="AJ59" s="1175" t="s">
        <v>1474</v>
      </c>
      <c r="AK59" s="1175" t="n">
        <v>7.99</v>
      </c>
      <c r="AL59" s="1175" t="s">
        <v>2021</v>
      </c>
      <c r="AM59" s="1174" t="s">
        <v>1134</v>
      </c>
      <c r="AN59" s="1174" t="s">
        <v>1135</v>
      </c>
      <c r="AO59" s="225"/>
      <c r="AP59" s="1173" t="s">
        <v>1859</v>
      </c>
      <c r="AQ59" s="1174" t="s">
        <v>1156</v>
      </c>
      <c r="AR59" s="1175" t="s">
        <v>2022</v>
      </c>
      <c r="AS59" s="1176" t="n">
        <v>9.2</v>
      </c>
      <c r="AT59" s="1175" t="s">
        <v>1766</v>
      </c>
      <c r="AU59" s="1174" t="s">
        <v>1134</v>
      </c>
      <c r="AV59" s="1174" t="s">
        <v>1135</v>
      </c>
      <c r="AW59" s="1174"/>
      <c r="AX59" s="1158" t="s">
        <v>1862</v>
      </c>
      <c r="AY59" s="1174" t="s">
        <v>1160</v>
      </c>
      <c r="AZ59" s="1177" t="s">
        <v>1814</v>
      </c>
      <c r="BA59" s="1178" t="n">
        <v>8.2</v>
      </c>
      <c r="BB59" s="1177" t="s">
        <v>2023</v>
      </c>
      <c r="BC59" s="1179" t="s">
        <v>1134</v>
      </c>
      <c r="BD59" s="1180" t="s">
        <v>1135</v>
      </c>
      <c r="BE59" s="207"/>
      <c r="BF59" s="429"/>
      <c r="BG59" s="207"/>
      <c r="BH59" s="161"/>
      <c r="BI59" s="160"/>
      <c r="BJ59" s="161"/>
      <c r="BK59" s="207"/>
      <c r="BL59" s="161"/>
    </row>
    <row r="60" s="207" customFormat="true" ht="12.6" hidden="false" customHeight="true" outlineLevel="0" collapsed="false">
      <c r="I60" s="222"/>
      <c r="J60" s="222"/>
      <c r="K60" s="400"/>
      <c r="L60" s="222"/>
      <c r="M60" s="222"/>
      <c r="N60" s="222"/>
      <c r="O60" s="400"/>
      <c r="P60" s="222"/>
      <c r="AO60" s="222"/>
      <c r="AP60" s="222"/>
      <c r="AQ60" s="222"/>
      <c r="AR60" s="222"/>
      <c r="AS60" s="222"/>
      <c r="AT60" s="222"/>
      <c r="AU60" s="222"/>
      <c r="AV60" s="222"/>
      <c r="AW60" s="221"/>
      <c r="AX60" s="221"/>
      <c r="AY60" s="221"/>
      <c r="AZ60" s="221"/>
      <c r="BA60" s="221"/>
      <c r="BB60" s="221"/>
      <c r="BC60" s="221"/>
      <c r="BD60" s="221"/>
      <c r="BF60" s="429"/>
      <c r="BH60" s="161"/>
      <c r="BI60" s="160"/>
      <c r="BJ60" s="161"/>
      <c r="BL60" s="161"/>
    </row>
    <row r="61" s="221" customFormat="true" ht="12.6" hidden="false" customHeight="true" outlineLevel="0" collapsed="false">
      <c r="A61" s="1181" t="s">
        <v>256</v>
      </c>
      <c r="B61" s="1181"/>
      <c r="C61" s="1182" t="s">
        <v>2024</v>
      </c>
      <c r="D61" s="222"/>
      <c r="E61" s="435" t="s">
        <v>2025</v>
      </c>
      <c r="J61" s="207"/>
      <c r="AO61" s="222"/>
      <c r="AP61" s="787"/>
      <c r="AQ61" s="222"/>
      <c r="AR61" s="222"/>
      <c r="AS61" s="222"/>
      <c r="AT61" s="222"/>
      <c r="AU61" s="222"/>
      <c r="AV61" s="222"/>
      <c r="AW61" s="423"/>
      <c r="BE61" s="207"/>
      <c r="BF61" s="429"/>
      <c r="BG61" s="207"/>
      <c r="BH61" s="161"/>
      <c r="BI61" s="160"/>
      <c r="BJ61" s="161"/>
      <c r="BK61" s="207"/>
      <c r="BL61" s="161"/>
    </row>
    <row r="62" s="221" customFormat="true" ht="12.6" hidden="false" customHeight="true" outlineLevel="0" collapsed="false">
      <c r="J62" s="207"/>
      <c r="AO62" s="222"/>
      <c r="AP62" s="787"/>
      <c r="AQ62" s="222" t="s">
        <v>565</v>
      </c>
      <c r="AR62" s="222"/>
      <c r="AS62" s="222"/>
      <c r="AT62" s="222"/>
      <c r="AU62" s="222"/>
      <c r="AV62" s="222"/>
      <c r="AW62" s="423"/>
      <c r="AX62" s="423"/>
      <c r="AY62" s="423"/>
      <c r="AZ62" s="423"/>
      <c r="BA62" s="423"/>
      <c r="BB62" s="423"/>
      <c r="BC62" s="423"/>
      <c r="BD62" s="423"/>
      <c r="BE62" s="207"/>
      <c r="BF62" s="429"/>
      <c r="BG62" s="207"/>
      <c r="BH62" s="207"/>
      <c r="BI62" s="207"/>
      <c r="BJ62" s="207"/>
      <c r="BK62" s="207"/>
      <c r="BL62" s="207"/>
    </row>
    <row r="63" s="423" customFormat="true" ht="12.6" hidden="false" customHeight="true" outlineLevel="0" collapsed="false">
      <c r="J63" s="515"/>
      <c r="AO63" s="222"/>
      <c r="AP63" s="787"/>
      <c r="AQ63" s="222"/>
      <c r="AR63" s="222"/>
      <c r="AS63" s="222"/>
      <c r="AT63" s="222"/>
      <c r="AU63" s="222"/>
      <c r="AV63" s="222"/>
      <c r="AW63" s="222"/>
      <c r="BE63" s="207"/>
      <c r="BF63" s="429"/>
      <c r="BG63" s="207"/>
      <c r="BH63" s="207"/>
      <c r="BI63" s="207"/>
      <c r="BJ63" s="207"/>
      <c r="BK63" s="207"/>
      <c r="BL63" s="207"/>
    </row>
    <row r="64" s="423" customFormat="true" ht="9.75" hidden="false" customHeight="true" outlineLevel="0" collapsed="false">
      <c r="I64" s="515"/>
      <c r="J64" s="435"/>
      <c r="K64" s="515"/>
      <c r="L64" s="515"/>
      <c r="M64" s="515"/>
      <c r="N64" s="515"/>
      <c r="O64" s="515"/>
      <c r="P64" s="515"/>
      <c r="AO64" s="222"/>
      <c r="AP64" s="787"/>
      <c r="AQ64" s="222"/>
      <c r="AR64" s="222"/>
      <c r="AS64" s="222"/>
      <c r="AT64" s="222"/>
      <c r="AU64" s="222"/>
      <c r="AV64" s="222"/>
      <c r="AW64" s="222"/>
      <c r="AX64" s="787"/>
      <c r="AY64" s="222"/>
      <c r="AZ64" s="222"/>
      <c r="BA64" s="222"/>
      <c r="BB64" s="222"/>
      <c r="BC64" s="222"/>
      <c r="BD64" s="222"/>
      <c r="BE64" s="207"/>
      <c r="BF64" s="207"/>
      <c r="BG64" s="207"/>
      <c r="BH64" s="207"/>
      <c r="BI64" s="207"/>
      <c r="BJ64" s="207"/>
      <c r="BK64" s="207"/>
      <c r="BL64" s="207"/>
    </row>
    <row r="65" customFormat="false" ht="12" hidden="false" customHeight="true" outlineLevel="0" collapsed="false">
      <c r="BE65" s="1149"/>
      <c r="BF65" s="1183"/>
      <c r="BG65" s="863"/>
      <c r="BH65" s="197"/>
      <c r="BI65" s="197"/>
      <c r="BJ65" s="197"/>
      <c r="BK65" s="1184"/>
      <c r="BL65" s="361"/>
    </row>
    <row r="66" customFormat="false" ht="12" hidden="false" customHeight="true" outlineLevel="0" collapsed="false">
      <c r="BE66" s="1149"/>
      <c r="BF66" s="1183"/>
      <c r="BG66" s="863"/>
      <c r="BH66" s="1185"/>
      <c r="BI66" s="161"/>
      <c r="BJ66" s="1185"/>
      <c r="BK66" s="1186"/>
      <c r="BL66" s="361"/>
    </row>
    <row r="67" customFormat="false" ht="12" hidden="false" customHeight="true" outlineLevel="0" collapsed="false">
      <c r="BE67" s="1149"/>
      <c r="BF67" s="1183"/>
      <c r="BG67" s="863"/>
      <c r="BH67" s="1187"/>
      <c r="BI67" s="361"/>
      <c r="BJ67" s="1187"/>
      <c r="BK67" s="1186"/>
      <c r="BL67" s="361"/>
    </row>
    <row r="68" customFormat="false" ht="12" hidden="false" customHeight="true" outlineLevel="0" collapsed="false">
      <c r="BE68" s="1149"/>
      <c r="BF68" s="1183"/>
      <c r="BG68" s="863"/>
      <c r="BH68" s="1187"/>
      <c r="BI68" s="883"/>
      <c r="BJ68" s="1187"/>
      <c r="BK68" s="1186"/>
      <c r="BL68" s="361"/>
    </row>
    <row r="69" customFormat="false" ht="12" hidden="false" customHeight="true" outlineLevel="0" collapsed="false">
      <c r="BE69" s="1149"/>
      <c r="BF69" s="1183"/>
      <c r="BG69" s="863"/>
      <c r="BH69" s="1187"/>
      <c r="BI69" s="361"/>
      <c r="BJ69" s="1187"/>
      <c r="BK69" s="1186"/>
      <c r="BL69" s="361"/>
    </row>
    <row r="70" s="222" customFormat="true" ht="12" hidden="false" customHeight="true" outlineLevel="0" collapsed="false">
      <c r="B70" s="367"/>
      <c r="G70" s="367"/>
      <c r="J70" s="520"/>
      <c r="O70" s="367"/>
      <c r="R70" s="520"/>
      <c r="W70" s="367"/>
      <c r="Z70" s="787"/>
      <c r="AH70" s="787"/>
      <c r="AP70" s="787"/>
      <c r="AX70" s="787"/>
      <c r="BE70" s="361"/>
      <c r="BF70" s="1183"/>
      <c r="BG70" s="863"/>
      <c r="BH70" s="1185"/>
      <c r="BI70" s="161"/>
      <c r="BJ70" s="1185"/>
      <c r="BK70" s="1186"/>
      <c r="BL70" s="361"/>
    </row>
    <row r="71" s="222" customFormat="true" ht="12" hidden="false" customHeight="true" outlineLevel="0" collapsed="false">
      <c r="B71" s="367"/>
      <c r="G71" s="367"/>
      <c r="J71" s="520"/>
      <c r="O71" s="367"/>
      <c r="R71" s="520"/>
      <c r="W71" s="367"/>
      <c r="Z71" s="787"/>
      <c r="AH71" s="787"/>
      <c r="AP71" s="787"/>
      <c r="AX71" s="787"/>
      <c r="BE71" s="361"/>
      <c r="BF71" s="1183"/>
      <c r="BG71" s="863"/>
      <c r="BH71" s="1185"/>
      <c r="BI71" s="160"/>
      <c r="BJ71" s="1185"/>
      <c r="BK71" s="1186"/>
      <c r="BL71" s="361"/>
    </row>
    <row r="72" s="222" customFormat="true" ht="12" hidden="false" customHeight="true" outlineLevel="0" collapsed="false">
      <c r="B72" s="367"/>
      <c r="G72" s="367"/>
      <c r="J72" s="520"/>
      <c r="O72" s="367"/>
      <c r="R72" s="520"/>
      <c r="W72" s="367"/>
      <c r="Z72" s="787"/>
      <c r="AH72" s="787"/>
      <c r="AP72" s="787"/>
      <c r="AX72" s="787"/>
      <c r="BE72" s="361"/>
      <c r="BF72" s="1183"/>
      <c r="BG72" s="863"/>
      <c r="BH72" s="1185"/>
      <c r="BI72" s="160"/>
      <c r="BJ72" s="1185"/>
      <c r="BK72" s="1186"/>
      <c r="BL72" s="361"/>
    </row>
    <row r="73" s="222" customFormat="true" ht="12" hidden="false" customHeight="true" outlineLevel="0" collapsed="false">
      <c r="B73" s="367"/>
      <c r="G73" s="367"/>
      <c r="J73" s="520"/>
      <c r="O73" s="367"/>
      <c r="R73" s="520"/>
      <c r="W73" s="367"/>
      <c r="Z73" s="787"/>
      <c r="AH73" s="787"/>
      <c r="AP73" s="787"/>
      <c r="AX73" s="787"/>
      <c r="BE73" s="361"/>
      <c r="BF73" s="1183"/>
      <c r="BG73" s="863"/>
      <c r="BH73" s="1185"/>
      <c r="BI73" s="160"/>
      <c r="BJ73" s="1185"/>
      <c r="BK73" s="1186"/>
      <c r="BL73" s="361"/>
    </row>
    <row r="74" s="222" customFormat="true" ht="12" hidden="false" customHeight="true" outlineLevel="0" collapsed="false">
      <c r="B74" s="367"/>
      <c r="G74" s="367"/>
      <c r="J74" s="520"/>
      <c r="O74" s="367"/>
      <c r="R74" s="520"/>
      <c r="W74" s="367"/>
      <c r="Z74" s="787"/>
      <c r="AH74" s="787"/>
      <c r="AP74" s="787"/>
      <c r="BE74" s="361"/>
      <c r="BF74" s="1183"/>
      <c r="BG74" s="863"/>
      <c r="BH74" s="1185"/>
      <c r="BI74" s="160"/>
      <c r="BJ74" s="1185"/>
      <c r="BK74" s="1186"/>
      <c r="BL74" s="361"/>
    </row>
    <row r="75" s="222" customFormat="true" ht="12" hidden="false" customHeight="true" outlineLevel="0" collapsed="false">
      <c r="B75" s="367"/>
      <c r="G75" s="367"/>
      <c r="J75" s="520"/>
      <c r="O75" s="367"/>
      <c r="R75" s="520"/>
      <c r="W75" s="367"/>
      <c r="Z75" s="787"/>
      <c r="AH75" s="787"/>
      <c r="AX75" s="787"/>
      <c r="BE75" s="361"/>
      <c r="BF75" s="1183"/>
      <c r="BG75" s="863"/>
      <c r="BH75" s="1185"/>
      <c r="BI75" s="160"/>
      <c r="BJ75" s="1185"/>
      <c r="BK75" s="1186"/>
      <c r="BL75" s="361"/>
    </row>
    <row r="76" s="222" customFormat="true" ht="12" hidden="false" customHeight="true" outlineLevel="0" collapsed="false">
      <c r="B76" s="367"/>
      <c r="G76" s="367"/>
      <c r="J76" s="520"/>
      <c r="O76" s="367"/>
      <c r="R76" s="520"/>
      <c r="W76" s="367"/>
      <c r="Z76" s="787"/>
      <c r="AH76" s="787"/>
      <c r="AP76" s="787"/>
      <c r="AX76" s="787"/>
      <c r="BF76" s="1183"/>
      <c r="BG76" s="863"/>
      <c r="BH76" s="1185"/>
      <c r="BI76" s="160"/>
      <c r="BJ76" s="1185"/>
      <c r="BK76" s="1186"/>
      <c r="BL76" s="361"/>
    </row>
    <row r="77" s="222" customFormat="true" ht="12" hidden="false" customHeight="true" outlineLevel="0" collapsed="false">
      <c r="B77" s="367"/>
      <c r="G77" s="367"/>
      <c r="J77" s="520"/>
      <c r="O77" s="367"/>
      <c r="R77" s="520"/>
      <c r="W77" s="367"/>
      <c r="Z77" s="787"/>
      <c r="AH77" s="787"/>
      <c r="AP77" s="787"/>
      <c r="AX77" s="787"/>
      <c r="BF77" s="1183"/>
      <c r="BG77" s="863"/>
      <c r="BH77" s="1185"/>
      <c r="BI77" s="160"/>
      <c r="BJ77" s="1185"/>
      <c r="BK77" s="1186"/>
      <c r="BL77" s="361"/>
    </row>
    <row r="78" s="222" customFormat="true" ht="12" hidden="false" customHeight="true" outlineLevel="0" collapsed="false">
      <c r="B78" s="367"/>
      <c r="G78" s="367"/>
      <c r="J78" s="520"/>
      <c r="O78" s="367"/>
      <c r="R78" s="520"/>
      <c r="W78" s="367"/>
      <c r="Z78" s="787"/>
      <c r="AH78" s="787"/>
      <c r="AP78" s="787"/>
      <c r="AW78" s="363"/>
      <c r="AX78" s="787"/>
      <c r="BF78" s="1183"/>
      <c r="BG78" s="863"/>
      <c r="BH78" s="1185"/>
      <c r="BI78" s="160"/>
      <c r="BJ78" s="1185"/>
      <c r="BK78" s="1186"/>
      <c r="BL78" s="361"/>
    </row>
    <row r="79" customFormat="false" ht="12" hidden="false" customHeight="true" outlineLevel="0" collapsed="false">
      <c r="AW79" s="363"/>
      <c r="AY79" s="363"/>
      <c r="AZ79" s="363"/>
      <c r="BA79" s="363"/>
      <c r="BB79" s="363"/>
      <c r="BC79" s="363"/>
      <c r="BD79" s="363"/>
      <c r="BF79" s="1183"/>
      <c r="BG79" s="863"/>
      <c r="BH79" s="1185"/>
      <c r="BI79" s="160"/>
      <c r="BJ79" s="1185"/>
      <c r="BK79" s="1186"/>
      <c r="BL79" s="361"/>
    </row>
    <row r="80" s="252" customFormat="true" ht="12" hidden="false" customHeight="true" outlineLevel="0" collapsed="false">
      <c r="I80" s="363"/>
      <c r="J80" s="787"/>
      <c r="K80" s="363"/>
      <c r="L80" s="363"/>
      <c r="M80" s="363"/>
      <c r="N80" s="363"/>
      <c r="O80" s="363"/>
      <c r="P80" s="363"/>
      <c r="Q80" s="363"/>
      <c r="R80" s="787"/>
      <c r="S80" s="363"/>
      <c r="T80" s="363"/>
      <c r="U80" s="363"/>
      <c r="V80" s="363"/>
      <c r="W80" s="363"/>
      <c r="X80" s="363"/>
      <c r="AO80" s="363"/>
      <c r="AP80" s="787"/>
      <c r="AQ80" s="363"/>
      <c r="AR80" s="363"/>
      <c r="AS80" s="363"/>
      <c r="AT80" s="363"/>
      <c r="AU80" s="363"/>
      <c r="AV80" s="363"/>
      <c r="AW80" s="363"/>
      <c r="AX80" s="787"/>
      <c r="AY80" s="363"/>
      <c r="AZ80" s="363"/>
      <c r="BA80" s="363"/>
      <c r="BB80" s="363"/>
      <c r="BC80" s="363"/>
      <c r="BD80" s="363"/>
      <c r="BE80" s="222"/>
      <c r="BF80" s="787"/>
      <c r="BG80" s="222"/>
      <c r="BH80" s="222"/>
      <c r="BI80" s="222"/>
      <c r="BJ80" s="222"/>
      <c r="BK80" s="222"/>
      <c r="BL80" s="222"/>
    </row>
    <row r="81" s="252" customFormat="true" ht="12" hidden="false" customHeight="true" outlineLevel="0" collapsed="false">
      <c r="I81" s="363"/>
      <c r="J81" s="787"/>
      <c r="K81" s="363"/>
      <c r="L81" s="363"/>
      <c r="M81" s="363"/>
      <c r="N81" s="363"/>
      <c r="O81" s="363"/>
      <c r="P81" s="363"/>
      <c r="Q81" s="363"/>
      <c r="R81" s="787"/>
      <c r="S81" s="363"/>
      <c r="T81" s="363"/>
      <c r="U81" s="363"/>
      <c r="V81" s="363"/>
      <c r="W81" s="363"/>
      <c r="X81" s="363"/>
      <c r="Y81" s="363"/>
      <c r="Z81" s="787"/>
      <c r="AA81" s="363"/>
      <c r="AB81" s="363"/>
      <c r="AC81" s="363"/>
      <c r="AD81" s="363"/>
      <c r="AE81" s="363"/>
      <c r="AF81" s="363"/>
      <c r="AO81" s="363"/>
      <c r="AP81" s="787"/>
      <c r="AQ81" s="363"/>
      <c r="AR81" s="363"/>
      <c r="AS81" s="363"/>
      <c r="AT81" s="363"/>
      <c r="AU81" s="363"/>
      <c r="AV81" s="363"/>
      <c r="AW81" s="363"/>
      <c r="AX81" s="787"/>
      <c r="AY81" s="363"/>
      <c r="AZ81" s="363"/>
      <c r="BA81" s="363"/>
      <c r="BB81" s="363"/>
      <c r="BC81" s="363"/>
      <c r="BD81" s="363"/>
      <c r="BE81" s="222"/>
      <c r="BF81" s="787"/>
      <c r="BG81" s="222"/>
      <c r="BH81" s="222"/>
      <c r="BI81" s="222"/>
      <c r="BJ81" s="222"/>
      <c r="BK81" s="222"/>
      <c r="BL81" s="222"/>
    </row>
    <row r="82" s="252" customFormat="true" ht="12" hidden="false" customHeight="true" outlineLevel="0" collapsed="false">
      <c r="I82" s="363"/>
      <c r="J82" s="787"/>
      <c r="K82" s="363"/>
      <c r="L82" s="363"/>
      <c r="M82" s="363"/>
      <c r="N82" s="363"/>
      <c r="O82" s="363"/>
      <c r="P82" s="363"/>
      <c r="Q82" s="363"/>
      <c r="R82" s="787"/>
      <c r="S82" s="363"/>
      <c r="T82" s="363"/>
      <c r="U82" s="363"/>
      <c r="V82" s="363"/>
      <c r="W82" s="363"/>
      <c r="X82" s="363"/>
      <c r="Y82" s="363"/>
      <c r="Z82" s="787"/>
      <c r="AA82" s="363"/>
      <c r="AB82" s="363"/>
      <c r="AC82" s="363"/>
      <c r="AD82" s="363"/>
      <c r="AE82" s="363"/>
      <c r="AF82" s="363"/>
      <c r="AO82" s="363"/>
      <c r="AP82" s="787"/>
      <c r="AQ82" s="363"/>
      <c r="AR82" s="363"/>
      <c r="AS82" s="363"/>
      <c r="AT82" s="363"/>
      <c r="AU82" s="363"/>
      <c r="AV82" s="363"/>
      <c r="AW82" s="363"/>
      <c r="AX82" s="787"/>
      <c r="AY82" s="363"/>
      <c r="AZ82" s="363"/>
      <c r="BA82" s="363"/>
      <c r="BB82" s="363"/>
      <c r="BC82" s="363"/>
      <c r="BD82" s="363"/>
      <c r="BE82" s="222"/>
      <c r="BF82" s="787"/>
      <c r="BG82" s="222"/>
      <c r="BH82" s="222"/>
      <c r="BI82" s="222"/>
      <c r="BJ82" s="222"/>
      <c r="BK82" s="222"/>
      <c r="BL82" s="222"/>
    </row>
    <row r="83" s="252" customFormat="true" ht="12" hidden="false" customHeight="true" outlineLevel="0" collapsed="false">
      <c r="I83" s="363"/>
      <c r="J83" s="787"/>
      <c r="K83" s="363"/>
      <c r="L83" s="363"/>
      <c r="M83" s="363"/>
      <c r="N83" s="363"/>
      <c r="O83" s="363"/>
      <c r="P83" s="363"/>
      <c r="Q83" s="363"/>
      <c r="R83" s="787"/>
      <c r="S83" s="363"/>
      <c r="T83" s="363"/>
      <c r="U83" s="363"/>
      <c r="V83" s="363"/>
      <c r="W83" s="363"/>
      <c r="X83" s="363"/>
      <c r="Y83" s="363"/>
      <c r="Z83" s="787"/>
      <c r="AA83" s="363"/>
      <c r="AB83" s="363"/>
      <c r="AC83" s="363"/>
      <c r="AD83" s="363"/>
      <c r="AE83" s="363"/>
      <c r="AF83" s="363"/>
      <c r="AG83" s="363"/>
      <c r="AH83" s="787"/>
      <c r="AI83" s="363"/>
      <c r="AJ83" s="363"/>
      <c r="AK83" s="363"/>
      <c r="AL83" s="363"/>
      <c r="AM83" s="363"/>
      <c r="AN83" s="363"/>
      <c r="AO83" s="361"/>
      <c r="AP83" s="787"/>
      <c r="AQ83" s="363"/>
      <c r="AR83" s="363"/>
      <c r="AS83" s="363"/>
      <c r="AT83" s="363"/>
      <c r="AU83" s="1188"/>
      <c r="AV83" s="363"/>
      <c r="AW83" s="363"/>
      <c r="AX83" s="787"/>
      <c r="AY83" s="363"/>
      <c r="AZ83" s="363"/>
      <c r="BA83" s="363"/>
      <c r="BB83" s="363"/>
      <c r="BC83" s="363"/>
      <c r="BD83" s="363"/>
      <c r="BE83" s="222"/>
      <c r="BF83" s="787"/>
      <c r="BG83" s="222"/>
      <c r="BH83" s="222"/>
      <c r="BI83" s="222"/>
      <c r="BJ83" s="222"/>
      <c r="BK83" s="222"/>
      <c r="BL83" s="222"/>
    </row>
    <row r="84" s="252" customFormat="true" ht="12" hidden="false" customHeight="true" outlineLevel="0" collapsed="false">
      <c r="I84" s="363"/>
      <c r="J84" s="787"/>
      <c r="K84" s="363"/>
      <c r="L84" s="363"/>
      <c r="M84" s="363"/>
      <c r="N84" s="363"/>
      <c r="O84" s="363"/>
      <c r="P84" s="363"/>
      <c r="Q84" s="363"/>
      <c r="R84" s="787"/>
      <c r="S84" s="363"/>
      <c r="T84" s="363"/>
      <c r="U84" s="363"/>
      <c r="V84" s="363"/>
      <c r="W84" s="363"/>
      <c r="X84" s="363"/>
      <c r="Y84" s="363"/>
      <c r="Z84" s="787"/>
      <c r="AA84" s="363"/>
      <c r="AB84" s="363"/>
      <c r="AC84" s="363"/>
      <c r="AD84" s="363"/>
      <c r="AE84" s="363"/>
      <c r="AF84" s="363"/>
      <c r="AO84" s="361"/>
      <c r="AP84" s="787"/>
      <c r="AQ84" s="363"/>
      <c r="AR84" s="363"/>
      <c r="AS84" s="363"/>
      <c r="AT84" s="363"/>
      <c r="AU84" s="1188"/>
      <c r="AV84" s="363"/>
      <c r="AW84" s="363"/>
      <c r="AX84" s="787"/>
      <c r="AY84" s="363"/>
      <c r="AZ84" s="363"/>
      <c r="BA84" s="363"/>
      <c r="BB84" s="363"/>
      <c r="BC84" s="363"/>
      <c r="BD84" s="363"/>
      <c r="BE84" s="363"/>
      <c r="BF84" s="787"/>
      <c r="BG84" s="363"/>
      <c r="BH84" s="363"/>
      <c r="BI84" s="363"/>
      <c r="BJ84" s="363"/>
      <c r="BK84" s="363"/>
      <c r="BL84" s="363"/>
    </row>
    <row r="85" s="252" customFormat="true" ht="12" hidden="false" customHeight="true" outlineLevel="0" collapsed="false">
      <c r="I85" s="363"/>
      <c r="J85" s="787"/>
      <c r="K85" s="363"/>
      <c r="L85" s="363"/>
      <c r="M85" s="363"/>
      <c r="N85" s="363"/>
      <c r="O85" s="363"/>
      <c r="P85" s="363"/>
      <c r="Q85" s="363"/>
      <c r="R85" s="787"/>
      <c r="S85" s="363"/>
      <c r="T85" s="363"/>
      <c r="U85" s="363"/>
      <c r="V85" s="363"/>
      <c r="W85" s="363"/>
      <c r="X85" s="363"/>
      <c r="Y85" s="363"/>
      <c r="Z85" s="787"/>
      <c r="AA85" s="363"/>
      <c r="AB85" s="363"/>
      <c r="AC85" s="363"/>
      <c r="AD85" s="363"/>
      <c r="AE85" s="363"/>
      <c r="AF85" s="363"/>
      <c r="AO85" s="361"/>
      <c r="AP85" s="787"/>
      <c r="AQ85" s="363"/>
      <c r="AR85" s="363"/>
      <c r="AS85" s="363"/>
      <c r="AT85" s="363"/>
      <c r="AU85" s="1188"/>
      <c r="AV85" s="363"/>
      <c r="AW85" s="363"/>
      <c r="AX85" s="787"/>
      <c r="AY85" s="363"/>
      <c r="AZ85" s="363"/>
      <c r="BA85" s="363"/>
      <c r="BB85" s="363"/>
      <c r="BC85" s="363"/>
      <c r="BD85" s="363"/>
      <c r="BE85" s="363"/>
      <c r="BF85" s="787"/>
      <c r="BG85" s="363"/>
      <c r="BH85" s="363"/>
      <c r="BI85" s="363"/>
      <c r="BJ85" s="363"/>
      <c r="BK85" s="363"/>
      <c r="BL85" s="363"/>
    </row>
    <row r="86" s="252" customFormat="true" ht="12" hidden="false" customHeight="true" outlineLevel="0" collapsed="false">
      <c r="I86" s="363"/>
      <c r="J86" s="787"/>
      <c r="K86" s="363"/>
      <c r="L86" s="363"/>
      <c r="M86" s="363"/>
      <c r="N86" s="363"/>
      <c r="O86" s="363"/>
      <c r="P86" s="363"/>
      <c r="Q86" s="363"/>
      <c r="R86" s="787"/>
      <c r="S86" s="363"/>
      <c r="T86" s="363"/>
      <c r="U86" s="363"/>
      <c r="V86" s="363"/>
      <c r="W86" s="363"/>
      <c r="X86" s="363"/>
      <c r="Y86" s="363"/>
      <c r="Z86" s="787"/>
      <c r="AA86" s="363"/>
      <c r="AB86" s="363"/>
      <c r="AC86" s="363"/>
      <c r="AD86" s="363"/>
      <c r="AE86" s="363"/>
      <c r="AF86" s="363"/>
      <c r="AO86" s="363"/>
      <c r="AP86" s="787"/>
      <c r="AQ86" s="363"/>
      <c r="AR86" s="363"/>
      <c r="AS86" s="363"/>
      <c r="AT86" s="363"/>
      <c r="AU86" s="363"/>
      <c r="AV86" s="363"/>
      <c r="AW86" s="363"/>
      <c r="AX86" s="787"/>
      <c r="AY86" s="363"/>
      <c r="AZ86" s="363"/>
      <c r="BA86" s="363"/>
      <c r="BB86" s="363"/>
      <c r="BC86" s="363"/>
      <c r="BD86" s="363"/>
      <c r="BE86" s="363"/>
      <c r="BF86" s="787"/>
      <c r="BG86" s="363"/>
      <c r="BH86" s="363"/>
      <c r="BI86" s="363"/>
      <c r="BJ86" s="363"/>
      <c r="BK86" s="363"/>
      <c r="BL86" s="363"/>
    </row>
    <row r="87" s="252" customFormat="true" ht="12" hidden="false" customHeight="true" outlineLevel="0" collapsed="false">
      <c r="I87" s="363"/>
      <c r="J87" s="787"/>
      <c r="K87" s="363"/>
      <c r="L87" s="363"/>
      <c r="M87" s="363"/>
      <c r="N87" s="363"/>
      <c r="O87" s="363"/>
      <c r="P87" s="363"/>
      <c r="Q87" s="363"/>
      <c r="R87" s="787"/>
      <c r="S87" s="363"/>
      <c r="T87" s="363"/>
      <c r="U87" s="363"/>
      <c r="V87" s="363"/>
      <c r="W87" s="363"/>
      <c r="X87" s="363"/>
      <c r="Y87" s="363"/>
      <c r="Z87" s="787"/>
      <c r="AA87" s="363"/>
      <c r="AB87" s="363"/>
      <c r="AC87" s="363"/>
      <c r="AD87" s="363"/>
      <c r="AE87" s="363"/>
      <c r="AF87" s="363"/>
      <c r="AO87" s="363"/>
      <c r="AP87" s="787"/>
      <c r="AQ87" s="363"/>
      <c r="AR87" s="363"/>
      <c r="AS87" s="363"/>
      <c r="AT87" s="363"/>
      <c r="AU87" s="363"/>
      <c r="AV87" s="363"/>
      <c r="AW87" s="363"/>
      <c r="AX87" s="787"/>
      <c r="AY87" s="363"/>
      <c r="AZ87" s="363"/>
      <c r="BA87" s="363"/>
      <c r="BB87" s="363"/>
      <c r="BC87" s="363"/>
      <c r="BD87" s="363"/>
      <c r="BE87" s="361"/>
      <c r="BF87" s="787"/>
      <c r="BG87" s="363"/>
      <c r="BH87" s="363"/>
      <c r="BI87" s="363"/>
      <c r="BJ87" s="363"/>
      <c r="BK87" s="1188"/>
      <c r="BL87" s="363"/>
    </row>
    <row r="88" s="252" customFormat="true" ht="12" hidden="false" customHeight="true" outlineLevel="0" collapsed="false">
      <c r="I88" s="363"/>
      <c r="J88" s="787"/>
      <c r="K88" s="363"/>
      <c r="L88" s="363"/>
      <c r="M88" s="363"/>
      <c r="N88" s="363"/>
      <c r="O88" s="363"/>
      <c r="P88" s="363"/>
      <c r="Q88" s="363"/>
      <c r="R88" s="787"/>
      <c r="S88" s="363"/>
      <c r="T88" s="363"/>
      <c r="U88" s="363"/>
      <c r="V88" s="363"/>
      <c r="W88" s="363"/>
      <c r="X88" s="363"/>
      <c r="Y88" s="363"/>
      <c r="Z88" s="787"/>
      <c r="AA88" s="363"/>
      <c r="AB88" s="363"/>
      <c r="AC88" s="363"/>
      <c r="AD88" s="363"/>
      <c r="AE88" s="363"/>
      <c r="AF88" s="363"/>
      <c r="AO88" s="363"/>
      <c r="AP88" s="787"/>
      <c r="AQ88" s="363"/>
      <c r="AR88" s="363"/>
      <c r="AS88" s="363"/>
      <c r="AT88" s="363"/>
      <c r="AU88" s="363"/>
      <c r="AV88" s="363"/>
      <c r="AW88" s="363"/>
      <c r="AX88" s="787"/>
      <c r="AY88" s="363"/>
      <c r="AZ88" s="363"/>
      <c r="BA88" s="363"/>
      <c r="BB88" s="363"/>
      <c r="BC88" s="363"/>
      <c r="BD88" s="363"/>
      <c r="BE88" s="361"/>
      <c r="BF88" s="787"/>
      <c r="BG88" s="363"/>
      <c r="BH88" s="363"/>
      <c r="BI88" s="363"/>
      <c r="BJ88" s="363"/>
      <c r="BK88" s="1188"/>
      <c r="BL88" s="363"/>
    </row>
    <row r="89" s="252" customFormat="true" ht="12" hidden="false" customHeight="true" outlineLevel="0" collapsed="false">
      <c r="I89" s="363"/>
      <c r="J89" s="787"/>
      <c r="K89" s="363"/>
      <c r="L89" s="363"/>
      <c r="M89" s="363"/>
      <c r="N89" s="363"/>
      <c r="O89" s="363"/>
      <c r="P89" s="363"/>
      <c r="Q89" s="363"/>
      <c r="R89" s="787"/>
      <c r="S89" s="363"/>
      <c r="T89" s="363"/>
      <c r="U89" s="363"/>
      <c r="V89" s="363"/>
      <c r="W89" s="363"/>
      <c r="X89" s="363"/>
      <c r="Y89" s="363"/>
      <c r="Z89" s="787"/>
      <c r="AA89" s="363"/>
      <c r="AB89" s="363"/>
      <c r="AC89" s="363"/>
      <c r="AD89" s="363"/>
      <c r="AE89" s="363"/>
      <c r="AF89" s="363"/>
      <c r="AO89" s="363"/>
      <c r="AP89" s="787"/>
      <c r="AQ89" s="363"/>
      <c r="AR89" s="363"/>
      <c r="AS89" s="363"/>
      <c r="AT89" s="363"/>
      <c r="AU89" s="363"/>
      <c r="AV89" s="363"/>
      <c r="AW89" s="363"/>
      <c r="AX89" s="787"/>
      <c r="AY89" s="363"/>
      <c r="AZ89" s="363"/>
      <c r="BA89" s="363"/>
      <c r="BB89" s="363"/>
      <c r="BC89" s="363"/>
      <c r="BD89" s="363"/>
      <c r="BE89" s="361"/>
      <c r="BF89" s="787"/>
      <c r="BG89" s="363"/>
      <c r="BH89" s="363"/>
      <c r="BI89" s="363"/>
      <c r="BJ89" s="363"/>
      <c r="BK89" s="1188"/>
      <c r="BL89" s="363"/>
    </row>
    <row r="90" s="252" customFormat="true" ht="12" hidden="false" customHeight="true" outlineLevel="0" collapsed="false">
      <c r="I90" s="363"/>
      <c r="J90" s="787"/>
      <c r="K90" s="363"/>
      <c r="L90" s="363"/>
      <c r="M90" s="363"/>
      <c r="N90" s="363"/>
      <c r="O90" s="363"/>
      <c r="P90" s="363"/>
      <c r="Q90" s="363"/>
      <c r="R90" s="787"/>
      <c r="S90" s="363"/>
      <c r="T90" s="363"/>
      <c r="U90" s="363"/>
      <c r="V90" s="363"/>
      <c r="W90" s="363"/>
      <c r="X90" s="363"/>
      <c r="Y90" s="363"/>
      <c r="Z90" s="787"/>
      <c r="AA90" s="363"/>
      <c r="AB90" s="363"/>
      <c r="AC90" s="363"/>
      <c r="AD90" s="363"/>
      <c r="AE90" s="363"/>
      <c r="AF90" s="363"/>
      <c r="AO90" s="363"/>
      <c r="AP90" s="787"/>
      <c r="AQ90" s="363"/>
      <c r="AR90" s="363"/>
      <c r="AS90" s="363"/>
      <c r="AT90" s="363"/>
      <c r="AU90" s="363"/>
      <c r="AV90" s="363"/>
      <c r="AW90" s="363"/>
      <c r="AX90" s="787"/>
      <c r="AY90" s="363"/>
      <c r="AZ90" s="363"/>
      <c r="BA90" s="363"/>
      <c r="BB90" s="363"/>
      <c r="BC90" s="363"/>
      <c r="BD90" s="363"/>
      <c r="BE90" s="363"/>
      <c r="BF90" s="787"/>
      <c r="BG90" s="363"/>
      <c r="BH90" s="363"/>
      <c r="BI90" s="363"/>
      <c r="BJ90" s="363"/>
      <c r="BK90" s="363"/>
      <c r="BL90" s="363"/>
    </row>
    <row r="91" s="252" customFormat="true" ht="12" hidden="false" customHeight="true" outlineLevel="0" collapsed="false">
      <c r="I91" s="363"/>
      <c r="J91" s="787"/>
      <c r="K91" s="363"/>
      <c r="L91" s="363"/>
      <c r="M91" s="363"/>
      <c r="N91" s="363"/>
      <c r="O91" s="363"/>
      <c r="P91" s="363"/>
      <c r="Q91" s="363"/>
      <c r="R91" s="787"/>
      <c r="S91" s="363"/>
      <c r="T91" s="363"/>
      <c r="U91" s="363"/>
      <c r="V91" s="363"/>
      <c r="W91" s="363"/>
      <c r="X91" s="363"/>
      <c r="Y91" s="363"/>
      <c r="Z91" s="787"/>
      <c r="AA91" s="363"/>
      <c r="AB91" s="363"/>
      <c r="AC91" s="363"/>
      <c r="AD91" s="363"/>
      <c r="AE91" s="363"/>
      <c r="AF91" s="363"/>
      <c r="AO91" s="363"/>
      <c r="AP91" s="787"/>
      <c r="AQ91" s="363"/>
      <c r="AR91" s="363"/>
      <c r="AS91" s="363"/>
      <c r="AT91" s="363"/>
      <c r="AU91" s="363"/>
      <c r="AV91" s="363"/>
      <c r="AW91" s="363"/>
      <c r="AX91" s="787"/>
      <c r="AY91" s="363"/>
      <c r="AZ91" s="363"/>
      <c r="BA91" s="363"/>
      <c r="BB91" s="363"/>
      <c r="BC91" s="363"/>
      <c r="BD91" s="363"/>
      <c r="BE91" s="363"/>
      <c r="BF91" s="787"/>
      <c r="BG91" s="363"/>
      <c r="BH91" s="363"/>
      <c r="BI91" s="363"/>
      <c r="BJ91" s="363"/>
      <c r="BK91" s="363"/>
      <c r="BL91" s="363"/>
    </row>
    <row r="92" s="252" customFormat="true" ht="12" hidden="false" customHeight="true" outlineLevel="0" collapsed="false">
      <c r="I92" s="363"/>
      <c r="J92" s="787"/>
      <c r="K92" s="363"/>
      <c r="L92" s="363"/>
      <c r="M92" s="363"/>
      <c r="N92" s="363"/>
      <c r="O92" s="363"/>
      <c r="P92" s="363"/>
      <c r="Q92" s="363"/>
      <c r="R92" s="787"/>
      <c r="S92" s="363"/>
      <c r="T92" s="363"/>
      <c r="U92" s="363"/>
      <c r="V92" s="363"/>
      <c r="W92" s="363"/>
      <c r="X92" s="363"/>
      <c r="Y92" s="363"/>
      <c r="Z92" s="787"/>
      <c r="AA92" s="363"/>
      <c r="AB92" s="363"/>
      <c r="AC92" s="363"/>
      <c r="AD92" s="363"/>
      <c r="AE92" s="363"/>
      <c r="AF92" s="363"/>
      <c r="AG92" s="363"/>
      <c r="AH92" s="787"/>
      <c r="AI92" s="363"/>
      <c r="AJ92" s="363"/>
      <c r="AK92" s="363"/>
      <c r="AL92" s="363"/>
      <c r="AM92" s="363"/>
      <c r="AN92" s="363"/>
      <c r="AO92" s="363"/>
      <c r="AP92" s="787"/>
      <c r="AQ92" s="363"/>
      <c r="AR92" s="363"/>
      <c r="AS92" s="363"/>
      <c r="AT92" s="363"/>
      <c r="AU92" s="363"/>
      <c r="AV92" s="363"/>
      <c r="AW92" s="363"/>
      <c r="AX92" s="787"/>
      <c r="AY92" s="363"/>
      <c r="AZ92" s="363"/>
      <c r="BA92" s="363"/>
      <c r="BB92" s="363"/>
      <c r="BC92" s="363"/>
      <c r="BD92" s="363"/>
      <c r="BE92" s="363"/>
      <c r="BF92" s="787"/>
      <c r="BG92" s="363"/>
      <c r="BH92" s="363"/>
      <c r="BI92" s="363"/>
      <c r="BJ92" s="363"/>
      <c r="BK92" s="363"/>
      <c r="BL92" s="363"/>
    </row>
    <row r="93" s="252" customFormat="true" ht="12" hidden="false" customHeight="true" outlineLevel="0" collapsed="false">
      <c r="I93" s="363"/>
      <c r="J93" s="787"/>
      <c r="K93" s="363"/>
      <c r="L93" s="363"/>
      <c r="M93" s="363"/>
      <c r="N93" s="363"/>
      <c r="O93" s="363"/>
      <c r="P93" s="363"/>
      <c r="Q93" s="363"/>
      <c r="R93" s="787"/>
      <c r="S93" s="363"/>
      <c r="T93" s="363"/>
      <c r="U93" s="363"/>
      <c r="V93" s="363"/>
      <c r="W93" s="363"/>
      <c r="X93" s="363"/>
      <c r="Y93" s="363"/>
      <c r="Z93" s="787"/>
      <c r="AA93" s="363"/>
      <c r="AB93" s="363"/>
      <c r="AC93" s="363"/>
      <c r="AD93" s="363"/>
      <c r="AE93" s="363"/>
      <c r="AF93" s="363"/>
      <c r="AG93" s="363"/>
      <c r="AH93" s="787"/>
      <c r="AI93" s="363"/>
      <c r="AJ93" s="363"/>
      <c r="AK93" s="363"/>
      <c r="AL93" s="363"/>
      <c r="AM93" s="363"/>
      <c r="AN93" s="363"/>
      <c r="AO93" s="363"/>
      <c r="AP93" s="787"/>
      <c r="AQ93" s="363"/>
      <c r="AR93" s="363"/>
      <c r="AS93" s="363"/>
      <c r="AT93" s="363"/>
      <c r="AU93" s="363"/>
      <c r="AV93" s="363"/>
      <c r="AW93" s="363"/>
      <c r="AX93" s="787"/>
      <c r="AY93" s="363"/>
      <c r="AZ93" s="363"/>
      <c r="BA93" s="363"/>
      <c r="BB93" s="363"/>
      <c r="BC93" s="363"/>
      <c r="BD93" s="363"/>
      <c r="BE93" s="363"/>
      <c r="BF93" s="787"/>
      <c r="BG93" s="363"/>
      <c r="BH93" s="363"/>
      <c r="BI93" s="363"/>
      <c r="BJ93" s="363"/>
      <c r="BK93" s="363"/>
      <c r="BL93" s="363"/>
    </row>
    <row r="94" s="252" customFormat="true" ht="12" hidden="false" customHeight="true" outlineLevel="0" collapsed="false">
      <c r="I94" s="363"/>
      <c r="J94" s="787"/>
      <c r="K94" s="363"/>
      <c r="L94" s="363"/>
      <c r="M94" s="363"/>
      <c r="N94" s="363"/>
      <c r="O94" s="363"/>
      <c r="P94" s="363"/>
      <c r="Q94" s="363"/>
      <c r="R94" s="787"/>
      <c r="S94" s="363"/>
      <c r="T94" s="363"/>
      <c r="U94" s="363"/>
      <c r="V94" s="363"/>
      <c r="W94" s="363"/>
      <c r="X94" s="363"/>
      <c r="Y94" s="363"/>
      <c r="Z94" s="787"/>
      <c r="AA94" s="363"/>
      <c r="AB94" s="363"/>
      <c r="AC94" s="363"/>
      <c r="AD94" s="363"/>
      <c r="AE94" s="363"/>
      <c r="AF94" s="363"/>
      <c r="AG94" s="363"/>
      <c r="AH94" s="787"/>
      <c r="AI94" s="363"/>
      <c r="AJ94" s="363"/>
      <c r="AK94" s="363"/>
      <c r="AL94" s="363"/>
      <c r="AM94" s="363"/>
      <c r="AN94" s="363"/>
      <c r="AO94" s="363"/>
      <c r="AP94" s="787"/>
      <c r="AQ94" s="363"/>
      <c r="AR94" s="363"/>
      <c r="AS94" s="363"/>
      <c r="AT94" s="363"/>
      <c r="AU94" s="363"/>
      <c r="AV94" s="363"/>
      <c r="AW94" s="363"/>
      <c r="AX94" s="787"/>
      <c r="AY94" s="363"/>
      <c r="AZ94" s="363"/>
      <c r="BA94" s="363"/>
      <c r="BB94" s="363"/>
      <c r="BC94" s="363"/>
      <c r="BD94" s="363"/>
      <c r="BE94" s="363"/>
      <c r="BF94" s="787"/>
      <c r="BG94" s="363"/>
      <c r="BH94" s="363"/>
      <c r="BI94" s="363"/>
      <c r="BJ94" s="363"/>
      <c r="BK94" s="363"/>
      <c r="BL94" s="363"/>
    </row>
    <row r="95" s="252" customFormat="true" ht="12" hidden="false" customHeight="true" outlineLevel="0" collapsed="false">
      <c r="I95" s="363"/>
      <c r="J95" s="787"/>
      <c r="K95" s="363"/>
      <c r="L95" s="363"/>
      <c r="M95" s="363"/>
      <c r="N95" s="363"/>
      <c r="O95" s="363"/>
      <c r="P95" s="363"/>
      <c r="Q95" s="363"/>
      <c r="R95" s="787"/>
      <c r="S95" s="363"/>
      <c r="T95" s="363"/>
      <c r="U95" s="363"/>
      <c r="V95" s="363"/>
      <c r="W95" s="363"/>
      <c r="X95" s="363"/>
      <c r="Y95" s="363"/>
      <c r="Z95" s="787"/>
      <c r="AA95" s="363"/>
      <c r="AB95" s="363"/>
      <c r="AC95" s="363"/>
      <c r="AD95" s="363"/>
      <c r="AE95" s="363"/>
      <c r="AF95" s="363"/>
      <c r="AG95" s="363"/>
      <c r="AH95" s="787"/>
      <c r="AI95" s="363"/>
      <c r="AJ95" s="363"/>
      <c r="AK95" s="363"/>
      <c r="AL95" s="363"/>
      <c r="AM95" s="363"/>
      <c r="AN95" s="363"/>
      <c r="AO95" s="363"/>
      <c r="AP95" s="787"/>
      <c r="AQ95" s="363"/>
      <c r="AR95" s="363"/>
      <c r="AS95" s="363"/>
      <c r="AT95" s="363"/>
      <c r="AU95" s="363"/>
      <c r="AV95" s="363"/>
      <c r="AW95" s="363"/>
      <c r="AX95" s="787"/>
      <c r="AY95" s="363"/>
      <c r="AZ95" s="363"/>
      <c r="BA95" s="363"/>
      <c r="BB95" s="363"/>
      <c r="BC95" s="363"/>
      <c r="BD95" s="363"/>
      <c r="BE95" s="363"/>
      <c r="BF95" s="787"/>
      <c r="BG95" s="363"/>
      <c r="BH95" s="363"/>
      <c r="BI95" s="363"/>
      <c r="BJ95" s="363"/>
      <c r="BK95" s="363"/>
      <c r="BL95" s="363"/>
    </row>
    <row r="96" s="252" customFormat="true" ht="12" hidden="false" customHeight="true" outlineLevel="0" collapsed="false">
      <c r="I96" s="363"/>
      <c r="J96" s="787"/>
      <c r="K96" s="363"/>
      <c r="L96" s="363"/>
      <c r="M96" s="363"/>
      <c r="N96" s="363"/>
      <c r="O96" s="363"/>
      <c r="P96" s="363"/>
      <c r="Q96" s="363"/>
      <c r="R96" s="787"/>
      <c r="S96" s="363"/>
      <c r="T96" s="363"/>
      <c r="U96" s="363"/>
      <c r="V96" s="363"/>
      <c r="W96" s="363"/>
      <c r="X96" s="363"/>
      <c r="Y96" s="363"/>
      <c r="Z96" s="787"/>
      <c r="AA96" s="363"/>
      <c r="AB96" s="363"/>
      <c r="AC96" s="363"/>
      <c r="AD96" s="363"/>
      <c r="AE96" s="363"/>
      <c r="AF96" s="363"/>
      <c r="AG96" s="363"/>
      <c r="AH96" s="787"/>
      <c r="AI96" s="363"/>
      <c r="AJ96" s="363"/>
      <c r="AK96" s="363"/>
      <c r="AL96" s="363"/>
      <c r="AM96" s="363"/>
      <c r="AN96" s="363"/>
      <c r="AO96" s="363"/>
      <c r="AP96" s="787"/>
      <c r="AQ96" s="363"/>
      <c r="AR96" s="363"/>
      <c r="AS96" s="363"/>
      <c r="AT96" s="363"/>
      <c r="AU96" s="363"/>
      <c r="AV96" s="363"/>
      <c r="AW96" s="363"/>
      <c r="AX96" s="787"/>
      <c r="AY96" s="363"/>
      <c r="AZ96" s="363"/>
      <c r="BA96" s="363"/>
      <c r="BB96" s="363"/>
      <c r="BC96" s="363"/>
      <c r="BD96" s="363"/>
      <c r="BE96" s="363"/>
      <c r="BF96" s="787"/>
      <c r="BG96" s="363"/>
      <c r="BH96" s="363"/>
      <c r="BI96" s="363"/>
      <c r="BJ96" s="363"/>
      <c r="BK96" s="363"/>
      <c r="BL96" s="363"/>
    </row>
    <row r="97" s="252" customFormat="true" ht="12" hidden="false" customHeight="true" outlineLevel="0" collapsed="false">
      <c r="I97" s="363"/>
      <c r="J97" s="787"/>
      <c r="K97" s="363"/>
      <c r="L97" s="363"/>
      <c r="M97" s="363"/>
      <c r="N97" s="363"/>
      <c r="O97" s="363"/>
      <c r="P97" s="363"/>
      <c r="Q97" s="363"/>
      <c r="R97" s="787"/>
      <c r="S97" s="363"/>
      <c r="T97" s="363"/>
      <c r="U97" s="363"/>
      <c r="V97" s="363"/>
      <c r="W97" s="363"/>
      <c r="X97" s="363"/>
      <c r="Y97" s="363"/>
      <c r="Z97" s="787"/>
      <c r="AA97" s="363"/>
      <c r="AB97" s="363"/>
      <c r="AC97" s="363"/>
      <c r="AD97" s="363"/>
      <c r="AE97" s="363"/>
      <c r="AF97" s="363"/>
      <c r="AG97" s="363"/>
      <c r="AH97" s="787"/>
      <c r="AI97" s="363"/>
      <c r="AJ97" s="363"/>
      <c r="AK97" s="363"/>
      <c r="AL97" s="363"/>
      <c r="AM97" s="363"/>
      <c r="AN97" s="363"/>
      <c r="AO97" s="363"/>
      <c r="AP97" s="787"/>
      <c r="AQ97" s="363"/>
      <c r="AR97" s="363"/>
      <c r="AS97" s="363"/>
      <c r="AT97" s="363"/>
      <c r="AU97" s="363"/>
      <c r="AV97" s="363"/>
      <c r="AW97" s="363"/>
      <c r="AX97" s="787"/>
      <c r="AY97" s="363"/>
      <c r="AZ97" s="363"/>
      <c r="BA97" s="363"/>
      <c r="BB97" s="363"/>
      <c r="BC97" s="363"/>
      <c r="BD97" s="363"/>
      <c r="BE97" s="363"/>
      <c r="BF97" s="787"/>
      <c r="BG97" s="363"/>
      <c r="BH97" s="363"/>
      <c r="BI97" s="363"/>
      <c r="BJ97" s="363"/>
      <c r="BK97" s="363"/>
      <c r="BL97" s="363"/>
    </row>
    <row r="98" s="252" customFormat="true" ht="12" hidden="false" customHeight="true" outlineLevel="0" collapsed="false">
      <c r="I98" s="363"/>
      <c r="J98" s="787"/>
      <c r="K98" s="363"/>
      <c r="L98" s="363"/>
      <c r="M98" s="363"/>
      <c r="N98" s="363"/>
      <c r="O98" s="363"/>
      <c r="P98" s="363"/>
      <c r="Q98" s="363"/>
      <c r="R98" s="787"/>
      <c r="S98" s="363"/>
      <c r="T98" s="363"/>
      <c r="U98" s="363"/>
      <c r="V98" s="363"/>
      <c r="W98" s="363"/>
      <c r="X98" s="363"/>
      <c r="Y98" s="363"/>
      <c r="Z98" s="787"/>
      <c r="AA98" s="363"/>
      <c r="AB98" s="363"/>
      <c r="AC98" s="363"/>
      <c r="AD98" s="363"/>
      <c r="AE98" s="363"/>
      <c r="AF98" s="363"/>
      <c r="AG98" s="363"/>
      <c r="AH98" s="787"/>
      <c r="AI98" s="363"/>
      <c r="AJ98" s="363"/>
      <c r="AK98" s="363"/>
      <c r="AL98" s="363"/>
      <c r="AM98" s="363"/>
      <c r="AN98" s="363"/>
      <c r="AO98" s="363"/>
      <c r="AP98" s="787"/>
      <c r="AQ98" s="363"/>
      <c r="AR98" s="363"/>
      <c r="AS98" s="363"/>
      <c r="AT98" s="363"/>
      <c r="AU98" s="363"/>
      <c r="AV98" s="363"/>
      <c r="AW98" s="363"/>
      <c r="AX98" s="787"/>
      <c r="AY98" s="363"/>
      <c r="AZ98" s="363"/>
      <c r="BA98" s="363"/>
      <c r="BB98" s="363"/>
      <c r="BC98" s="363"/>
      <c r="BD98" s="363"/>
      <c r="BE98" s="363"/>
      <c r="BF98" s="787"/>
      <c r="BG98" s="363"/>
      <c r="BH98" s="363"/>
      <c r="BI98" s="363"/>
      <c r="BJ98" s="363"/>
      <c r="BK98" s="363"/>
      <c r="BL98" s="363"/>
    </row>
    <row r="99" s="252" customFormat="true" ht="12" hidden="false" customHeight="true" outlineLevel="0" collapsed="false">
      <c r="I99" s="363"/>
      <c r="J99" s="787"/>
      <c r="K99" s="363"/>
      <c r="L99" s="363"/>
      <c r="M99" s="363"/>
      <c r="N99" s="363"/>
      <c r="O99" s="363"/>
      <c r="P99" s="363"/>
      <c r="Q99" s="363"/>
      <c r="R99" s="787"/>
      <c r="S99" s="363"/>
      <c r="T99" s="363"/>
      <c r="U99" s="363"/>
      <c r="V99" s="363"/>
      <c r="W99" s="363"/>
      <c r="X99" s="363"/>
      <c r="Y99" s="363"/>
      <c r="Z99" s="787"/>
      <c r="AA99" s="363"/>
      <c r="AB99" s="363"/>
      <c r="AC99" s="363"/>
      <c r="AD99" s="363"/>
      <c r="AE99" s="363"/>
      <c r="AF99" s="363"/>
      <c r="AG99" s="363"/>
      <c r="AH99" s="787"/>
      <c r="AI99" s="363"/>
      <c r="AJ99" s="363"/>
      <c r="AK99" s="363"/>
      <c r="AL99" s="363"/>
      <c r="AM99" s="363"/>
      <c r="AN99" s="363"/>
      <c r="AO99" s="363"/>
      <c r="AP99" s="787"/>
      <c r="AQ99" s="363"/>
      <c r="AR99" s="363"/>
      <c r="AS99" s="363"/>
      <c r="AT99" s="363"/>
      <c r="AU99" s="363"/>
      <c r="AV99" s="363"/>
      <c r="AW99" s="363"/>
      <c r="AX99" s="787"/>
      <c r="AY99" s="363"/>
      <c r="AZ99" s="363"/>
      <c r="BA99" s="363"/>
      <c r="BB99" s="363"/>
      <c r="BC99" s="363"/>
      <c r="BD99" s="363"/>
      <c r="BE99" s="363"/>
      <c r="BF99" s="787"/>
      <c r="BG99" s="363"/>
      <c r="BH99" s="363"/>
      <c r="BI99" s="363"/>
      <c r="BJ99" s="363"/>
      <c r="BK99" s="363"/>
      <c r="BL99" s="363"/>
    </row>
    <row r="100" s="252" customFormat="true" ht="12" hidden="false" customHeight="true" outlineLevel="0" collapsed="false">
      <c r="I100" s="363"/>
      <c r="J100" s="787"/>
      <c r="K100" s="363"/>
      <c r="L100" s="363"/>
      <c r="M100" s="363"/>
      <c r="N100" s="363"/>
      <c r="O100" s="363"/>
      <c r="P100" s="363"/>
      <c r="Q100" s="363"/>
      <c r="R100" s="787"/>
      <c r="S100" s="363"/>
      <c r="T100" s="363"/>
      <c r="U100" s="363"/>
      <c r="V100" s="363"/>
      <c r="W100" s="363"/>
      <c r="X100" s="363"/>
      <c r="Y100" s="363"/>
      <c r="Z100" s="787"/>
      <c r="AA100" s="363"/>
      <c r="AB100" s="363"/>
      <c r="AC100" s="363"/>
      <c r="AD100" s="363"/>
      <c r="AE100" s="363"/>
      <c r="AF100" s="363"/>
      <c r="AG100" s="363"/>
      <c r="AH100" s="787"/>
      <c r="AI100" s="363"/>
      <c r="AJ100" s="363"/>
      <c r="AK100" s="363"/>
      <c r="AL100" s="363"/>
      <c r="AM100" s="363"/>
      <c r="AN100" s="363"/>
      <c r="AO100" s="363"/>
      <c r="AP100" s="787"/>
      <c r="AQ100" s="363"/>
      <c r="AR100" s="363"/>
      <c r="AS100" s="363"/>
      <c r="AT100" s="363"/>
      <c r="AU100" s="363"/>
      <c r="AV100" s="363"/>
      <c r="AW100" s="363"/>
      <c r="AX100" s="787"/>
      <c r="AY100" s="363"/>
      <c r="AZ100" s="363"/>
      <c r="BA100" s="363"/>
      <c r="BB100" s="363"/>
      <c r="BC100" s="363"/>
      <c r="BD100" s="363"/>
      <c r="BE100" s="363"/>
      <c r="BF100" s="787"/>
      <c r="BG100" s="363"/>
      <c r="BH100" s="363"/>
      <c r="BI100" s="363"/>
      <c r="BJ100" s="363"/>
      <c r="BK100" s="363"/>
      <c r="BL100" s="363"/>
    </row>
    <row r="101" s="252" customFormat="true" ht="12" hidden="false" customHeight="true" outlineLevel="0" collapsed="false">
      <c r="I101" s="363"/>
      <c r="J101" s="787"/>
      <c r="K101" s="363"/>
      <c r="L101" s="363"/>
      <c r="M101" s="363"/>
      <c r="N101" s="363"/>
      <c r="O101" s="363"/>
      <c r="P101" s="363"/>
      <c r="Q101" s="363"/>
      <c r="R101" s="787"/>
      <c r="S101" s="363"/>
      <c r="T101" s="363"/>
      <c r="U101" s="363"/>
      <c r="V101" s="363"/>
      <c r="W101" s="363"/>
      <c r="X101" s="363"/>
      <c r="Y101" s="363"/>
      <c r="Z101" s="787"/>
      <c r="AA101" s="363"/>
      <c r="AB101" s="363"/>
      <c r="AC101" s="363"/>
      <c r="AD101" s="363"/>
      <c r="AE101" s="363"/>
      <c r="AF101" s="363"/>
      <c r="AG101" s="363"/>
      <c r="AH101" s="787"/>
      <c r="AI101" s="363"/>
      <c r="AJ101" s="363"/>
      <c r="AK101" s="363"/>
      <c r="AL101" s="363"/>
      <c r="AM101" s="363"/>
      <c r="AN101" s="363"/>
      <c r="AO101" s="363"/>
      <c r="AP101" s="787"/>
      <c r="AQ101" s="363"/>
      <c r="AR101" s="363"/>
      <c r="AS101" s="363"/>
      <c r="AT101" s="363"/>
      <c r="AU101" s="363"/>
      <c r="AV101" s="363"/>
      <c r="AW101" s="363"/>
      <c r="AX101" s="787"/>
      <c r="AY101" s="363"/>
      <c r="AZ101" s="363"/>
      <c r="BA101" s="363"/>
      <c r="BB101" s="363"/>
      <c r="BC101" s="363"/>
      <c r="BD101" s="363"/>
      <c r="BE101" s="363"/>
      <c r="BF101" s="787"/>
      <c r="BG101" s="363"/>
      <c r="BH101" s="363"/>
      <c r="BI101" s="363"/>
      <c r="BJ101" s="363"/>
      <c r="BK101" s="363"/>
      <c r="BL101" s="363"/>
    </row>
    <row r="102" s="252" customFormat="true" ht="12" hidden="false" customHeight="true" outlineLevel="0" collapsed="false">
      <c r="I102" s="363"/>
      <c r="J102" s="787"/>
      <c r="K102" s="363"/>
      <c r="L102" s="363"/>
      <c r="M102" s="363"/>
      <c r="N102" s="363"/>
      <c r="O102" s="363"/>
      <c r="P102" s="363"/>
      <c r="Q102" s="363"/>
      <c r="R102" s="787"/>
      <c r="S102" s="363"/>
      <c r="T102" s="363"/>
      <c r="U102" s="363"/>
      <c r="V102" s="363"/>
      <c r="W102" s="363"/>
      <c r="X102" s="363"/>
      <c r="Y102" s="363"/>
      <c r="Z102" s="787"/>
      <c r="AA102" s="363"/>
      <c r="AB102" s="363"/>
      <c r="AC102" s="363"/>
      <c r="AD102" s="363"/>
      <c r="AE102" s="363"/>
      <c r="AF102" s="363"/>
      <c r="AG102" s="363"/>
      <c r="AH102" s="787"/>
      <c r="AI102" s="363"/>
      <c r="AJ102" s="363"/>
      <c r="AK102" s="363"/>
      <c r="AL102" s="363"/>
      <c r="AM102" s="363"/>
      <c r="AN102" s="363"/>
      <c r="AO102" s="363"/>
      <c r="AP102" s="787"/>
      <c r="AQ102" s="363"/>
      <c r="AR102" s="363"/>
      <c r="AS102" s="363"/>
      <c r="AT102" s="363"/>
      <c r="AU102" s="363"/>
      <c r="AV102" s="363"/>
      <c r="AW102" s="363"/>
      <c r="AX102" s="787"/>
      <c r="AY102" s="363"/>
      <c r="AZ102" s="363"/>
      <c r="BA102" s="363"/>
      <c r="BB102" s="363"/>
      <c r="BC102" s="363"/>
      <c r="BD102" s="363"/>
      <c r="BE102" s="363"/>
      <c r="BF102" s="787"/>
      <c r="BG102" s="363"/>
      <c r="BH102" s="363"/>
      <c r="BI102" s="363"/>
      <c r="BJ102" s="363"/>
      <c r="BK102" s="363"/>
      <c r="BL102" s="363"/>
    </row>
    <row r="103" s="252" customFormat="true" ht="12" hidden="false" customHeight="true" outlineLevel="0" collapsed="false">
      <c r="I103" s="363"/>
      <c r="J103" s="787"/>
      <c r="K103" s="363"/>
      <c r="L103" s="363"/>
      <c r="M103" s="363"/>
      <c r="N103" s="363"/>
      <c r="O103" s="363"/>
      <c r="P103" s="363"/>
      <c r="Q103" s="363"/>
      <c r="R103" s="787"/>
      <c r="S103" s="363"/>
      <c r="T103" s="363"/>
      <c r="U103" s="363"/>
      <c r="V103" s="363"/>
      <c r="W103" s="363"/>
      <c r="X103" s="363"/>
      <c r="Y103" s="363"/>
      <c r="Z103" s="787"/>
      <c r="AA103" s="363"/>
      <c r="AB103" s="363"/>
      <c r="AC103" s="363"/>
      <c r="AD103" s="363"/>
      <c r="AE103" s="363"/>
      <c r="AF103" s="363"/>
      <c r="AG103" s="363"/>
      <c r="AH103" s="787"/>
      <c r="AI103" s="363"/>
      <c r="AJ103" s="363"/>
      <c r="AK103" s="363"/>
      <c r="AL103" s="363"/>
      <c r="AM103" s="363"/>
      <c r="AN103" s="363"/>
      <c r="AO103" s="363"/>
      <c r="AP103" s="787"/>
      <c r="AQ103" s="363"/>
      <c r="AR103" s="363"/>
      <c r="AS103" s="363"/>
      <c r="AT103" s="363"/>
      <c r="AU103" s="363"/>
      <c r="AV103" s="363"/>
      <c r="AW103" s="363"/>
      <c r="AX103" s="787"/>
      <c r="AY103" s="363"/>
      <c r="AZ103" s="363"/>
      <c r="BA103" s="363"/>
      <c r="BB103" s="363"/>
      <c r="BC103" s="363"/>
      <c r="BD103" s="363"/>
      <c r="BE103" s="363"/>
      <c r="BF103" s="787"/>
      <c r="BG103" s="363"/>
      <c r="BH103" s="363"/>
      <c r="BI103" s="363"/>
      <c r="BJ103" s="363"/>
      <c r="BK103" s="363"/>
      <c r="BL103" s="363"/>
    </row>
    <row r="104" s="252" customFormat="true" ht="12" hidden="false" customHeight="true" outlineLevel="0" collapsed="false">
      <c r="I104" s="363"/>
      <c r="J104" s="787"/>
      <c r="K104" s="363"/>
      <c r="L104" s="363"/>
      <c r="M104" s="363"/>
      <c r="N104" s="363"/>
      <c r="O104" s="363"/>
      <c r="P104" s="363"/>
      <c r="Q104" s="363"/>
      <c r="R104" s="787"/>
      <c r="S104" s="363"/>
      <c r="T104" s="363"/>
      <c r="U104" s="363"/>
      <c r="V104" s="363"/>
      <c r="W104" s="363"/>
      <c r="X104" s="363"/>
      <c r="Y104" s="363"/>
      <c r="Z104" s="787"/>
      <c r="AA104" s="363"/>
      <c r="AB104" s="363"/>
      <c r="AC104" s="363"/>
      <c r="AD104" s="363"/>
      <c r="AE104" s="363"/>
      <c r="AF104" s="363"/>
      <c r="AG104" s="363"/>
      <c r="AH104" s="787"/>
      <c r="AI104" s="363"/>
      <c r="AJ104" s="363"/>
      <c r="AK104" s="363"/>
      <c r="AL104" s="363"/>
      <c r="AM104" s="363"/>
      <c r="AN104" s="363"/>
      <c r="AO104" s="363"/>
      <c r="AP104" s="787"/>
      <c r="AQ104" s="363"/>
      <c r="AR104" s="363"/>
      <c r="AS104" s="363"/>
      <c r="AT104" s="363"/>
      <c r="AU104" s="363"/>
      <c r="AV104" s="363"/>
      <c r="AW104" s="363"/>
      <c r="AX104" s="787"/>
      <c r="AY104" s="363"/>
      <c r="AZ104" s="363"/>
      <c r="BA104" s="363"/>
      <c r="BB104" s="363"/>
      <c r="BC104" s="363"/>
      <c r="BD104" s="363"/>
      <c r="BE104" s="363"/>
      <c r="BF104" s="787"/>
      <c r="BG104" s="363"/>
      <c r="BH104" s="363"/>
      <c r="BI104" s="363"/>
      <c r="BJ104" s="363"/>
      <c r="BK104" s="363"/>
      <c r="BL104" s="363"/>
    </row>
    <row r="105" s="252" customFormat="true" ht="12" hidden="false" customHeight="true" outlineLevel="0" collapsed="false">
      <c r="I105" s="363"/>
      <c r="J105" s="787"/>
      <c r="K105" s="363"/>
      <c r="L105" s="363"/>
      <c r="M105" s="363"/>
      <c r="N105" s="363"/>
      <c r="O105" s="363"/>
      <c r="P105" s="363"/>
      <c r="Q105" s="363"/>
      <c r="R105" s="787"/>
      <c r="S105" s="363"/>
      <c r="T105" s="363"/>
      <c r="U105" s="363"/>
      <c r="V105" s="363"/>
      <c r="W105" s="363"/>
      <c r="X105" s="363"/>
      <c r="Y105" s="363"/>
      <c r="Z105" s="787"/>
      <c r="AA105" s="363"/>
      <c r="AB105" s="363"/>
      <c r="AC105" s="363"/>
      <c r="AD105" s="363"/>
      <c r="AE105" s="363"/>
      <c r="AF105" s="363"/>
      <c r="AG105" s="363"/>
      <c r="AH105" s="787"/>
      <c r="AI105" s="363"/>
      <c r="AJ105" s="363"/>
      <c r="AK105" s="363"/>
      <c r="AL105" s="363"/>
      <c r="AM105" s="363"/>
      <c r="AN105" s="363"/>
      <c r="AO105" s="363"/>
      <c r="AP105" s="787"/>
      <c r="AQ105" s="363"/>
      <c r="AR105" s="363"/>
      <c r="AS105" s="363"/>
      <c r="AT105" s="363"/>
      <c r="AU105" s="363"/>
      <c r="AV105" s="363"/>
      <c r="AW105" s="363"/>
      <c r="AX105" s="787"/>
      <c r="AY105" s="363"/>
      <c r="AZ105" s="363"/>
      <c r="BA105" s="363"/>
      <c r="BB105" s="363"/>
      <c r="BC105" s="363"/>
      <c r="BD105" s="363"/>
      <c r="BE105" s="363"/>
      <c r="BF105" s="787"/>
      <c r="BG105" s="363"/>
      <c r="BH105" s="363"/>
      <c r="BI105" s="363"/>
      <c r="BJ105" s="363"/>
      <c r="BK105" s="363"/>
      <c r="BL105" s="363"/>
    </row>
    <row r="106" s="252" customFormat="true" ht="12" hidden="false" customHeight="true" outlineLevel="0" collapsed="false">
      <c r="I106" s="363"/>
      <c r="J106" s="787"/>
      <c r="K106" s="363"/>
      <c r="L106" s="363"/>
      <c r="M106" s="363"/>
      <c r="N106" s="363"/>
      <c r="O106" s="363"/>
      <c r="P106" s="363"/>
      <c r="Q106" s="363"/>
      <c r="R106" s="787"/>
      <c r="S106" s="363"/>
      <c r="T106" s="363"/>
      <c r="U106" s="363"/>
      <c r="V106" s="363"/>
      <c r="W106" s="363"/>
      <c r="X106" s="363"/>
      <c r="Y106" s="363"/>
      <c r="Z106" s="787"/>
      <c r="AA106" s="363"/>
      <c r="AB106" s="363"/>
      <c r="AC106" s="363"/>
      <c r="AD106" s="363"/>
      <c r="AE106" s="363"/>
      <c r="AF106" s="363"/>
      <c r="AG106" s="363"/>
      <c r="AH106" s="787"/>
      <c r="AI106" s="363"/>
      <c r="AJ106" s="363"/>
      <c r="AK106" s="363"/>
      <c r="AL106" s="363"/>
      <c r="AM106" s="363"/>
      <c r="AN106" s="363"/>
      <c r="AO106" s="363"/>
      <c r="AP106" s="787"/>
      <c r="AQ106" s="363"/>
      <c r="AR106" s="363"/>
      <c r="AS106" s="363"/>
      <c r="AT106" s="363"/>
      <c r="AU106" s="363"/>
      <c r="AV106" s="363"/>
      <c r="AW106" s="363"/>
      <c r="AX106" s="787"/>
      <c r="AY106" s="363"/>
      <c r="AZ106" s="363"/>
      <c r="BA106" s="363"/>
      <c r="BB106" s="363"/>
      <c r="BC106" s="363"/>
      <c r="BD106" s="363"/>
      <c r="BE106" s="363"/>
      <c r="BF106" s="787"/>
      <c r="BG106" s="363"/>
      <c r="BH106" s="363"/>
      <c r="BI106" s="363"/>
      <c r="BJ106" s="363"/>
      <c r="BK106" s="363"/>
      <c r="BL106" s="363"/>
    </row>
    <row r="107" s="252" customFormat="true" ht="12" hidden="false" customHeight="true" outlineLevel="0" collapsed="false">
      <c r="I107" s="363"/>
      <c r="J107" s="787"/>
      <c r="K107" s="363"/>
      <c r="L107" s="363"/>
      <c r="M107" s="363"/>
      <c r="N107" s="363"/>
      <c r="O107" s="363"/>
      <c r="P107" s="363"/>
      <c r="Q107" s="363"/>
      <c r="R107" s="787"/>
      <c r="S107" s="363"/>
      <c r="T107" s="363"/>
      <c r="U107" s="363"/>
      <c r="V107" s="363"/>
      <c r="W107" s="363"/>
      <c r="X107" s="363"/>
      <c r="Y107" s="363"/>
      <c r="Z107" s="787"/>
      <c r="AA107" s="363"/>
      <c r="AB107" s="363"/>
      <c r="AC107" s="363"/>
      <c r="AD107" s="363"/>
      <c r="AE107" s="363"/>
      <c r="AF107" s="363"/>
      <c r="AG107" s="363"/>
      <c r="AH107" s="787"/>
      <c r="AI107" s="363"/>
      <c r="AJ107" s="363"/>
      <c r="AK107" s="363"/>
      <c r="AL107" s="363"/>
      <c r="AM107" s="363"/>
      <c r="AN107" s="363"/>
      <c r="AO107" s="363"/>
      <c r="AP107" s="787"/>
      <c r="AQ107" s="363"/>
      <c r="AR107" s="363"/>
      <c r="AS107" s="363"/>
      <c r="AT107" s="363"/>
      <c r="AU107" s="363"/>
      <c r="AV107" s="363"/>
      <c r="AW107" s="363"/>
      <c r="AX107" s="787"/>
      <c r="AY107" s="363"/>
      <c r="AZ107" s="363"/>
      <c r="BA107" s="363"/>
      <c r="BB107" s="363"/>
      <c r="BC107" s="363"/>
      <c r="BD107" s="363"/>
      <c r="BE107" s="363"/>
      <c r="BF107" s="787"/>
      <c r="BG107" s="363"/>
      <c r="BH107" s="363"/>
      <c r="BI107" s="363"/>
      <c r="BJ107" s="363"/>
      <c r="BK107" s="363"/>
      <c r="BL107" s="363"/>
    </row>
    <row r="108" s="252" customFormat="true" ht="12" hidden="false" customHeight="true" outlineLevel="0" collapsed="false">
      <c r="I108" s="363"/>
      <c r="J108" s="787"/>
      <c r="K108" s="363"/>
      <c r="L108" s="363"/>
      <c r="M108" s="363"/>
      <c r="N108" s="363"/>
      <c r="O108" s="363"/>
      <c r="P108" s="363"/>
      <c r="Q108" s="363"/>
      <c r="R108" s="787"/>
      <c r="S108" s="363"/>
      <c r="T108" s="363"/>
      <c r="U108" s="363"/>
      <c r="V108" s="363"/>
      <c r="W108" s="363"/>
      <c r="X108" s="363"/>
      <c r="Y108" s="363"/>
      <c r="Z108" s="787"/>
      <c r="AA108" s="363"/>
      <c r="AB108" s="363"/>
      <c r="AC108" s="363"/>
      <c r="AD108" s="363"/>
      <c r="AE108" s="363"/>
      <c r="AF108" s="363"/>
      <c r="AG108" s="363"/>
      <c r="AH108" s="787"/>
      <c r="AI108" s="363"/>
      <c r="AJ108" s="363"/>
      <c r="AK108" s="363"/>
      <c r="AL108" s="363"/>
      <c r="AM108" s="363"/>
      <c r="AN108" s="363"/>
      <c r="AO108" s="363"/>
      <c r="AP108" s="787"/>
      <c r="AQ108" s="363"/>
      <c r="AR108" s="363"/>
      <c r="AS108" s="363"/>
      <c r="AT108" s="363"/>
      <c r="AU108" s="363"/>
      <c r="AV108" s="363"/>
      <c r="AW108" s="363"/>
      <c r="AX108" s="787"/>
      <c r="AY108" s="363"/>
      <c r="AZ108" s="363"/>
      <c r="BA108" s="363"/>
      <c r="BB108" s="363"/>
      <c r="BC108" s="363"/>
      <c r="BD108" s="363"/>
      <c r="BE108" s="363"/>
      <c r="BF108" s="787"/>
      <c r="BG108" s="363"/>
      <c r="BH108" s="363"/>
      <c r="BI108" s="363"/>
      <c r="BJ108" s="363"/>
      <c r="BK108" s="363"/>
      <c r="BL108" s="363"/>
    </row>
    <row r="109" s="252" customFormat="true" ht="12" hidden="false" customHeight="true" outlineLevel="0" collapsed="false">
      <c r="I109" s="363"/>
      <c r="J109" s="787"/>
      <c r="K109" s="363"/>
      <c r="L109" s="363"/>
      <c r="M109" s="363"/>
      <c r="N109" s="363"/>
      <c r="O109" s="363"/>
      <c r="P109" s="363"/>
      <c r="Q109" s="363"/>
      <c r="R109" s="787"/>
      <c r="S109" s="363"/>
      <c r="T109" s="363"/>
      <c r="U109" s="363"/>
      <c r="V109" s="363"/>
      <c r="W109" s="363"/>
      <c r="X109" s="363"/>
      <c r="Y109" s="363"/>
      <c r="Z109" s="787"/>
      <c r="AA109" s="363"/>
      <c r="AB109" s="363"/>
      <c r="AC109" s="363"/>
      <c r="AD109" s="363"/>
      <c r="AE109" s="363"/>
      <c r="AF109" s="363"/>
      <c r="AG109" s="363"/>
      <c r="AH109" s="787"/>
      <c r="AI109" s="363"/>
      <c r="AJ109" s="363"/>
      <c r="AK109" s="363"/>
      <c r="AL109" s="363"/>
      <c r="AM109" s="363"/>
      <c r="AN109" s="363"/>
      <c r="AO109" s="363"/>
      <c r="AP109" s="787"/>
      <c r="AQ109" s="363"/>
      <c r="AR109" s="363"/>
      <c r="AS109" s="363"/>
      <c r="AT109" s="363"/>
      <c r="AU109" s="363"/>
      <c r="AV109" s="363"/>
      <c r="AW109" s="363"/>
      <c r="AX109" s="787"/>
      <c r="AY109" s="363"/>
      <c r="AZ109" s="363"/>
      <c r="BA109" s="363"/>
      <c r="BB109" s="363"/>
      <c r="BC109" s="363"/>
      <c r="BD109" s="363"/>
      <c r="BE109" s="363"/>
      <c r="BF109" s="787"/>
      <c r="BG109" s="363"/>
      <c r="BH109" s="363"/>
      <c r="BI109" s="363"/>
      <c r="BJ109" s="363"/>
      <c r="BK109" s="363"/>
      <c r="BL109" s="363"/>
    </row>
    <row r="110" s="252" customFormat="true" ht="12" hidden="false" customHeight="true" outlineLevel="0" collapsed="false">
      <c r="I110" s="363"/>
      <c r="J110" s="787"/>
      <c r="K110" s="363"/>
      <c r="L110" s="363"/>
      <c r="M110" s="363"/>
      <c r="N110" s="363"/>
      <c r="O110" s="363"/>
      <c r="P110" s="363"/>
      <c r="Q110" s="363"/>
      <c r="R110" s="787"/>
      <c r="S110" s="363"/>
      <c r="T110" s="363"/>
      <c r="U110" s="363"/>
      <c r="V110" s="363"/>
      <c r="W110" s="363"/>
      <c r="X110" s="363"/>
      <c r="Y110" s="363"/>
      <c r="Z110" s="787"/>
      <c r="AA110" s="363"/>
      <c r="AB110" s="363"/>
      <c r="AC110" s="363"/>
      <c r="AD110" s="363"/>
      <c r="AE110" s="363"/>
      <c r="AF110" s="363"/>
      <c r="AG110" s="363"/>
      <c r="AH110" s="787"/>
      <c r="AI110" s="363"/>
      <c r="AJ110" s="363"/>
      <c r="AK110" s="363"/>
      <c r="AL110" s="363"/>
      <c r="AM110" s="363"/>
      <c r="AN110" s="363"/>
      <c r="AO110" s="363"/>
      <c r="AP110" s="787"/>
      <c r="AQ110" s="363"/>
      <c r="AR110" s="363"/>
      <c r="AS110" s="363"/>
      <c r="AT110" s="363"/>
      <c r="AU110" s="363"/>
      <c r="AV110" s="363"/>
      <c r="AW110" s="363"/>
      <c r="AX110" s="787"/>
      <c r="AY110" s="363"/>
      <c r="AZ110" s="363"/>
      <c r="BA110" s="363"/>
      <c r="BB110" s="363"/>
      <c r="BC110" s="363"/>
      <c r="BD110" s="363"/>
      <c r="BE110" s="363"/>
      <c r="BF110" s="787"/>
      <c r="BG110" s="363"/>
      <c r="BH110" s="363"/>
      <c r="BI110" s="363"/>
      <c r="BJ110" s="363"/>
      <c r="BK110" s="363"/>
      <c r="BL110" s="363"/>
    </row>
    <row r="111" s="252" customFormat="true" ht="12" hidden="false" customHeight="true" outlineLevel="0" collapsed="false">
      <c r="I111" s="363"/>
      <c r="J111" s="787"/>
      <c r="K111" s="363"/>
      <c r="L111" s="363"/>
      <c r="M111" s="363"/>
      <c r="N111" s="363"/>
      <c r="O111" s="363"/>
      <c r="P111" s="363"/>
      <c r="Q111" s="363"/>
      <c r="R111" s="787"/>
      <c r="S111" s="363"/>
      <c r="T111" s="363"/>
      <c r="U111" s="363"/>
      <c r="V111" s="363"/>
      <c r="W111" s="363"/>
      <c r="X111" s="363"/>
      <c r="Y111" s="363"/>
      <c r="Z111" s="787"/>
      <c r="AA111" s="363"/>
      <c r="AB111" s="363"/>
      <c r="AC111" s="363"/>
      <c r="AD111" s="363"/>
      <c r="AE111" s="363"/>
      <c r="AF111" s="363"/>
      <c r="AG111" s="363"/>
      <c r="AH111" s="787"/>
      <c r="AI111" s="363"/>
      <c r="AJ111" s="363"/>
      <c r="AK111" s="363"/>
      <c r="AL111" s="363"/>
      <c r="AM111" s="363"/>
      <c r="AN111" s="363"/>
      <c r="AO111" s="363"/>
      <c r="AP111" s="787"/>
      <c r="AQ111" s="363"/>
      <c r="AR111" s="363"/>
      <c r="AS111" s="363"/>
      <c r="AT111" s="363"/>
      <c r="AU111" s="363"/>
      <c r="AV111" s="363"/>
      <c r="AW111" s="363"/>
      <c r="AX111" s="787"/>
      <c r="AY111" s="363"/>
      <c r="AZ111" s="363"/>
      <c r="BA111" s="363"/>
      <c r="BB111" s="363"/>
      <c r="BC111" s="363"/>
      <c r="BD111" s="363"/>
      <c r="BE111" s="363"/>
      <c r="BF111" s="787"/>
      <c r="BG111" s="363"/>
      <c r="BH111" s="363"/>
      <c r="BI111" s="363"/>
      <c r="BJ111" s="363"/>
      <c r="BK111" s="363"/>
      <c r="BL111" s="363"/>
    </row>
    <row r="112" s="252" customFormat="true" ht="12" hidden="false" customHeight="true" outlineLevel="0" collapsed="false">
      <c r="I112" s="363"/>
      <c r="J112" s="787"/>
      <c r="K112" s="363"/>
      <c r="L112" s="363"/>
      <c r="M112" s="363"/>
      <c r="N112" s="363"/>
      <c r="O112" s="363"/>
      <c r="P112" s="363"/>
      <c r="Q112" s="363"/>
      <c r="R112" s="787"/>
      <c r="S112" s="363"/>
      <c r="T112" s="363"/>
      <c r="U112" s="363"/>
      <c r="V112" s="363"/>
      <c r="W112" s="363"/>
      <c r="X112" s="363"/>
      <c r="Y112" s="363"/>
      <c r="Z112" s="787"/>
      <c r="AA112" s="363"/>
      <c r="AB112" s="363"/>
      <c r="AC112" s="363"/>
      <c r="AD112" s="363"/>
      <c r="AE112" s="363"/>
      <c r="AF112" s="363"/>
      <c r="AG112" s="363"/>
      <c r="AH112" s="787"/>
      <c r="AI112" s="363"/>
      <c r="AJ112" s="363"/>
      <c r="AK112" s="363"/>
      <c r="AL112" s="363"/>
      <c r="AM112" s="363"/>
      <c r="AN112" s="363"/>
      <c r="AO112" s="363"/>
      <c r="AP112" s="787"/>
      <c r="AQ112" s="363"/>
      <c r="AR112" s="363"/>
      <c r="AS112" s="363"/>
      <c r="AT112" s="363"/>
      <c r="AU112" s="363"/>
      <c r="AV112" s="363"/>
      <c r="AW112" s="363"/>
      <c r="AX112" s="787"/>
      <c r="AY112" s="363"/>
      <c r="AZ112" s="363"/>
      <c r="BA112" s="363"/>
      <c r="BB112" s="363"/>
      <c r="BC112" s="363"/>
      <c r="BD112" s="363"/>
      <c r="BE112" s="363"/>
      <c r="BF112" s="787"/>
      <c r="BG112" s="363"/>
      <c r="BH112" s="363"/>
      <c r="BI112" s="363"/>
      <c r="BJ112" s="363"/>
      <c r="BK112" s="363"/>
      <c r="BL112" s="363"/>
    </row>
    <row r="113" s="252" customFormat="true" ht="12" hidden="false" customHeight="true" outlineLevel="0" collapsed="false">
      <c r="I113" s="363"/>
      <c r="J113" s="787"/>
      <c r="K113" s="363"/>
      <c r="L113" s="363"/>
      <c r="M113" s="363"/>
      <c r="N113" s="363"/>
      <c r="O113" s="363"/>
      <c r="P113" s="363"/>
      <c r="Q113" s="363"/>
      <c r="R113" s="787"/>
      <c r="S113" s="363"/>
      <c r="T113" s="363"/>
      <c r="U113" s="363"/>
      <c r="V113" s="363"/>
      <c r="W113" s="363"/>
      <c r="X113" s="363"/>
      <c r="Y113" s="363"/>
      <c r="Z113" s="787"/>
      <c r="AA113" s="363"/>
      <c r="AB113" s="363"/>
      <c r="AC113" s="363"/>
      <c r="AD113" s="363"/>
      <c r="AE113" s="363"/>
      <c r="AF113" s="363"/>
      <c r="AG113" s="363"/>
      <c r="AH113" s="787"/>
      <c r="AI113" s="363"/>
      <c r="AJ113" s="363"/>
      <c r="AK113" s="363"/>
      <c r="AL113" s="363"/>
      <c r="AM113" s="363"/>
      <c r="AN113" s="363"/>
      <c r="AO113" s="363"/>
      <c r="AP113" s="787"/>
      <c r="AQ113" s="363"/>
      <c r="AR113" s="363"/>
      <c r="AS113" s="363"/>
      <c r="AT113" s="363"/>
      <c r="AU113" s="363"/>
      <c r="AV113" s="363"/>
      <c r="AW113" s="363"/>
      <c r="AX113" s="787"/>
      <c r="AY113" s="363"/>
      <c r="AZ113" s="363"/>
      <c r="BA113" s="363"/>
      <c r="BB113" s="363"/>
      <c r="BC113" s="363"/>
      <c r="BD113" s="363"/>
      <c r="BE113" s="363"/>
      <c r="BF113" s="787"/>
      <c r="BG113" s="363"/>
      <c r="BH113" s="363"/>
      <c r="BI113" s="363"/>
      <c r="BJ113" s="363"/>
      <c r="BK113" s="363"/>
      <c r="BL113" s="363"/>
    </row>
    <row r="114" s="252" customFormat="true" ht="12" hidden="false" customHeight="true" outlineLevel="0" collapsed="false">
      <c r="E114" s="107"/>
      <c r="F114" s="107"/>
      <c r="G114" s="319"/>
      <c r="H114" s="107"/>
      <c r="I114" s="363"/>
      <c r="J114" s="787"/>
      <c r="K114" s="363"/>
      <c r="L114" s="363"/>
      <c r="M114" s="363"/>
      <c r="N114" s="363"/>
      <c r="O114" s="363"/>
      <c r="P114" s="363"/>
      <c r="Q114" s="363"/>
      <c r="R114" s="787"/>
      <c r="S114" s="363"/>
      <c r="T114" s="363"/>
      <c r="U114" s="363"/>
      <c r="V114" s="363"/>
      <c r="W114" s="363"/>
      <c r="X114" s="363"/>
      <c r="Y114" s="363"/>
      <c r="Z114" s="787"/>
      <c r="AA114" s="363"/>
      <c r="AB114" s="363"/>
      <c r="AC114" s="363"/>
      <c r="AD114" s="363"/>
      <c r="AE114" s="363"/>
      <c r="AF114" s="363"/>
      <c r="AG114" s="363"/>
      <c r="AH114" s="787"/>
      <c r="AI114" s="363"/>
      <c r="AJ114" s="363"/>
      <c r="AK114" s="363"/>
      <c r="AL114" s="363"/>
      <c r="AM114" s="363"/>
      <c r="AN114" s="363"/>
      <c r="AO114" s="363"/>
      <c r="AP114" s="787"/>
      <c r="AQ114" s="363"/>
      <c r="AR114" s="363"/>
      <c r="AS114" s="363"/>
      <c r="AT114" s="363"/>
      <c r="AU114" s="363"/>
      <c r="AV114" s="363"/>
      <c r="AW114" s="222"/>
      <c r="AX114" s="520"/>
      <c r="AY114" s="363"/>
      <c r="AZ114" s="363"/>
      <c r="BA114" s="363"/>
      <c r="BB114" s="363"/>
      <c r="BC114" s="1188"/>
      <c r="BD114" s="363"/>
      <c r="BE114" s="363"/>
      <c r="BF114" s="787"/>
      <c r="BG114" s="363"/>
      <c r="BH114" s="363"/>
      <c r="BI114" s="363"/>
      <c r="BJ114" s="363"/>
      <c r="BK114" s="363"/>
      <c r="BL114" s="363"/>
    </row>
    <row r="115" s="252" customFormat="true" ht="12" hidden="false" customHeight="true" outlineLevel="0" collapsed="false">
      <c r="B115" s="1189"/>
      <c r="G115" s="1189"/>
      <c r="I115" s="363"/>
      <c r="J115" s="787"/>
      <c r="K115" s="363"/>
      <c r="L115" s="363"/>
      <c r="M115" s="363"/>
      <c r="N115" s="363"/>
      <c r="O115" s="363"/>
      <c r="P115" s="363"/>
      <c r="Q115" s="363"/>
      <c r="R115" s="787"/>
      <c r="S115" s="363"/>
      <c r="T115" s="363"/>
      <c r="U115" s="363"/>
      <c r="V115" s="363"/>
      <c r="W115" s="363"/>
      <c r="X115" s="363"/>
      <c r="Y115" s="363"/>
      <c r="Z115" s="787"/>
      <c r="AA115" s="363"/>
      <c r="AB115" s="363"/>
      <c r="AC115" s="363"/>
      <c r="AD115" s="363"/>
      <c r="AE115" s="363"/>
      <c r="AF115" s="363"/>
      <c r="AG115" s="363"/>
      <c r="AH115" s="520"/>
      <c r="AI115" s="363"/>
      <c r="AJ115" s="363"/>
      <c r="AK115" s="363"/>
      <c r="AL115" s="363"/>
      <c r="AM115" s="1188"/>
      <c r="AN115" s="363"/>
      <c r="AO115" s="363"/>
      <c r="AP115" s="787"/>
      <c r="AQ115" s="363"/>
      <c r="AR115" s="363"/>
      <c r="AS115" s="363"/>
      <c r="AT115" s="363"/>
      <c r="AU115" s="363"/>
      <c r="AV115" s="363"/>
      <c r="AW115" s="1190"/>
      <c r="AX115" s="787"/>
      <c r="AY115" s="222"/>
      <c r="AZ115" s="222"/>
      <c r="BA115" s="222"/>
      <c r="BB115" s="222"/>
      <c r="BC115" s="222"/>
      <c r="BD115" s="222"/>
      <c r="BE115" s="363"/>
      <c r="BF115" s="787"/>
      <c r="BG115" s="363"/>
      <c r="BH115" s="363"/>
      <c r="BI115" s="363"/>
      <c r="BJ115" s="363"/>
      <c r="BK115" s="363"/>
      <c r="BL115" s="363"/>
    </row>
    <row r="116" customFormat="false" ht="12" hidden="false" customHeight="true" outlineLevel="0" collapsed="false">
      <c r="AW116" s="1190"/>
      <c r="AX116" s="1191"/>
      <c r="AY116" s="1190"/>
      <c r="AZ116" s="1190"/>
      <c r="BA116" s="1190"/>
      <c r="BB116" s="1190"/>
      <c r="BC116" s="1190"/>
      <c r="BD116" s="1190"/>
      <c r="BE116" s="363"/>
      <c r="BG116" s="363"/>
      <c r="BH116" s="363"/>
      <c r="BI116" s="363"/>
      <c r="BJ116" s="363"/>
      <c r="BK116" s="363"/>
      <c r="BL116" s="363"/>
    </row>
    <row r="117" s="1192" customFormat="true" ht="6.95" hidden="false" customHeight="true" outlineLevel="0" collapsed="false">
      <c r="B117" s="319"/>
      <c r="G117" s="319"/>
      <c r="I117" s="1190"/>
      <c r="J117" s="1191"/>
      <c r="K117" s="1190"/>
      <c r="L117" s="1190"/>
      <c r="M117" s="1190"/>
      <c r="N117" s="1190"/>
      <c r="O117" s="1190"/>
      <c r="P117" s="1190"/>
      <c r="Q117" s="1190"/>
      <c r="R117" s="1191"/>
      <c r="S117" s="1190"/>
      <c r="T117" s="1190"/>
      <c r="U117" s="1190"/>
      <c r="V117" s="1190"/>
      <c r="W117" s="1190"/>
      <c r="X117" s="1190"/>
      <c r="Y117" s="1190"/>
      <c r="Z117" s="1191"/>
      <c r="AA117" s="1190"/>
      <c r="AB117" s="1190"/>
      <c r="AC117" s="1190"/>
      <c r="AD117" s="1190"/>
      <c r="AE117" s="1190"/>
      <c r="AF117" s="1190"/>
      <c r="AG117" s="1190"/>
      <c r="AH117" s="1191"/>
      <c r="AI117" s="1190"/>
      <c r="AJ117" s="1190"/>
      <c r="AK117" s="1190"/>
      <c r="AL117" s="1190"/>
      <c r="AM117" s="1190"/>
      <c r="AN117" s="1190"/>
      <c r="AO117" s="1190"/>
      <c r="AP117" s="1191"/>
      <c r="AQ117" s="1190"/>
      <c r="AR117" s="1190"/>
      <c r="AS117" s="1190"/>
      <c r="AT117" s="1190"/>
      <c r="AU117" s="1190"/>
      <c r="AV117" s="1190"/>
      <c r="AW117" s="367"/>
      <c r="AX117" s="1191"/>
      <c r="AY117" s="1190"/>
      <c r="AZ117" s="1190"/>
      <c r="BA117" s="1190"/>
      <c r="BB117" s="1190"/>
      <c r="BC117" s="1190"/>
      <c r="BD117" s="1190"/>
      <c r="BE117" s="363"/>
      <c r="BF117" s="787"/>
      <c r="BG117" s="363"/>
      <c r="BH117" s="363"/>
      <c r="BI117" s="363"/>
      <c r="BJ117" s="363"/>
      <c r="BK117" s="363"/>
      <c r="BL117" s="363"/>
    </row>
    <row r="118" s="1192" customFormat="true" ht="6.95" hidden="false" customHeight="true" outlineLevel="0" collapsed="false">
      <c r="B118" s="319"/>
      <c r="D118" s="1193"/>
      <c r="E118" s="1193"/>
      <c r="F118" s="1193"/>
      <c r="G118" s="1189"/>
      <c r="H118" s="1193"/>
      <c r="I118" s="1190"/>
      <c r="J118" s="1191"/>
      <c r="K118" s="1190"/>
      <c r="L118" s="1190"/>
      <c r="M118" s="1190"/>
      <c r="N118" s="1190"/>
      <c r="O118" s="1190"/>
      <c r="P118" s="1190"/>
      <c r="Q118" s="1190"/>
      <c r="R118" s="1191"/>
      <c r="S118" s="1190"/>
      <c r="T118" s="1190"/>
      <c r="U118" s="1190"/>
      <c r="V118" s="1190"/>
      <c r="W118" s="1190"/>
      <c r="X118" s="1190"/>
      <c r="Y118" s="1190"/>
      <c r="Z118" s="1191"/>
      <c r="AA118" s="1190"/>
      <c r="AB118" s="1190"/>
      <c r="AC118" s="1190"/>
      <c r="AD118" s="1190"/>
      <c r="AE118" s="1190"/>
      <c r="AF118" s="1190"/>
      <c r="AG118" s="1190"/>
      <c r="AH118" s="1191"/>
      <c r="AI118" s="1190"/>
      <c r="AJ118" s="1190"/>
      <c r="AK118" s="1190"/>
      <c r="AL118" s="1190"/>
      <c r="AM118" s="1190"/>
      <c r="AN118" s="1190"/>
      <c r="AO118" s="1190"/>
      <c r="AP118" s="1191"/>
      <c r="AQ118" s="1190"/>
      <c r="AR118" s="1190"/>
      <c r="AS118" s="1190"/>
      <c r="AT118" s="1190"/>
      <c r="AU118" s="1190"/>
      <c r="AV118" s="1190"/>
      <c r="AW118" s="367"/>
      <c r="AX118" s="1194"/>
      <c r="AY118" s="367"/>
      <c r="AZ118" s="367"/>
      <c r="BA118" s="367"/>
      <c r="BB118" s="367"/>
      <c r="BC118" s="367"/>
      <c r="BD118" s="367"/>
      <c r="BE118" s="363"/>
      <c r="BF118" s="787"/>
      <c r="BG118" s="363"/>
      <c r="BH118" s="363"/>
      <c r="BI118" s="363"/>
      <c r="BJ118" s="363"/>
      <c r="BK118" s="363"/>
      <c r="BL118" s="363"/>
    </row>
    <row r="119" s="319" customFormat="true" ht="7.5" hidden="false" customHeight="true" outlineLevel="0" collapsed="false">
      <c r="I119" s="367"/>
      <c r="J119" s="1194"/>
      <c r="K119" s="367"/>
      <c r="L119" s="367"/>
      <c r="M119" s="367"/>
      <c r="N119" s="367"/>
      <c r="O119" s="367"/>
      <c r="P119" s="367"/>
      <c r="Q119" s="367"/>
      <c r="R119" s="1194"/>
      <c r="S119" s="367"/>
      <c r="T119" s="367"/>
      <c r="U119" s="367"/>
      <c r="V119" s="367"/>
      <c r="W119" s="367"/>
      <c r="X119" s="367"/>
      <c r="Y119" s="367"/>
      <c r="Z119" s="1194"/>
      <c r="AA119" s="367"/>
      <c r="AB119" s="367"/>
      <c r="AC119" s="367"/>
      <c r="AD119" s="367"/>
      <c r="AE119" s="367"/>
      <c r="AF119" s="367"/>
      <c r="AG119" s="367"/>
      <c r="AH119" s="1194"/>
      <c r="AI119" s="367"/>
      <c r="AJ119" s="367"/>
      <c r="AK119" s="367"/>
      <c r="AL119" s="367"/>
      <c r="AM119" s="367"/>
      <c r="AN119" s="367"/>
      <c r="AO119" s="367"/>
      <c r="AP119" s="1194"/>
      <c r="AQ119" s="367"/>
      <c r="AR119" s="367"/>
      <c r="AS119" s="367"/>
      <c r="AT119" s="367"/>
      <c r="AU119" s="367"/>
      <c r="AV119" s="367"/>
      <c r="AW119" s="367"/>
      <c r="AX119" s="1194"/>
      <c r="AY119" s="367"/>
      <c r="AZ119" s="367"/>
      <c r="BA119" s="367"/>
      <c r="BB119" s="367"/>
      <c r="BC119" s="367"/>
      <c r="BD119" s="367"/>
      <c r="BE119" s="363"/>
      <c r="BF119" s="787"/>
      <c r="BG119" s="363"/>
      <c r="BH119" s="363"/>
      <c r="BI119" s="363"/>
      <c r="BJ119" s="363"/>
      <c r="BK119" s="363"/>
      <c r="BL119" s="363"/>
    </row>
    <row r="120" s="319" customFormat="true" ht="7.5" hidden="false" customHeight="true" outlineLevel="0" collapsed="false">
      <c r="I120" s="367"/>
      <c r="J120" s="1194"/>
      <c r="K120" s="367"/>
      <c r="L120" s="367"/>
      <c r="M120" s="367"/>
      <c r="N120" s="367"/>
      <c r="O120" s="367"/>
      <c r="P120" s="367"/>
      <c r="Q120" s="367"/>
      <c r="R120" s="1194"/>
      <c r="S120" s="367"/>
      <c r="T120" s="367"/>
      <c r="U120" s="367"/>
      <c r="V120" s="367"/>
      <c r="W120" s="367"/>
      <c r="X120" s="367"/>
      <c r="Y120" s="367"/>
      <c r="Z120" s="1194"/>
      <c r="AA120" s="367"/>
      <c r="AB120" s="367"/>
      <c r="AC120" s="367"/>
      <c r="AD120" s="367"/>
      <c r="AE120" s="367"/>
      <c r="AF120" s="367"/>
      <c r="AG120" s="367"/>
      <c r="AH120" s="1194"/>
      <c r="AI120" s="367"/>
      <c r="AJ120" s="367"/>
      <c r="AK120" s="367"/>
      <c r="AL120" s="367"/>
      <c r="AM120" s="367"/>
      <c r="AN120" s="367"/>
      <c r="AO120" s="367"/>
      <c r="AP120" s="1194"/>
      <c r="AQ120" s="367"/>
      <c r="AR120" s="367"/>
      <c r="AS120" s="367"/>
      <c r="AT120" s="367"/>
      <c r="AU120" s="367"/>
      <c r="AV120" s="367"/>
      <c r="AW120" s="367"/>
      <c r="AX120" s="1194"/>
      <c r="AY120" s="367"/>
      <c r="AZ120" s="367"/>
      <c r="BA120" s="367"/>
      <c r="BB120" s="367"/>
      <c r="BC120" s="367"/>
      <c r="BD120" s="367"/>
      <c r="BE120" s="222"/>
      <c r="BF120" s="787"/>
      <c r="BG120" s="222"/>
      <c r="BH120" s="222"/>
      <c r="BI120" s="222"/>
      <c r="BJ120" s="222"/>
      <c r="BK120" s="222"/>
      <c r="BL120" s="222"/>
    </row>
    <row r="121" s="319" customFormat="true" ht="7.5" hidden="false" customHeight="true" outlineLevel="0" collapsed="false">
      <c r="I121" s="367"/>
      <c r="J121" s="1194"/>
      <c r="K121" s="367"/>
      <c r="L121" s="367"/>
      <c r="M121" s="367"/>
      <c r="N121" s="367"/>
      <c r="O121" s="367"/>
      <c r="P121" s="367"/>
      <c r="Q121" s="367"/>
      <c r="R121" s="1194"/>
      <c r="S121" s="367"/>
      <c r="T121" s="367"/>
      <c r="U121" s="367"/>
      <c r="V121" s="367"/>
      <c r="W121" s="367"/>
      <c r="X121" s="367"/>
      <c r="Y121" s="367"/>
      <c r="Z121" s="1194"/>
      <c r="AA121" s="367"/>
      <c r="AB121" s="367"/>
      <c r="AC121" s="367"/>
      <c r="AD121" s="367"/>
      <c r="AE121" s="367"/>
      <c r="AF121" s="367"/>
      <c r="AG121" s="367"/>
      <c r="AH121" s="1194"/>
      <c r="AI121" s="367"/>
      <c r="AJ121" s="367"/>
      <c r="AK121" s="367"/>
      <c r="AL121" s="367"/>
      <c r="AM121" s="367"/>
      <c r="AN121" s="367"/>
      <c r="AO121" s="367"/>
      <c r="AP121" s="1194"/>
      <c r="AQ121" s="367"/>
      <c r="AR121" s="367"/>
      <c r="AS121" s="367"/>
      <c r="AT121" s="367"/>
      <c r="AU121" s="367"/>
      <c r="AV121" s="367"/>
      <c r="AW121" s="367"/>
      <c r="AX121" s="1194"/>
      <c r="AY121" s="367"/>
      <c r="AZ121" s="367"/>
      <c r="BA121" s="367"/>
      <c r="BB121" s="367"/>
      <c r="BC121" s="367"/>
      <c r="BD121" s="367"/>
      <c r="BE121" s="1190"/>
      <c r="BF121" s="1191"/>
      <c r="BG121" s="1190"/>
      <c r="BH121" s="1190"/>
      <c r="BI121" s="1190"/>
      <c r="BJ121" s="1190"/>
      <c r="BK121" s="1190"/>
      <c r="BL121" s="1190"/>
    </row>
    <row r="122" s="319" customFormat="true" ht="7.5" hidden="false" customHeight="true" outlineLevel="0" collapsed="false">
      <c r="I122" s="367"/>
      <c r="J122" s="1194"/>
      <c r="K122" s="367"/>
      <c r="L122" s="367"/>
      <c r="M122" s="367"/>
      <c r="N122" s="367"/>
      <c r="O122" s="367"/>
      <c r="P122" s="367"/>
      <c r="Q122" s="367"/>
      <c r="R122" s="1194"/>
      <c r="S122" s="367"/>
      <c r="T122" s="367"/>
      <c r="U122" s="367"/>
      <c r="V122" s="367"/>
      <c r="W122" s="367"/>
      <c r="X122" s="367"/>
      <c r="Y122" s="367"/>
      <c r="Z122" s="1194"/>
      <c r="AA122" s="367"/>
      <c r="AB122" s="367"/>
      <c r="AC122" s="367"/>
      <c r="AD122" s="367"/>
      <c r="AE122" s="367"/>
      <c r="AF122" s="367"/>
      <c r="AG122" s="367"/>
      <c r="AH122" s="1194"/>
      <c r="AI122" s="367"/>
      <c r="AJ122" s="367"/>
      <c r="AK122" s="367"/>
      <c r="AL122" s="367"/>
      <c r="AM122" s="367"/>
      <c r="AN122" s="367"/>
      <c r="AO122" s="367"/>
      <c r="AP122" s="1194"/>
      <c r="AQ122" s="367"/>
      <c r="AR122" s="367"/>
      <c r="AS122" s="367"/>
      <c r="AT122" s="367"/>
      <c r="AU122" s="367"/>
      <c r="AV122" s="367"/>
      <c r="AW122" s="367"/>
      <c r="AX122" s="1194"/>
      <c r="AY122" s="367"/>
      <c r="AZ122" s="367"/>
      <c r="BA122" s="367"/>
      <c r="BB122" s="367"/>
      <c r="BC122" s="367"/>
      <c r="BD122" s="367"/>
      <c r="BE122" s="1190"/>
      <c r="BF122" s="1191"/>
      <c r="BG122" s="1190"/>
      <c r="BH122" s="1190"/>
      <c r="BI122" s="1190"/>
      <c r="BJ122" s="1190"/>
      <c r="BK122" s="1190"/>
      <c r="BL122" s="1190"/>
    </row>
    <row r="123" s="319" customFormat="true" ht="7.5" hidden="false" customHeight="true" outlineLevel="0" collapsed="false">
      <c r="I123" s="367"/>
      <c r="J123" s="1194"/>
      <c r="K123" s="367"/>
      <c r="L123" s="367"/>
      <c r="M123" s="367"/>
      <c r="N123" s="367"/>
      <c r="O123" s="367"/>
      <c r="P123" s="367"/>
      <c r="Q123" s="367"/>
      <c r="R123" s="1194"/>
      <c r="S123" s="367"/>
      <c r="T123" s="367"/>
      <c r="U123" s="367"/>
      <c r="V123" s="367"/>
      <c r="W123" s="367"/>
      <c r="X123" s="367"/>
      <c r="Y123" s="367"/>
      <c r="Z123" s="1194"/>
      <c r="AA123" s="367"/>
      <c r="AB123" s="367"/>
      <c r="AC123" s="367"/>
      <c r="AD123" s="367"/>
      <c r="AE123" s="367"/>
      <c r="AF123" s="367"/>
      <c r="AG123" s="367"/>
      <c r="AH123" s="1194"/>
      <c r="AI123" s="367"/>
      <c r="AJ123" s="367"/>
      <c r="AK123" s="367"/>
      <c r="AL123" s="367"/>
      <c r="AM123" s="367"/>
      <c r="AN123" s="367"/>
      <c r="AO123" s="367"/>
      <c r="AP123" s="1194"/>
      <c r="AQ123" s="367"/>
      <c r="AR123" s="367"/>
      <c r="AS123" s="367"/>
      <c r="AT123" s="367"/>
      <c r="AU123" s="367"/>
      <c r="AV123" s="367"/>
      <c r="AW123" s="1188"/>
      <c r="AX123" s="1194"/>
      <c r="AY123" s="367"/>
      <c r="AZ123" s="367"/>
      <c r="BA123" s="367"/>
      <c r="BB123" s="367"/>
      <c r="BC123" s="367"/>
      <c r="BD123" s="367"/>
      <c r="BE123" s="367"/>
      <c r="BF123" s="1194"/>
      <c r="BG123" s="367"/>
      <c r="BH123" s="367"/>
      <c r="BI123" s="367"/>
      <c r="BJ123" s="367"/>
      <c r="BK123" s="367"/>
      <c r="BL123" s="367"/>
    </row>
    <row r="124" s="319" customFormat="true" ht="7.5" hidden="false" customHeight="true" outlineLevel="0" collapsed="false">
      <c r="I124" s="367"/>
      <c r="J124" s="1194"/>
      <c r="K124" s="367"/>
      <c r="L124" s="367"/>
      <c r="M124" s="367"/>
      <c r="N124" s="367"/>
      <c r="O124" s="367"/>
      <c r="P124" s="367"/>
      <c r="Q124" s="367"/>
      <c r="R124" s="1194"/>
      <c r="S124" s="367"/>
      <c r="T124" s="367"/>
      <c r="U124" s="367"/>
      <c r="V124" s="367"/>
      <c r="W124" s="367"/>
      <c r="X124" s="367"/>
      <c r="Y124" s="367"/>
      <c r="Z124" s="1194"/>
      <c r="AA124" s="367"/>
      <c r="AB124" s="367"/>
      <c r="AC124" s="367"/>
      <c r="AD124" s="367"/>
      <c r="AE124" s="367"/>
      <c r="AF124" s="367"/>
      <c r="AG124" s="367"/>
      <c r="AH124" s="1194"/>
      <c r="AI124" s="367"/>
      <c r="AJ124" s="367"/>
      <c r="AK124" s="367"/>
      <c r="AL124" s="367"/>
      <c r="AM124" s="367"/>
      <c r="AN124" s="367"/>
      <c r="AO124" s="367"/>
      <c r="AP124" s="1194"/>
      <c r="AQ124" s="367"/>
      <c r="AR124" s="367"/>
      <c r="AS124" s="367"/>
      <c r="AT124" s="367"/>
      <c r="AU124" s="367"/>
      <c r="AV124" s="367"/>
      <c r="AW124" s="1188"/>
      <c r="AX124" s="1194"/>
      <c r="AY124" s="1188"/>
      <c r="AZ124" s="1188"/>
      <c r="BA124" s="1188"/>
      <c r="BB124" s="1188"/>
      <c r="BC124" s="1188"/>
      <c r="BD124" s="1188"/>
      <c r="BE124" s="367"/>
      <c r="BF124" s="1194"/>
      <c r="BG124" s="367"/>
      <c r="BH124" s="367"/>
      <c r="BI124" s="367"/>
      <c r="BJ124" s="367"/>
      <c r="BK124" s="367"/>
      <c r="BL124" s="367"/>
    </row>
    <row r="125" s="1189" customFormat="true" ht="7.5" hidden="false" customHeight="true" outlineLevel="0" collapsed="false">
      <c r="I125" s="1188"/>
      <c r="J125" s="1194"/>
      <c r="K125" s="1188"/>
      <c r="L125" s="1188"/>
      <c r="M125" s="1188"/>
      <c r="N125" s="1188"/>
      <c r="O125" s="1188"/>
      <c r="P125" s="1188"/>
      <c r="Q125" s="1188"/>
      <c r="R125" s="1194"/>
      <c r="S125" s="1188"/>
      <c r="T125" s="1188"/>
      <c r="U125" s="1188"/>
      <c r="V125" s="1188"/>
      <c r="W125" s="1188"/>
      <c r="X125" s="1188"/>
      <c r="Y125" s="1188"/>
      <c r="Z125" s="1194"/>
      <c r="AA125" s="1188"/>
      <c r="AB125" s="1188"/>
      <c r="AC125" s="1188"/>
      <c r="AD125" s="1188"/>
      <c r="AE125" s="1188"/>
      <c r="AF125" s="1188"/>
      <c r="AG125" s="1188"/>
      <c r="AH125" s="1194"/>
      <c r="AI125" s="1188"/>
      <c r="AJ125" s="1188"/>
      <c r="AK125" s="1188"/>
      <c r="AL125" s="1188"/>
      <c r="AM125" s="1188"/>
      <c r="AN125" s="1188"/>
      <c r="AO125" s="1188"/>
      <c r="AP125" s="1194"/>
      <c r="AQ125" s="1188"/>
      <c r="AR125" s="1188"/>
      <c r="AS125" s="1188"/>
      <c r="AT125" s="1188"/>
      <c r="AU125" s="1188"/>
      <c r="AV125" s="1188"/>
      <c r="AW125" s="1188"/>
      <c r="AX125" s="1194"/>
      <c r="AY125" s="1188"/>
      <c r="AZ125" s="1188"/>
      <c r="BA125" s="1188"/>
      <c r="BB125" s="1188"/>
      <c r="BC125" s="1188"/>
      <c r="BD125" s="1188"/>
      <c r="BE125" s="367"/>
      <c r="BF125" s="1194"/>
      <c r="BG125" s="367"/>
      <c r="BH125" s="367"/>
      <c r="BI125" s="367"/>
      <c r="BJ125" s="367"/>
      <c r="BK125" s="367"/>
      <c r="BL125" s="367"/>
    </row>
    <row r="126" s="1189" customFormat="true" ht="7.5" hidden="false" customHeight="true" outlineLevel="0" collapsed="false">
      <c r="I126" s="1188"/>
      <c r="J126" s="1194"/>
      <c r="K126" s="1188"/>
      <c r="L126" s="1188"/>
      <c r="M126" s="1188"/>
      <c r="N126" s="1188"/>
      <c r="O126" s="1188"/>
      <c r="P126" s="1188"/>
      <c r="Q126" s="1188"/>
      <c r="R126" s="520"/>
      <c r="S126" s="1188"/>
      <c r="T126" s="1188"/>
      <c r="U126" s="1188"/>
      <c r="V126" s="1188"/>
      <c r="W126" s="1188"/>
      <c r="X126" s="1188"/>
      <c r="Y126" s="1188"/>
      <c r="Z126" s="1194"/>
      <c r="AA126" s="1188"/>
      <c r="AB126" s="1188"/>
      <c r="AC126" s="1188"/>
      <c r="AD126" s="1188"/>
      <c r="AE126" s="1188"/>
      <c r="AF126" s="1188"/>
      <c r="AG126" s="1188"/>
      <c r="AH126" s="1194"/>
      <c r="AI126" s="1188"/>
      <c r="AJ126" s="1188"/>
      <c r="AK126" s="1188"/>
      <c r="AL126" s="1188"/>
      <c r="AM126" s="1188"/>
      <c r="AN126" s="1188"/>
      <c r="AO126" s="1188"/>
      <c r="AP126" s="1194"/>
      <c r="AQ126" s="1188"/>
      <c r="AR126" s="1188"/>
      <c r="AS126" s="1188"/>
      <c r="AT126" s="1188"/>
      <c r="AU126" s="1188"/>
      <c r="AV126" s="1188"/>
      <c r="AW126" s="1188"/>
      <c r="AX126" s="1194"/>
      <c r="AY126" s="1188"/>
      <c r="AZ126" s="1188"/>
      <c r="BA126" s="1188"/>
      <c r="BB126" s="1188"/>
      <c r="BC126" s="1188"/>
      <c r="BD126" s="1188"/>
      <c r="BE126" s="367"/>
      <c r="BF126" s="1194"/>
      <c r="BG126" s="367"/>
      <c r="BH126" s="367"/>
      <c r="BI126" s="367"/>
      <c r="BJ126" s="367"/>
      <c r="BK126" s="367"/>
      <c r="BL126" s="367"/>
    </row>
    <row r="127" s="1189" customFormat="true" ht="7.5" hidden="false" customHeight="true" outlineLevel="0" collapsed="false">
      <c r="I127" s="1188"/>
      <c r="J127" s="1194"/>
      <c r="K127" s="1188"/>
      <c r="L127" s="1188"/>
      <c r="M127" s="1188"/>
      <c r="N127" s="1188"/>
      <c r="O127" s="1188"/>
      <c r="P127" s="1188"/>
      <c r="Q127" s="1188"/>
      <c r="R127" s="520"/>
      <c r="S127" s="1188"/>
      <c r="T127" s="1188"/>
      <c r="U127" s="1188"/>
      <c r="V127" s="1188"/>
      <c r="W127" s="1188"/>
      <c r="X127" s="1188"/>
      <c r="Y127" s="1188"/>
      <c r="Z127" s="1194"/>
      <c r="AA127" s="1188"/>
      <c r="AB127" s="1188"/>
      <c r="AC127" s="1188"/>
      <c r="AD127" s="1188"/>
      <c r="AE127" s="1188"/>
      <c r="AF127" s="1188"/>
      <c r="AG127" s="1188"/>
      <c r="AH127" s="1194"/>
      <c r="AI127" s="1188"/>
      <c r="AJ127" s="1188"/>
      <c r="AK127" s="1188"/>
      <c r="AL127" s="1188"/>
      <c r="AM127" s="1188"/>
      <c r="AN127" s="1188"/>
      <c r="AO127" s="1188"/>
      <c r="AP127" s="1194"/>
      <c r="AQ127" s="1188"/>
      <c r="AR127" s="1188"/>
      <c r="AS127" s="1188"/>
      <c r="AT127" s="1188"/>
      <c r="AU127" s="1188"/>
      <c r="AV127" s="1188"/>
      <c r="AW127" s="1134"/>
      <c r="AX127" s="1194"/>
      <c r="AY127" s="1188"/>
      <c r="AZ127" s="1188"/>
      <c r="BA127" s="1188"/>
      <c r="BB127" s="1188"/>
      <c r="BC127" s="1188"/>
      <c r="BD127" s="1188"/>
      <c r="BE127" s="367"/>
      <c r="BF127" s="1194"/>
      <c r="BG127" s="367"/>
      <c r="BH127" s="367"/>
      <c r="BI127" s="367"/>
      <c r="BJ127" s="367"/>
      <c r="BK127" s="367"/>
      <c r="BL127" s="367"/>
    </row>
    <row r="128" s="1189" customFormat="true" ht="7.5" hidden="false" customHeight="true" outlineLevel="0" collapsed="false">
      <c r="I128" s="1188"/>
      <c r="J128" s="1194"/>
      <c r="K128" s="1188"/>
      <c r="L128" s="1188"/>
      <c r="M128" s="1188"/>
      <c r="N128" s="1188"/>
      <c r="O128" s="1188"/>
      <c r="P128" s="1188"/>
      <c r="Q128" s="1188"/>
      <c r="R128" s="520"/>
      <c r="S128" s="1188"/>
      <c r="T128" s="1188"/>
      <c r="U128" s="1188"/>
      <c r="V128" s="1188"/>
      <c r="W128" s="1188"/>
      <c r="X128" s="1188"/>
      <c r="Y128" s="1188"/>
      <c r="Z128" s="1194"/>
      <c r="AA128" s="1188"/>
      <c r="AB128" s="1188"/>
      <c r="AC128" s="1188"/>
      <c r="AD128" s="1188"/>
      <c r="AE128" s="1188"/>
      <c r="AF128" s="1188"/>
      <c r="AG128" s="1188"/>
      <c r="AH128" s="1194"/>
      <c r="AI128" s="1188"/>
      <c r="AJ128" s="1188"/>
      <c r="AK128" s="1188"/>
      <c r="AL128" s="1188"/>
      <c r="AM128" s="1188"/>
      <c r="AN128" s="1188"/>
      <c r="AO128" s="1188"/>
      <c r="AP128" s="1194"/>
      <c r="AQ128" s="1188"/>
      <c r="AR128" s="1188"/>
      <c r="AS128" s="1188"/>
      <c r="AT128" s="1188"/>
      <c r="AU128" s="1188"/>
      <c r="AV128" s="1188"/>
      <c r="AW128" s="1188"/>
      <c r="AX128" s="1195"/>
      <c r="AY128" s="1134"/>
      <c r="AZ128" s="1134"/>
      <c r="BA128" s="1134"/>
      <c r="BB128" s="1134"/>
      <c r="BC128" s="1134"/>
      <c r="BD128" s="1134"/>
      <c r="BE128" s="367"/>
      <c r="BF128" s="1194"/>
      <c r="BG128" s="367"/>
      <c r="BH128" s="367"/>
      <c r="BI128" s="367"/>
      <c r="BJ128" s="367"/>
      <c r="BK128" s="367"/>
      <c r="BL128" s="367"/>
    </row>
    <row r="129" s="313" customFormat="true" ht="7.5" hidden="false" customHeight="true" outlineLevel="0" collapsed="false">
      <c r="I129" s="1134"/>
      <c r="J129" s="1195"/>
      <c r="K129" s="1134"/>
      <c r="L129" s="1134"/>
      <c r="M129" s="1134"/>
      <c r="N129" s="1134"/>
      <c r="O129" s="1134"/>
      <c r="P129" s="1134"/>
      <c r="Q129" s="1134"/>
      <c r="R129" s="435"/>
      <c r="S129" s="1134"/>
      <c r="T129" s="1134"/>
      <c r="U129" s="1134"/>
      <c r="V129" s="1134"/>
      <c r="W129" s="1134"/>
      <c r="X129" s="1134"/>
      <c r="Y129" s="1134"/>
      <c r="Z129" s="1195"/>
      <c r="AA129" s="1134"/>
      <c r="AB129" s="1134"/>
      <c r="AC129" s="1134"/>
      <c r="AD129" s="1134"/>
      <c r="AE129" s="1134"/>
      <c r="AF129" s="1134"/>
      <c r="AG129" s="1134"/>
      <c r="AH129" s="1195"/>
      <c r="AI129" s="1134"/>
      <c r="AJ129" s="1134"/>
      <c r="AK129" s="1134"/>
      <c r="AL129" s="1134"/>
      <c r="AM129" s="1134"/>
      <c r="AN129" s="1134"/>
      <c r="AO129" s="1134"/>
      <c r="AP129" s="1195"/>
      <c r="AQ129" s="1134"/>
      <c r="AR129" s="1134"/>
      <c r="AS129" s="1134"/>
      <c r="AT129" s="1134"/>
      <c r="AU129" s="1134"/>
      <c r="AV129" s="1134"/>
      <c r="AW129" s="1190"/>
      <c r="AX129" s="1194"/>
      <c r="AY129" s="1188"/>
      <c r="AZ129" s="1188"/>
      <c r="BA129" s="1188"/>
      <c r="BB129" s="1188"/>
      <c r="BC129" s="1188"/>
      <c r="BD129" s="1188"/>
      <c r="BE129" s="1188"/>
      <c r="BF129" s="1194"/>
      <c r="BG129" s="1188"/>
      <c r="BH129" s="1188"/>
      <c r="BI129" s="1188"/>
      <c r="BJ129" s="1188"/>
      <c r="BK129" s="1188"/>
      <c r="BL129" s="1188"/>
    </row>
    <row r="130" s="1189" customFormat="true" ht="7.5" hidden="false" customHeight="true" outlineLevel="0" collapsed="false">
      <c r="I130" s="1188"/>
      <c r="J130" s="1194"/>
      <c r="K130" s="1188"/>
      <c r="L130" s="1188"/>
      <c r="M130" s="1188"/>
      <c r="N130" s="1188"/>
      <c r="O130" s="1188"/>
      <c r="P130" s="1188"/>
      <c r="Q130" s="1188"/>
      <c r="R130" s="520"/>
      <c r="S130" s="1188"/>
      <c r="T130" s="1188"/>
      <c r="U130" s="1188"/>
      <c r="V130" s="1188"/>
      <c r="W130" s="1188"/>
      <c r="X130" s="1188"/>
      <c r="Y130" s="1188"/>
      <c r="Z130" s="1194"/>
      <c r="AA130" s="1188"/>
      <c r="AB130" s="1188"/>
      <c r="AC130" s="1188"/>
      <c r="AD130" s="1188"/>
      <c r="AE130" s="1188"/>
      <c r="AF130" s="1188"/>
      <c r="AG130" s="1188"/>
      <c r="AH130" s="1194"/>
      <c r="AI130" s="1188"/>
      <c r="AJ130" s="1188"/>
      <c r="AK130" s="1188"/>
      <c r="AL130" s="1188"/>
      <c r="AM130" s="1188"/>
      <c r="AN130" s="1188"/>
      <c r="AO130" s="1188"/>
      <c r="AP130" s="1194"/>
      <c r="AQ130" s="1188"/>
      <c r="AR130" s="1188"/>
      <c r="AS130" s="1188"/>
      <c r="AT130" s="1188"/>
      <c r="AU130" s="1188"/>
      <c r="AV130" s="1188"/>
      <c r="AW130" s="1190"/>
      <c r="AX130" s="1191"/>
      <c r="AY130" s="1190"/>
      <c r="AZ130" s="1190"/>
      <c r="BA130" s="1190"/>
      <c r="BB130" s="1190"/>
      <c r="BC130" s="1190"/>
      <c r="BD130" s="1190"/>
      <c r="BE130" s="1188"/>
      <c r="BF130" s="1194"/>
      <c r="BG130" s="1188"/>
      <c r="BH130" s="1188"/>
      <c r="BI130" s="1188"/>
      <c r="BJ130" s="1188"/>
      <c r="BK130" s="1188"/>
      <c r="BL130" s="1188"/>
    </row>
    <row r="131" s="1192" customFormat="true" ht="6.95" hidden="false" customHeight="true" outlineLevel="0" collapsed="false">
      <c r="B131" s="319"/>
      <c r="G131" s="319"/>
      <c r="I131" s="1190"/>
      <c r="J131" s="1191"/>
      <c r="K131" s="1190"/>
      <c r="L131" s="1190"/>
      <c r="M131" s="1190"/>
      <c r="N131" s="1190"/>
      <c r="O131" s="1190"/>
      <c r="P131" s="1190"/>
      <c r="Q131" s="1190"/>
      <c r="R131" s="520"/>
      <c r="S131" s="1190"/>
      <c r="T131" s="1190"/>
      <c r="U131" s="1190"/>
      <c r="V131" s="1190"/>
      <c r="W131" s="367"/>
      <c r="X131" s="1190"/>
      <c r="Y131" s="1190"/>
      <c r="Z131" s="1191"/>
      <c r="AA131" s="1190"/>
      <c r="AB131" s="1190"/>
      <c r="AC131" s="1190"/>
      <c r="AD131" s="1190"/>
      <c r="AE131" s="1190"/>
      <c r="AF131" s="1190"/>
      <c r="AG131" s="1190"/>
      <c r="AH131" s="1191"/>
      <c r="AI131" s="1190"/>
      <c r="AJ131" s="1190"/>
      <c r="AK131" s="1190"/>
      <c r="AL131" s="1190"/>
      <c r="AM131" s="1190"/>
      <c r="AN131" s="1190"/>
      <c r="AO131" s="1190"/>
      <c r="AP131" s="1191"/>
      <c r="AQ131" s="1190"/>
      <c r="AR131" s="1190"/>
      <c r="AS131" s="1190"/>
      <c r="AT131" s="1190"/>
      <c r="AU131" s="1190"/>
      <c r="AV131" s="1190"/>
      <c r="AW131" s="1190"/>
      <c r="AX131" s="1191"/>
      <c r="AY131" s="1190"/>
      <c r="AZ131" s="1190"/>
      <c r="BA131" s="1190"/>
      <c r="BB131" s="1190"/>
      <c r="BC131" s="1190"/>
      <c r="BD131" s="1190"/>
      <c r="BE131" s="1188"/>
      <c r="BF131" s="1194"/>
      <c r="BG131" s="1188"/>
      <c r="BH131" s="1188"/>
      <c r="BI131" s="1188"/>
      <c r="BJ131" s="1188"/>
      <c r="BK131" s="1188"/>
      <c r="BL131" s="1188"/>
    </row>
    <row r="132" s="1192" customFormat="true" ht="6.95" hidden="false" customHeight="true" outlineLevel="0" collapsed="false">
      <c r="B132" s="319"/>
      <c r="G132" s="319"/>
      <c r="I132" s="1190"/>
      <c r="J132" s="1191"/>
      <c r="K132" s="1190"/>
      <c r="L132" s="1190"/>
      <c r="M132" s="1190"/>
      <c r="N132" s="1190"/>
      <c r="O132" s="1190"/>
      <c r="P132" s="1190"/>
      <c r="Q132" s="1196"/>
      <c r="R132" s="1183"/>
      <c r="S132" s="1197"/>
      <c r="T132" s="1190"/>
      <c r="U132" s="1190"/>
      <c r="V132" s="1190"/>
      <c r="W132" s="367"/>
      <c r="X132" s="1190"/>
      <c r="Y132" s="1190"/>
      <c r="Z132" s="1191"/>
      <c r="AA132" s="1190"/>
      <c r="AB132" s="1190"/>
      <c r="AC132" s="1190"/>
      <c r="AD132" s="1190"/>
      <c r="AE132" s="1190"/>
      <c r="AF132" s="1190"/>
      <c r="AG132" s="1190"/>
      <c r="AH132" s="1191"/>
      <c r="AI132" s="1190"/>
      <c r="AJ132" s="1190"/>
      <c r="AK132" s="1190"/>
      <c r="AL132" s="1190"/>
      <c r="AM132" s="1190"/>
      <c r="AN132" s="1190"/>
      <c r="AO132" s="1190"/>
      <c r="AP132" s="1191"/>
      <c r="AQ132" s="1190"/>
      <c r="AR132" s="1190"/>
      <c r="AS132" s="1190"/>
      <c r="AT132" s="1190"/>
      <c r="AU132" s="1190"/>
      <c r="AV132" s="1190"/>
      <c r="AW132" s="1190"/>
      <c r="AX132" s="1191"/>
      <c r="AY132" s="1190"/>
      <c r="AZ132" s="1190"/>
      <c r="BA132" s="1190"/>
      <c r="BB132" s="1190"/>
      <c r="BC132" s="1190"/>
      <c r="BD132" s="1190"/>
      <c r="BE132" s="1188"/>
      <c r="BF132" s="1194"/>
      <c r="BG132" s="1188"/>
      <c r="BH132" s="1188"/>
      <c r="BI132" s="1188"/>
      <c r="BJ132" s="1188"/>
      <c r="BK132" s="1188"/>
      <c r="BL132" s="1188"/>
    </row>
    <row r="133" s="1192" customFormat="true" ht="6.95" hidden="false" customHeight="true" outlineLevel="0" collapsed="false">
      <c r="B133" s="319"/>
      <c r="G133" s="319"/>
      <c r="I133" s="1190"/>
      <c r="J133" s="1191"/>
      <c r="K133" s="1190"/>
      <c r="L133" s="1190"/>
      <c r="M133" s="1190"/>
      <c r="N133" s="1190"/>
      <c r="O133" s="1190"/>
      <c r="P133" s="1190"/>
      <c r="Q133" s="1196"/>
      <c r="R133" s="1183"/>
      <c r="S133" s="1197"/>
      <c r="T133" s="1190"/>
      <c r="U133" s="1190"/>
      <c r="V133" s="1190"/>
      <c r="W133" s="367"/>
      <c r="X133" s="1190"/>
      <c r="Y133" s="1190"/>
      <c r="Z133" s="1191"/>
      <c r="AA133" s="1190"/>
      <c r="AB133" s="1190"/>
      <c r="AC133" s="1190"/>
      <c r="AD133" s="1190"/>
      <c r="AE133" s="1190"/>
      <c r="AF133" s="1190"/>
      <c r="AG133" s="1190"/>
      <c r="AH133" s="1191"/>
      <c r="AI133" s="1190"/>
      <c r="AJ133" s="1190"/>
      <c r="AK133" s="1190"/>
      <c r="AL133" s="1190"/>
      <c r="AM133" s="1190"/>
      <c r="AN133" s="1190"/>
      <c r="AO133" s="1190"/>
      <c r="AP133" s="1191"/>
      <c r="AQ133" s="1190"/>
      <c r="AR133" s="1190"/>
      <c r="AS133" s="1190"/>
      <c r="AT133" s="1190"/>
      <c r="AU133" s="1190"/>
      <c r="AV133" s="1190"/>
      <c r="AW133" s="1190"/>
      <c r="AX133" s="1191"/>
      <c r="AY133" s="1190"/>
      <c r="AZ133" s="1190"/>
      <c r="BA133" s="1190"/>
      <c r="BB133" s="1190"/>
      <c r="BC133" s="1190"/>
      <c r="BD133" s="1190"/>
      <c r="BE133" s="1134"/>
      <c r="BF133" s="1195"/>
      <c r="BG133" s="1134"/>
      <c r="BH133" s="1134"/>
      <c r="BI133" s="1134"/>
      <c r="BJ133" s="1134"/>
      <c r="BK133" s="1134"/>
      <c r="BL133" s="1134"/>
    </row>
    <row r="134" s="1192" customFormat="true" ht="6.95" hidden="false" customHeight="true" outlineLevel="0" collapsed="false">
      <c r="B134" s="319"/>
      <c r="G134" s="319"/>
      <c r="I134" s="1190"/>
      <c r="J134" s="1191"/>
      <c r="K134" s="1190"/>
      <c r="L134" s="1190"/>
      <c r="M134" s="1190"/>
      <c r="N134" s="1190"/>
      <c r="O134" s="1190"/>
      <c r="P134" s="1190"/>
      <c r="Q134" s="1196"/>
      <c r="R134" s="1183"/>
      <c r="S134" s="1197"/>
      <c r="T134" s="1190"/>
      <c r="U134" s="1190"/>
      <c r="V134" s="1190"/>
      <c r="W134" s="367"/>
      <c r="X134" s="1190"/>
      <c r="Y134" s="1190"/>
      <c r="Z134" s="1191"/>
      <c r="AA134" s="1190"/>
      <c r="AB134" s="1190"/>
      <c r="AC134" s="1190"/>
      <c r="AD134" s="1190"/>
      <c r="AE134" s="1190"/>
      <c r="AF134" s="1190"/>
      <c r="AG134" s="1190"/>
      <c r="AH134" s="1191"/>
      <c r="AI134" s="1190"/>
      <c r="AJ134" s="1190"/>
      <c r="AK134" s="1190"/>
      <c r="AL134" s="1190"/>
      <c r="AM134" s="1190"/>
      <c r="AN134" s="1190"/>
      <c r="AO134" s="1190"/>
      <c r="AP134" s="1191"/>
      <c r="AQ134" s="1190"/>
      <c r="AR134" s="1190"/>
      <c r="AS134" s="1190"/>
      <c r="AT134" s="1190"/>
      <c r="AU134" s="1190"/>
      <c r="AV134" s="1190"/>
      <c r="AW134" s="1190"/>
      <c r="AX134" s="1191"/>
      <c r="AY134" s="1190"/>
      <c r="AZ134" s="1190"/>
      <c r="BA134" s="1190"/>
      <c r="BB134" s="1190"/>
      <c r="BC134" s="1190"/>
      <c r="BD134" s="1190"/>
      <c r="BE134" s="1188"/>
      <c r="BF134" s="1194"/>
      <c r="BG134" s="1188"/>
      <c r="BH134" s="1188"/>
      <c r="BI134" s="1188"/>
      <c r="BJ134" s="1188"/>
      <c r="BK134" s="1188"/>
      <c r="BL134" s="1188"/>
    </row>
    <row r="135" s="1192" customFormat="true" ht="6.95" hidden="false" customHeight="true" outlineLevel="0" collapsed="false">
      <c r="B135" s="319"/>
      <c r="G135" s="319"/>
      <c r="I135" s="1190"/>
      <c r="J135" s="1191"/>
      <c r="K135" s="1190"/>
      <c r="L135" s="1190"/>
      <c r="M135" s="1190"/>
      <c r="N135" s="1190"/>
      <c r="O135" s="1190"/>
      <c r="P135" s="1190"/>
      <c r="Q135" s="1196"/>
      <c r="R135" s="1183"/>
      <c r="S135" s="1197"/>
      <c r="T135" s="1196"/>
      <c r="U135" s="1196"/>
      <c r="V135" s="1196"/>
      <c r="W135" s="1186"/>
      <c r="X135" s="1196"/>
      <c r="Y135" s="1190"/>
      <c r="Z135" s="1191"/>
      <c r="AA135" s="1190"/>
      <c r="AB135" s="1190"/>
      <c r="AC135" s="1190"/>
      <c r="AD135" s="1190"/>
      <c r="AE135" s="1190"/>
      <c r="AF135" s="1190"/>
      <c r="AG135" s="1190"/>
      <c r="AH135" s="1191"/>
      <c r="AI135" s="1190"/>
      <c r="AJ135" s="1190"/>
      <c r="AK135" s="1190"/>
      <c r="AL135" s="1190"/>
      <c r="AM135" s="1190"/>
      <c r="AN135" s="1190"/>
      <c r="AO135" s="1190"/>
      <c r="AP135" s="1191"/>
      <c r="AQ135" s="1190"/>
      <c r="AR135" s="1190"/>
      <c r="AS135" s="1190"/>
      <c r="AT135" s="1190"/>
      <c r="AU135" s="1190"/>
      <c r="AV135" s="1190"/>
      <c r="AW135" s="1190"/>
      <c r="AX135" s="1191"/>
      <c r="AY135" s="1190"/>
      <c r="AZ135" s="1190"/>
      <c r="BA135" s="1190"/>
      <c r="BB135" s="1190"/>
      <c r="BC135" s="1190"/>
      <c r="BD135" s="1190"/>
      <c r="BE135" s="1190"/>
      <c r="BF135" s="1191"/>
      <c r="BG135" s="1190"/>
      <c r="BH135" s="1190"/>
      <c r="BI135" s="1190"/>
      <c r="BJ135" s="1190"/>
      <c r="BK135" s="1190"/>
      <c r="BL135" s="1190"/>
    </row>
    <row r="136" s="1192" customFormat="true" ht="6.95" hidden="false" customHeight="true" outlineLevel="0" collapsed="false">
      <c r="B136" s="319"/>
      <c r="G136" s="319"/>
      <c r="I136" s="1190"/>
      <c r="J136" s="1191"/>
      <c r="K136" s="1190"/>
      <c r="L136" s="1190"/>
      <c r="M136" s="1190"/>
      <c r="N136" s="1190"/>
      <c r="O136" s="1190"/>
      <c r="P136" s="1190"/>
      <c r="Q136" s="1190"/>
      <c r="R136" s="520"/>
      <c r="S136" s="1190"/>
      <c r="T136" s="1190"/>
      <c r="U136" s="1190"/>
      <c r="V136" s="1190"/>
      <c r="W136" s="367"/>
      <c r="X136" s="1190"/>
      <c r="Y136" s="1190"/>
      <c r="Z136" s="1191"/>
      <c r="AA136" s="1190"/>
      <c r="AB136" s="1190"/>
      <c r="AC136" s="1190"/>
      <c r="AD136" s="1190"/>
      <c r="AE136" s="1190"/>
      <c r="AF136" s="1190"/>
      <c r="AG136" s="1190"/>
      <c r="AH136" s="1191"/>
      <c r="AI136" s="1190"/>
      <c r="AJ136" s="1190"/>
      <c r="AK136" s="1190"/>
      <c r="AL136" s="1190"/>
      <c r="AM136" s="1190"/>
      <c r="AN136" s="1190"/>
      <c r="AO136" s="1190"/>
      <c r="AP136" s="1191"/>
      <c r="AQ136" s="1190"/>
      <c r="AR136" s="1190"/>
      <c r="AS136" s="1190"/>
      <c r="AT136" s="1190"/>
      <c r="AU136" s="1190"/>
      <c r="AV136" s="1190"/>
      <c r="AW136" s="1190"/>
      <c r="AX136" s="1191"/>
      <c r="AY136" s="1190"/>
      <c r="AZ136" s="1190"/>
      <c r="BA136" s="1190"/>
      <c r="BB136" s="1190"/>
      <c r="BC136" s="1190"/>
      <c r="BD136" s="1190"/>
      <c r="BE136" s="1190"/>
      <c r="BF136" s="1191"/>
      <c r="BG136" s="1190"/>
      <c r="BH136" s="1190"/>
      <c r="BI136" s="1190"/>
      <c r="BJ136" s="1190"/>
      <c r="BK136" s="1190"/>
      <c r="BL136" s="1190"/>
    </row>
    <row r="137" s="1192" customFormat="true" ht="6.95" hidden="false" customHeight="true" outlineLevel="0" collapsed="false">
      <c r="A137" s="1198"/>
      <c r="B137" s="319"/>
      <c r="G137" s="319"/>
      <c r="I137" s="1190"/>
      <c r="J137" s="1191"/>
      <c r="K137" s="1190"/>
      <c r="L137" s="1190"/>
      <c r="M137" s="1190"/>
      <c r="N137" s="1190"/>
      <c r="O137" s="1190"/>
      <c r="P137" s="1190"/>
      <c r="Q137" s="1190"/>
      <c r="R137" s="520"/>
      <c r="S137" s="1190"/>
      <c r="T137" s="1190"/>
      <c r="U137" s="1190"/>
      <c r="V137" s="1190"/>
      <c r="W137" s="367"/>
      <c r="X137" s="1190"/>
      <c r="Y137" s="1190"/>
      <c r="Z137" s="1191"/>
      <c r="AA137" s="1190"/>
      <c r="AB137" s="1190"/>
      <c r="AC137" s="1190"/>
      <c r="AD137" s="1190"/>
      <c r="AE137" s="1190"/>
      <c r="AF137" s="1190"/>
      <c r="AG137" s="1190"/>
      <c r="AH137" s="1191"/>
      <c r="AI137" s="1190"/>
      <c r="AJ137" s="1190"/>
      <c r="AK137" s="1190"/>
      <c r="AL137" s="1190"/>
      <c r="AM137" s="1190"/>
      <c r="AN137" s="1190"/>
      <c r="AO137" s="1190"/>
      <c r="AP137" s="1191"/>
      <c r="AQ137" s="1190"/>
      <c r="AR137" s="1190"/>
      <c r="AS137" s="1190"/>
      <c r="AT137" s="1190"/>
      <c r="AU137" s="1190"/>
      <c r="AV137" s="1190"/>
      <c r="AW137" s="1190"/>
      <c r="AX137" s="1191"/>
      <c r="AY137" s="1190"/>
      <c r="AZ137" s="1190"/>
      <c r="BA137" s="1190"/>
      <c r="BB137" s="1190"/>
      <c r="BC137" s="1190"/>
      <c r="BD137" s="1190"/>
      <c r="BE137" s="1190"/>
      <c r="BF137" s="1191"/>
      <c r="BG137" s="1190"/>
      <c r="BH137" s="1190"/>
      <c r="BI137" s="1190"/>
      <c r="BJ137" s="1190"/>
      <c r="BK137" s="1190"/>
      <c r="BL137" s="1190"/>
    </row>
    <row r="138" s="1192" customFormat="true" ht="6.95" hidden="false" customHeight="true" outlineLevel="0" collapsed="false">
      <c r="B138" s="319"/>
      <c r="G138" s="319"/>
      <c r="I138" s="1190"/>
      <c r="J138" s="1191"/>
      <c r="K138" s="1190"/>
      <c r="L138" s="1190"/>
      <c r="M138" s="1190"/>
      <c r="N138" s="1190"/>
      <c r="O138" s="1190"/>
      <c r="P138" s="1190"/>
      <c r="Q138" s="1190"/>
      <c r="R138" s="520"/>
      <c r="S138" s="1190"/>
      <c r="T138" s="1190"/>
      <c r="U138" s="1190"/>
      <c r="V138" s="1190"/>
      <c r="W138" s="367"/>
      <c r="X138" s="1190"/>
      <c r="Y138" s="1190"/>
      <c r="Z138" s="1191"/>
      <c r="AA138" s="1190"/>
      <c r="AB138" s="1190"/>
      <c r="AC138" s="1190"/>
      <c r="AD138" s="1190"/>
      <c r="AE138" s="1190"/>
      <c r="AF138" s="1190"/>
      <c r="AG138" s="1190"/>
      <c r="AH138" s="1191"/>
      <c r="AI138" s="1190"/>
      <c r="AJ138" s="1190"/>
      <c r="AK138" s="1190"/>
      <c r="AL138" s="1190"/>
      <c r="AM138" s="1190"/>
      <c r="AN138" s="1190"/>
      <c r="AO138" s="1190"/>
      <c r="AP138" s="1191"/>
      <c r="AQ138" s="1190"/>
      <c r="AR138" s="1190"/>
      <c r="AS138" s="1190"/>
      <c r="AT138" s="1190"/>
      <c r="AU138" s="1190"/>
      <c r="AV138" s="1190"/>
      <c r="AW138" s="367"/>
      <c r="AX138" s="1191"/>
      <c r="AY138" s="1190"/>
      <c r="AZ138" s="1190"/>
      <c r="BA138" s="1190"/>
      <c r="BB138" s="1190"/>
      <c r="BC138" s="1190"/>
      <c r="BD138" s="1190"/>
      <c r="BE138" s="1190"/>
      <c r="BF138" s="1191"/>
      <c r="BG138" s="1190"/>
      <c r="BH138" s="1190"/>
      <c r="BI138" s="1190"/>
      <c r="BJ138" s="1190"/>
      <c r="BK138" s="1190"/>
      <c r="BL138" s="1190"/>
    </row>
    <row r="139" s="1192" customFormat="true" ht="9" hidden="false" customHeight="true" outlineLevel="0" collapsed="false">
      <c r="B139" s="319"/>
      <c r="G139" s="319"/>
      <c r="I139" s="1190"/>
      <c r="J139" s="1191"/>
      <c r="K139" s="1190"/>
      <c r="L139" s="1190"/>
      <c r="M139" s="1190"/>
      <c r="N139" s="1190"/>
      <c r="O139" s="1190"/>
      <c r="P139" s="1190"/>
      <c r="Q139" s="1190"/>
      <c r="R139" s="520"/>
      <c r="S139" s="1190"/>
      <c r="T139" s="1190"/>
      <c r="U139" s="1190"/>
      <c r="V139" s="1190"/>
      <c r="W139" s="367"/>
      <c r="X139" s="1190"/>
      <c r="Y139" s="1190"/>
      <c r="Z139" s="1191"/>
      <c r="AA139" s="1190"/>
      <c r="AB139" s="1190"/>
      <c r="AC139" s="1190"/>
      <c r="AD139" s="1190"/>
      <c r="AE139" s="1190"/>
      <c r="AF139" s="1190"/>
      <c r="AG139" s="1190"/>
      <c r="AH139" s="1191"/>
      <c r="AI139" s="1190"/>
      <c r="AJ139" s="1190"/>
      <c r="AK139" s="1190"/>
      <c r="AL139" s="1190"/>
      <c r="AM139" s="1190"/>
      <c r="AN139" s="1190"/>
      <c r="AO139" s="1190"/>
      <c r="AP139" s="1191"/>
      <c r="AQ139" s="1190"/>
      <c r="AR139" s="1190"/>
      <c r="AS139" s="1190"/>
      <c r="AT139" s="1190"/>
      <c r="AU139" s="1190"/>
      <c r="AV139" s="1190"/>
      <c r="AW139" s="367"/>
      <c r="AX139" s="1194"/>
      <c r="AY139" s="367"/>
      <c r="AZ139" s="367"/>
      <c r="BA139" s="367"/>
      <c r="BB139" s="367"/>
      <c r="BC139" s="367"/>
      <c r="BD139" s="367"/>
      <c r="BE139" s="1190"/>
      <c r="BF139" s="1191"/>
      <c r="BG139" s="1190"/>
      <c r="BH139" s="1190"/>
      <c r="BI139" s="1190"/>
      <c r="BJ139" s="1190"/>
      <c r="BK139" s="1190"/>
      <c r="BL139" s="1190"/>
    </row>
    <row r="140" s="319" customFormat="true" ht="8.1" hidden="false" customHeight="true" outlineLevel="0" collapsed="false">
      <c r="I140" s="367"/>
      <c r="J140" s="1194"/>
      <c r="K140" s="367"/>
      <c r="L140" s="367"/>
      <c r="M140" s="367"/>
      <c r="N140" s="367"/>
      <c r="O140" s="367"/>
      <c r="P140" s="367"/>
      <c r="Q140" s="367"/>
      <c r="R140" s="520"/>
      <c r="S140" s="367"/>
      <c r="T140" s="367"/>
      <c r="U140" s="367"/>
      <c r="V140" s="367"/>
      <c r="W140" s="367"/>
      <c r="X140" s="367"/>
      <c r="Y140" s="367"/>
      <c r="Z140" s="1194"/>
      <c r="AA140" s="367"/>
      <c r="AB140" s="367"/>
      <c r="AC140" s="367"/>
      <c r="AD140" s="367"/>
      <c r="AE140" s="367"/>
      <c r="AF140" s="367"/>
      <c r="AG140" s="367"/>
      <c r="AH140" s="1194"/>
      <c r="AI140" s="367"/>
      <c r="AJ140" s="367"/>
      <c r="AK140" s="367"/>
      <c r="AL140" s="367"/>
      <c r="AM140" s="367"/>
      <c r="AN140" s="367"/>
      <c r="AO140" s="367"/>
      <c r="AP140" s="1194"/>
      <c r="AQ140" s="367"/>
      <c r="AR140" s="367"/>
      <c r="AS140" s="367"/>
      <c r="AT140" s="367"/>
      <c r="AU140" s="367"/>
      <c r="AV140" s="367"/>
      <c r="AW140" s="367"/>
      <c r="AX140" s="1194"/>
      <c r="AY140" s="367"/>
      <c r="AZ140" s="367"/>
      <c r="BA140" s="367"/>
      <c r="BB140" s="367"/>
      <c r="BC140" s="367"/>
      <c r="BD140" s="367"/>
      <c r="BE140" s="1190"/>
      <c r="BF140" s="1191"/>
      <c r="BG140" s="1190"/>
      <c r="BH140" s="1190"/>
      <c r="BI140" s="1190"/>
      <c r="BJ140" s="1190"/>
      <c r="BK140" s="1190"/>
      <c r="BL140" s="1190"/>
    </row>
    <row r="141" s="319" customFormat="true" ht="8.1" hidden="false" customHeight="true" outlineLevel="0" collapsed="false">
      <c r="I141" s="367"/>
      <c r="J141" s="1194"/>
      <c r="K141" s="367"/>
      <c r="L141" s="367"/>
      <c r="M141" s="367"/>
      <c r="N141" s="367"/>
      <c r="O141" s="367"/>
      <c r="P141" s="367"/>
      <c r="Q141" s="367"/>
      <c r="R141" s="520"/>
      <c r="S141" s="367"/>
      <c r="T141" s="367"/>
      <c r="U141" s="367"/>
      <c r="V141" s="367"/>
      <c r="W141" s="367"/>
      <c r="X141" s="367"/>
      <c r="Y141" s="367"/>
      <c r="Z141" s="1194"/>
      <c r="AA141" s="367"/>
      <c r="AB141" s="367"/>
      <c r="AC141" s="367"/>
      <c r="AD141" s="367"/>
      <c r="AE141" s="367"/>
      <c r="AF141" s="367"/>
      <c r="AG141" s="367"/>
      <c r="AH141" s="1194"/>
      <c r="AI141" s="367"/>
      <c r="AJ141" s="367"/>
      <c r="AK141" s="367"/>
      <c r="AL141" s="367"/>
      <c r="AM141" s="367"/>
      <c r="AN141" s="367"/>
      <c r="AO141" s="367"/>
      <c r="AP141" s="1194"/>
      <c r="AQ141" s="367"/>
      <c r="AR141" s="367"/>
      <c r="AS141" s="367"/>
      <c r="AT141" s="367"/>
      <c r="AU141" s="367"/>
      <c r="AV141" s="367"/>
      <c r="AW141" s="367"/>
      <c r="AX141" s="1194"/>
      <c r="AY141" s="367"/>
      <c r="AZ141" s="367"/>
      <c r="BA141" s="367"/>
      <c r="BB141" s="367"/>
      <c r="BC141" s="367"/>
      <c r="BD141" s="367"/>
      <c r="BE141" s="1190"/>
      <c r="BF141" s="1191"/>
      <c r="BG141" s="1190"/>
      <c r="BH141" s="1190"/>
      <c r="BI141" s="1190"/>
      <c r="BJ141" s="1190"/>
      <c r="BK141" s="1190"/>
      <c r="BL141" s="1190"/>
    </row>
    <row r="142" s="319" customFormat="true" ht="8.1" hidden="false" customHeight="true" outlineLevel="0" collapsed="false">
      <c r="I142" s="367"/>
      <c r="J142" s="1194"/>
      <c r="K142" s="367"/>
      <c r="L142" s="367"/>
      <c r="M142" s="367"/>
      <c r="N142" s="367"/>
      <c r="O142" s="367"/>
      <c r="P142" s="367"/>
      <c r="Q142" s="367"/>
      <c r="R142" s="520"/>
      <c r="S142" s="367"/>
      <c r="T142" s="367"/>
      <c r="U142" s="367"/>
      <c r="V142" s="367"/>
      <c r="W142" s="367"/>
      <c r="X142" s="367"/>
      <c r="Y142" s="367"/>
      <c r="Z142" s="1194"/>
      <c r="AA142" s="367"/>
      <c r="AB142" s="367"/>
      <c r="AC142" s="367"/>
      <c r="AD142" s="367"/>
      <c r="AE142" s="367"/>
      <c r="AF142" s="367"/>
      <c r="AG142" s="367"/>
      <c r="AH142" s="1194"/>
      <c r="AI142" s="367"/>
      <c r="AJ142" s="367"/>
      <c r="AK142" s="367"/>
      <c r="AL142" s="367"/>
      <c r="AM142" s="367"/>
      <c r="AN142" s="367"/>
      <c r="AO142" s="367"/>
      <c r="AP142" s="1194"/>
      <c r="AQ142" s="367"/>
      <c r="AR142" s="367"/>
      <c r="AS142" s="367"/>
      <c r="AT142" s="367"/>
      <c r="AU142" s="367"/>
      <c r="AV142" s="367"/>
      <c r="AW142" s="367"/>
      <c r="AX142" s="1194"/>
      <c r="AY142" s="367"/>
      <c r="AZ142" s="367"/>
      <c r="BA142" s="367"/>
      <c r="BB142" s="367"/>
      <c r="BC142" s="367"/>
      <c r="BD142" s="367"/>
      <c r="BE142" s="1190"/>
      <c r="BF142" s="1191"/>
      <c r="BG142" s="1190"/>
      <c r="BH142" s="1190"/>
      <c r="BI142" s="1190"/>
      <c r="BJ142" s="1190"/>
      <c r="BK142" s="1190"/>
      <c r="BL142" s="1190"/>
    </row>
    <row r="143" s="319" customFormat="true" ht="8.1" hidden="false" customHeight="true" outlineLevel="0" collapsed="false">
      <c r="A143" s="1199"/>
      <c r="I143" s="367"/>
      <c r="J143" s="1194"/>
      <c r="K143" s="367"/>
      <c r="L143" s="367"/>
      <c r="M143" s="367"/>
      <c r="N143" s="367"/>
      <c r="O143" s="367"/>
      <c r="P143" s="367"/>
      <c r="Q143" s="367"/>
      <c r="R143" s="520"/>
      <c r="S143" s="367"/>
      <c r="T143" s="367"/>
      <c r="U143" s="367"/>
      <c r="V143" s="367"/>
      <c r="W143" s="367"/>
      <c r="X143" s="367"/>
      <c r="Y143" s="367"/>
      <c r="Z143" s="1194"/>
      <c r="AA143" s="367"/>
      <c r="AB143" s="367"/>
      <c r="AC143" s="367"/>
      <c r="AD143" s="367"/>
      <c r="AE143" s="367"/>
      <c r="AF143" s="367"/>
      <c r="AG143" s="367"/>
      <c r="AH143" s="1194"/>
      <c r="AI143" s="367"/>
      <c r="AJ143" s="367"/>
      <c r="AK143" s="367"/>
      <c r="AL143" s="367"/>
      <c r="AM143" s="367"/>
      <c r="AN143" s="367"/>
      <c r="AO143" s="367"/>
      <c r="AP143" s="1194"/>
      <c r="AQ143" s="367"/>
      <c r="AR143" s="367"/>
      <c r="AS143" s="367"/>
      <c r="AT143" s="367"/>
      <c r="AU143" s="367"/>
      <c r="AV143" s="367"/>
      <c r="AW143" s="367"/>
      <c r="AX143" s="1194"/>
      <c r="AY143" s="367"/>
      <c r="AZ143" s="367"/>
      <c r="BA143" s="367"/>
      <c r="BB143" s="367"/>
      <c r="BC143" s="367"/>
      <c r="BD143" s="367"/>
      <c r="BE143" s="1190"/>
      <c r="BF143" s="1191"/>
      <c r="BG143" s="1190"/>
      <c r="BH143" s="1190"/>
      <c r="BI143" s="1190"/>
      <c r="BJ143" s="1190"/>
      <c r="BK143" s="1190"/>
      <c r="BL143" s="1190"/>
    </row>
    <row r="144" s="319" customFormat="true" ht="8.1" hidden="false" customHeight="true" outlineLevel="0" collapsed="false">
      <c r="I144" s="367"/>
      <c r="J144" s="1194"/>
      <c r="K144" s="367"/>
      <c r="L144" s="367"/>
      <c r="M144" s="367"/>
      <c r="N144" s="367"/>
      <c r="O144" s="367"/>
      <c r="P144" s="367"/>
      <c r="Q144" s="367"/>
      <c r="R144" s="520"/>
      <c r="S144" s="367"/>
      <c r="T144" s="367"/>
      <c r="U144" s="367"/>
      <c r="V144" s="367"/>
      <c r="W144" s="367"/>
      <c r="X144" s="367"/>
      <c r="Y144" s="367"/>
      <c r="Z144" s="1194"/>
      <c r="AA144" s="367"/>
      <c r="AB144" s="367"/>
      <c r="AC144" s="367"/>
      <c r="AD144" s="367"/>
      <c r="AE144" s="367"/>
      <c r="AF144" s="367"/>
      <c r="AG144" s="367"/>
      <c r="AH144" s="1194"/>
      <c r="AI144" s="367"/>
      <c r="AJ144" s="367"/>
      <c r="AK144" s="367"/>
      <c r="AL144" s="367"/>
      <c r="AM144" s="367"/>
      <c r="AN144" s="367"/>
      <c r="AO144" s="367"/>
      <c r="AP144" s="1194"/>
      <c r="AQ144" s="367"/>
      <c r="AR144" s="367"/>
      <c r="AS144" s="367"/>
      <c r="AT144" s="367"/>
      <c r="AU144" s="367"/>
      <c r="AV144" s="367"/>
      <c r="AW144" s="367"/>
      <c r="AX144" s="1194"/>
      <c r="AY144" s="367"/>
      <c r="AZ144" s="367"/>
      <c r="BA144" s="367"/>
      <c r="BB144" s="367"/>
      <c r="BC144" s="367"/>
      <c r="BD144" s="367"/>
      <c r="BE144" s="367"/>
      <c r="BF144" s="1194"/>
      <c r="BG144" s="367"/>
      <c r="BH144" s="367"/>
      <c r="BI144" s="367"/>
      <c r="BJ144" s="367"/>
      <c r="BK144" s="367"/>
      <c r="BL144" s="367"/>
    </row>
    <row r="145" s="319" customFormat="true" ht="8.1" hidden="false" customHeight="true" outlineLevel="0" collapsed="false">
      <c r="I145" s="367"/>
      <c r="J145" s="1194"/>
      <c r="K145" s="367"/>
      <c r="L145" s="367"/>
      <c r="M145" s="367"/>
      <c r="N145" s="367"/>
      <c r="O145" s="367"/>
      <c r="P145" s="367"/>
      <c r="Q145" s="367"/>
      <c r="R145" s="520"/>
      <c r="S145" s="367"/>
      <c r="T145" s="367"/>
      <c r="U145" s="367"/>
      <c r="V145" s="367"/>
      <c r="W145" s="367"/>
      <c r="X145" s="367"/>
      <c r="Y145" s="367"/>
      <c r="Z145" s="1194"/>
      <c r="AA145" s="367"/>
      <c r="AB145" s="367"/>
      <c r="AC145" s="367"/>
      <c r="AD145" s="367"/>
      <c r="AE145" s="367"/>
      <c r="AF145" s="367"/>
      <c r="AG145" s="367"/>
      <c r="AH145" s="1194"/>
      <c r="AI145" s="367"/>
      <c r="AJ145" s="367"/>
      <c r="AK145" s="367"/>
      <c r="AL145" s="367"/>
      <c r="AM145" s="367"/>
      <c r="AN145" s="367"/>
      <c r="AO145" s="367"/>
      <c r="AP145" s="1194"/>
      <c r="AQ145" s="367"/>
      <c r="AR145" s="367"/>
      <c r="AS145" s="367"/>
      <c r="AT145" s="367"/>
      <c r="AU145" s="367"/>
      <c r="AV145" s="367"/>
      <c r="AW145" s="367"/>
      <c r="AX145" s="1194"/>
      <c r="AY145" s="367"/>
      <c r="AZ145" s="367"/>
      <c r="BA145" s="367"/>
      <c r="BB145" s="367"/>
      <c r="BC145" s="367"/>
      <c r="BD145" s="367"/>
      <c r="BE145" s="367"/>
      <c r="BF145" s="1194"/>
      <c r="BG145" s="367"/>
      <c r="BH145" s="367"/>
      <c r="BI145" s="367"/>
      <c r="BJ145" s="367"/>
      <c r="BK145" s="367"/>
      <c r="BL145" s="367"/>
    </row>
    <row r="146" s="319" customFormat="true" ht="8.1" hidden="false" customHeight="true" outlineLevel="0" collapsed="false">
      <c r="I146" s="367"/>
      <c r="J146" s="1194"/>
      <c r="K146" s="367"/>
      <c r="L146" s="367"/>
      <c r="M146" s="367"/>
      <c r="N146" s="367"/>
      <c r="O146" s="367"/>
      <c r="P146" s="367"/>
      <c r="Q146" s="367"/>
      <c r="R146" s="520"/>
      <c r="S146" s="367"/>
      <c r="T146" s="367"/>
      <c r="U146" s="367"/>
      <c r="V146" s="367"/>
      <c r="W146" s="367"/>
      <c r="X146" s="367"/>
      <c r="Y146" s="367"/>
      <c r="Z146" s="1194"/>
      <c r="AA146" s="367"/>
      <c r="AB146" s="367"/>
      <c r="AC146" s="367"/>
      <c r="AD146" s="367"/>
      <c r="AE146" s="367"/>
      <c r="AF146" s="367"/>
      <c r="AG146" s="367"/>
      <c r="AH146" s="1194"/>
      <c r="AI146" s="367"/>
      <c r="AJ146" s="367"/>
      <c r="AK146" s="367"/>
      <c r="AL146" s="367"/>
      <c r="AM146" s="367"/>
      <c r="AN146" s="367"/>
      <c r="AO146" s="367"/>
      <c r="AP146" s="1194"/>
      <c r="AQ146" s="367"/>
      <c r="AR146" s="367"/>
      <c r="AS146" s="367"/>
      <c r="AT146" s="367"/>
      <c r="AU146" s="367"/>
      <c r="AV146" s="367"/>
      <c r="AW146" s="367"/>
      <c r="AX146" s="1194"/>
      <c r="AY146" s="367"/>
      <c r="AZ146" s="367"/>
      <c r="BA146" s="367"/>
      <c r="BB146" s="367"/>
      <c r="BC146" s="367"/>
      <c r="BD146" s="367"/>
      <c r="BE146" s="367"/>
      <c r="BF146" s="1194"/>
      <c r="BG146" s="367"/>
      <c r="BH146" s="367"/>
      <c r="BI146" s="367"/>
      <c r="BJ146" s="367"/>
      <c r="BK146" s="367"/>
      <c r="BL146" s="367"/>
    </row>
    <row r="147" s="319" customFormat="true" ht="8.1" hidden="false" customHeight="true" outlineLevel="0" collapsed="false">
      <c r="I147" s="367"/>
      <c r="J147" s="1194"/>
      <c r="K147" s="367"/>
      <c r="L147" s="367"/>
      <c r="M147" s="367"/>
      <c r="N147" s="367"/>
      <c r="O147" s="367"/>
      <c r="P147" s="367"/>
      <c r="Q147" s="367"/>
      <c r="R147" s="520"/>
      <c r="S147" s="367"/>
      <c r="T147" s="367"/>
      <c r="U147" s="367"/>
      <c r="V147" s="367"/>
      <c r="W147" s="367"/>
      <c r="X147" s="367"/>
      <c r="Y147" s="367"/>
      <c r="Z147" s="1194"/>
      <c r="AA147" s="367"/>
      <c r="AB147" s="367"/>
      <c r="AC147" s="367"/>
      <c r="AD147" s="367"/>
      <c r="AE147" s="367"/>
      <c r="AF147" s="367"/>
      <c r="AG147" s="367"/>
      <c r="AH147" s="1194"/>
      <c r="AI147" s="367"/>
      <c r="AJ147" s="367"/>
      <c r="AK147" s="367"/>
      <c r="AL147" s="367"/>
      <c r="AM147" s="367"/>
      <c r="AN147" s="367"/>
      <c r="AO147" s="367"/>
      <c r="AP147" s="1194"/>
      <c r="AQ147" s="367"/>
      <c r="AR147" s="367"/>
      <c r="AS147" s="367"/>
      <c r="AT147" s="367"/>
      <c r="AU147" s="367"/>
      <c r="AV147" s="367"/>
      <c r="AW147" s="367"/>
      <c r="AX147" s="1194"/>
      <c r="AY147" s="367"/>
      <c r="AZ147" s="367"/>
      <c r="BA147" s="367"/>
      <c r="BB147" s="367"/>
      <c r="BC147" s="367"/>
      <c r="BD147" s="367"/>
      <c r="BE147" s="367"/>
      <c r="BF147" s="1194"/>
      <c r="BG147" s="367"/>
      <c r="BH147" s="367"/>
      <c r="BI147" s="367"/>
      <c r="BJ147" s="367"/>
      <c r="BK147" s="367"/>
      <c r="BL147" s="367"/>
    </row>
    <row r="148" s="319" customFormat="true" ht="8.1" hidden="false" customHeight="true" outlineLevel="0" collapsed="false">
      <c r="A148" s="1200"/>
      <c r="B148" s="817"/>
      <c r="C148" s="817"/>
      <c r="D148" s="1201"/>
      <c r="E148" s="1202"/>
      <c r="F148" s="1201"/>
      <c r="G148" s="1201"/>
      <c r="H148" s="1201"/>
      <c r="I148" s="367"/>
      <c r="J148" s="1194"/>
      <c r="K148" s="367"/>
      <c r="L148" s="367"/>
      <c r="M148" s="367"/>
      <c r="N148" s="367"/>
      <c r="O148" s="367"/>
      <c r="P148" s="367"/>
      <c r="Q148" s="367"/>
      <c r="R148" s="520"/>
      <c r="S148" s="367"/>
      <c r="T148" s="367"/>
      <c r="U148" s="367"/>
      <c r="V148" s="367"/>
      <c r="W148" s="367"/>
      <c r="X148" s="367"/>
      <c r="Y148" s="367"/>
      <c r="Z148" s="1194"/>
      <c r="AA148" s="367"/>
      <c r="AB148" s="367"/>
      <c r="AC148" s="367"/>
      <c r="AD148" s="367"/>
      <c r="AE148" s="367"/>
      <c r="AF148" s="367"/>
      <c r="AG148" s="367"/>
      <c r="AH148" s="1194"/>
      <c r="AI148" s="367"/>
      <c r="AJ148" s="367"/>
      <c r="AK148" s="367"/>
      <c r="AL148" s="367"/>
      <c r="AM148" s="367"/>
      <c r="AN148" s="367"/>
      <c r="AO148" s="367"/>
      <c r="AP148" s="1194"/>
      <c r="AQ148" s="367"/>
      <c r="AR148" s="367"/>
      <c r="AS148" s="367"/>
      <c r="AT148" s="367"/>
      <c r="AU148" s="367"/>
      <c r="AV148" s="367"/>
      <c r="AW148" s="367"/>
      <c r="AX148" s="1194"/>
      <c r="AY148" s="367"/>
      <c r="AZ148" s="367"/>
      <c r="BA148" s="367"/>
      <c r="BB148" s="367"/>
      <c r="BC148" s="367"/>
      <c r="BD148" s="367"/>
      <c r="BE148" s="367"/>
      <c r="BF148" s="1194"/>
      <c r="BG148" s="367"/>
      <c r="BH148" s="367"/>
      <c r="BI148" s="367"/>
      <c r="BJ148" s="367"/>
      <c r="BK148" s="367"/>
      <c r="BL148" s="367"/>
    </row>
    <row r="149" s="319" customFormat="true" ht="8.1" hidden="false" customHeight="true" outlineLevel="0" collapsed="false">
      <c r="A149" s="1200"/>
      <c r="B149" s="817"/>
      <c r="C149" s="817"/>
      <c r="D149" s="1201"/>
      <c r="E149" s="1202"/>
      <c r="F149" s="1201"/>
      <c r="G149" s="1201"/>
      <c r="H149" s="1201"/>
      <c r="I149" s="367"/>
      <c r="J149" s="1194"/>
      <c r="K149" s="367"/>
      <c r="L149" s="367"/>
      <c r="M149" s="367"/>
      <c r="N149" s="367"/>
      <c r="O149" s="367"/>
      <c r="P149" s="367"/>
      <c r="Q149" s="367"/>
      <c r="R149" s="520"/>
      <c r="S149" s="367"/>
      <c r="T149" s="367"/>
      <c r="U149" s="367"/>
      <c r="V149" s="367"/>
      <c r="W149" s="367"/>
      <c r="X149" s="367"/>
      <c r="Y149" s="367"/>
      <c r="Z149" s="1194"/>
      <c r="AA149" s="367"/>
      <c r="AB149" s="367"/>
      <c r="AC149" s="367"/>
      <c r="AD149" s="367"/>
      <c r="AE149" s="367"/>
      <c r="AF149" s="367"/>
      <c r="AG149" s="367"/>
      <c r="AH149" s="1194"/>
      <c r="AI149" s="367"/>
      <c r="AJ149" s="367"/>
      <c r="AK149" s="367"/>
      <c r="AL149" s="367"/>
      <c r="AM149" s="367"/>
      <c r="AN149" s="367"/>
      <c r="AO149" s="367"/>
      <c r="AP149" s="1194"/>
      <c r="AQ149" s="367"/>
      <c r="AR149" s="367"/>
      <c r="AS149" s="367"/>
      <c r="AT149" s="367"/>
      <c r="AU149" s="367"/>
      <c r="AV149" s="367"/>
      <c r="AW149" s="367"/>
      <c r="AX149" s="1194"/>
      <c r="AY149" s="367"/>
      <c r="AZ149" s="367"/>
      <c r="BA149" s="367"/>
      <c r="BB149" s="367"/>
      <c r="BC149" s="367"/>
      <c r="BD149" s="367"/>
      <c r="BE149" s="367"/>
      <c r="BF149" s="1194"/>
      <c r="BG149" s="367"/>
      <c r="BH149" s="367"/>
      <c r="BI149" s="367"/>
      <c r="BJ149" s="367"/>
      <c r="BK149" s="367"/>
      <c r="BL149" s="367"/>
    </row>
    <row r="150" s="319" customFormat="true" ht="8.1" hidden="false" customHeight="true" outlineLevel="0" collapsed="false">
      <c r="A150" s="1200"/>
      <c r="B150" s="817"/>
      <c r="C150" s="817"/>
      <c r="D150" s="1201"/>
      <c r="E150" s="1202"/>
      <c r="F150" s="1201"/>
      <c r="G150" s="1201"/>
      <c r="H150" s="1201"/>
      <c r="I150" s="367"/>
      <c r="J150" s="1194"/>
      <c r="K150" s="367"/>
      <c r="L150" s="367"/>
      <c r="M150" s="367"/>
      <c r="N150" s="367"/>
      <c r="O150" s="367"/>
      <c r="P150" s="367"/>
      <c r="Q150" s="367"/>
      <c r="R150" s="520"/>
      <c r="S150" s="367"/>
      <c r="T150" s="367"/>
      <c r="U150" s="367"/>
      <c r="V150" s="367"/>
      <c r="W150" s="367"/>
      <c r="X150" s="367"/>
      <c r="Y150" s="367"/>
      <c r="Z150" s="1194"/>
      <c r="AA150" s="367"/>
      <c r="AB150" s="367"/>
      <c r="AC150" s="367"/>
      <c r="AD150" s="367"/>
      <c r="AE150" s="367"/>
      <c r="AF150" s="367"/>
      <c r="AG150" s="367"/>
      <c r="AH150" s="1194"/>
      <c r="AI150" s="367"/>
      <c r="AJ150" s="367"/>
      <c r="AK150" s="367"/>
      <c r="AL150" s="367"/>
      <c r="AM150" s="367"/>
      <c r="AN150" s="367"/>
      <c r="AO150" s="367"/>
      <c r="AP150" s="1194"/>
      <c r="AQ150" s="367"/>
      <c r="AR150" s="367"/>
      <c r="AS150" s="367"/>
      <c r="AT150" s="367"/>
      <c r="AU150" s="367"/>
      <c r="AV150" s="367"/>
      <c r="AW150" s="367"/>
      <c r="AX150" s="1194"/>
      <c r="AY150" s="367"/>
      <c r="AZ150" s="367"/>
      <c r="BA150" s="367"/>
      <c r="BB150" s="367"/>
      <c r="BC150" s="367"/>
      <c r="BD150" s="367"/>
      <c r="BE150" s="367"/>
      <c r="BF150" s="1194"/>
      <c r="BG150" s="367"/>
      <c r="BH150" s="367"/>
      <c r="BI150" s="367"/>
      <c r="BJ150" s="367"/>
      <c r="BK150" s="367"/>
      <c r="BL150" s="367"/>
    </row>
    <row r="151" s="319" customFormat="true" ht="10.15" hidden="false" customHeight="true" outlineLevel="0" collapsed="false">
      <c r="A151" s="1200"/>
      <c r="B151" s="817"/>
      <c r="C151" s="817"/>
      <c r="D151" s="1201"/>
      <c r="E151" s="1202"/>
      <c r="F151" s="1201"/>
      <c r="G151" s="1201"/>
      <c r="H151" s="1201"/>
      <c r="I151" s="367"/>
      <c r="J151" s="1194"/>
      <c r="K151" s="367"/>
      <c r="L151" s="367"/>
      <c r="M151" s="367"/>
      <c r="N151" s="367"/>
      <c r="O151" s="367"/>
      <c r="P151" s="367"/>
      <c r="Q151" s="367"/>
      <c r="R151" s="520"/>
      <c r="S151" s="367"/>
      <c r="T151" s="367"/>
      <c r="U151" s="367"/>
      <c r="V151" s="367"/>
      <c r="W151" s="367"/>
      <c r="X151" s="367"/>
      <c r="Y151" s="367"/>
      <c r="Z151" s="1194"/>
      <c r="AA151" s="367"/>
      <c r="AB151" s="367"/>
      <c r="AC151" s="367"/>
      <c r="AD151" s="367"/>
      <c r="AE151" s="367"/>
      <c r="AF151" s="367"/>
      <c r="AG151" s="367"/>
      <c r="AH151" s="1194"/>
      <c r="AI151" s="367"/>
      <c r="AJ151" s="367"/>
      <c r="AK151" s="367"/>
      <c r="AL151" s="367"/>
      <c r="AM151" s="367"/>
      <c r="AN151" s="367"/>
      <c r="AO151" s="367"/>
      <c r="AP151" s="1194"/>
      <c r="AQ151" s="367"/>
      <c r="AR151" s="367"/>
      <c r="AS151" s="367"/>
      <c r="AT151" s="367"/>
      <c r="AU151" s="367"/>
      <c r="AV151" s="367"/>
      <c r="AW151" s="367"/>
      <c r="AX151" s="1194"/>
      <c r="AY151" s="367"/>
      <c r="AZ151" s="367"/>
      <c r="BA151" s="367"/>
      <c r="BB151" s="367"/>
      <c r="BC151" s="367"/>
      <c r="BD151" s="367"/>
      <c r="BE151" s="367"/>
      <c r="BF151" s="1194"/>
      <c r="BG151" s="367"/>
      <c r="BH151" s="367"/>
      <c r="BI151" s="367"/>
      <c r="BJ151" s="367"/>
      <c r="BK151" s="367"/>
      <c r="BL151" s="367"/>
    </row>
    <row r="152" s="319" customFormat="true" ht="10.15" hidden="false" customHeight="true" outlineLevel="0" collapsed="false">
      <c r="A152" s="1200"/>
      <c r="B152" s="817"/>
      <c r="C152" s="817"/>
      <c r="D152" s="1201"/>
      <c r="E152" s="1202"/>
      <c r="F152" s="1201"/>
      <c r="G152" s="1201"/>
      <c r="H152" s="1201"/>
      <c r="I152" s="367"/>
      <c r="J152" s="1194"/>
      <c r="K152" s="367"/>
      <c r="L152" s="367"/>
      <c r="M152" s="367"/>
      <c r="N152" s="367"/>
      <c r="O152" s="367"/>
      <c r="P152" s="367"/>
      <c r="Q152" s="367"/>
      <c r="R152" s="520"/>
      <c r="S152" s="367"/>
      <c r="T152" s="367"/>
      <c r="U152" s="367"/>
      <c r="V152" s="367"/>
      <c r="W152" s="367"/>
      <c r="X152" s="367"/>
      <c r="Y152" s="367"/>
      <c r="Z152" s="1194"/>
      <c r="AA152" s="367"/>
      <c r="AB152" s="367"/>
      <c r="AC152" s="367"/>
      <c r="AD152" s="367"/>
      <c r="AE152" s="367"/>
      <c r="AF152" s="367"/>
      <c r="AG152" s="367"/>
      <c r="AH152" s="1194"/>
      <c r="AI152" s="367"/>
      <c r="AJ152" s="367"/>
      <c r="AK152" s="367"/>
      <c r="AL152" s="367"/>
      <c r="AM152" s="367"/>
      <c r="AN152" s="367"/>
      <c r="AO152" s="367"/>
      <c r="AP152" s="1194"/>
      <c r="AQ152" s="367"/>
      <c r="AR152" s="367"/>
      <c r="AS152" s="367"/>
      <c r="AT152" s="367"/>
      <c r="AU152" s="367"/>
      <c r="AV152" s="367"/>
      <c r="AW152" s="367"/>
      <c r="AX152" s="1194"/>
      <c r="AY152" s="367"/>
      <c r="AZ152" s="367"/>
      <c r="BA152" s="367"/>
      <c r="BB152" s="367"/>
      <c r="BC152" s="367"/>
      <c r="BD152" s="367"/>
      <c r="BE152" s="367"/>
      <c r="BF152" s="1194"/>
      <c r="BG152" s="367"/>
      <c r="BH152" s="367"/>
      <c r="BI152" s="367"/>
      <c r="BJ152" s="367"/>
      <c r="BK152" s="367"/>
      <c r="BL152" s="367"/>
    </row>
    <row r="153" s="319" customFormat="true" ht="10.15" hidden="false" customHeight="true" outlineLevel="0" collapsed="false">
      <c r="A153" s="1200"/>
      <c r="B153" s="817"/>
      <c r="C153" s="817"/>
      <c r="D153" s="1201"/>
      <c r="E153" s="1202"/>
      <c r="F153" s="1201"/>
      <c r="G153" s="1201"/>
      <c r="H153" s="1201"/>
      <c r="I153" s="367"/>
      <c r="J153" s="1194"/>
      <c r="K153" s="367"/>
      <c r="L153" s="367"/>
      <c r="M153" s="367"/>
      <c r="N153" s="367"/>
      <c r="O153" s="367"/>
      <c r="P153" s="367"/>
      <c r="Q153" s="367"/>
      <c r="R153" s="520"/>
      <c r="S153" s="367"/>
      <c r="T153" s="367"/>
      <c r="U153" s="367"/>
      <c r="V153" s="367"/>
      <c r="W153" s="367"/>
      <c r="X153" s="367"/>
      <c r="Y153" s="367"/>
      <c r="Z153" s="1194"/>
      <c r="AA153" s="367"/>
      <c r="AB153" s="367"/>
      <c r="AC153" s="367"/>
      <c r="AD153" s="367"/>
      <c r="AE153" s="367"/>
      <c r="AF153" s="367"/>
      <c r="AG153" s="367"/>
      <c r="AH153" s="1194"/>
      <c r="AI153" s="367"/>
      <c r="AJ153" s="367"/>
      <c r="AK153" s="367"/>
      <c r="AL153" s="367"/>
      <c r="AM153" s="367"/>
      <c r="AN153" s="367"/>
      <c r="AO153" s="367"/>
      <c r="AP153" s="1194"/>
      <c r="AQ153" s="367"/>
      <c r="AR153" s="367"/>
      <c r="AS153" s="367"/>
      <c r="AT153" s="367"/>
      <c r="AU153" s="367"/>
      <c r="AV153" s="367"/>
      <c r="AW153" s="367"/>
      <c r="AX153" s="1194"/>
      <c r="AY153" s="367"/>
      <c r="AZ153" s="367"/>
      <c r="BA153" s="367"/>
      <c r="BB153" s="367"/>
      <c r="BC153" s="367"/>
      <c r="BD153" s="367"/>
      <c r="BE153" s="367"/>
      <c r="BF153" s="1194"/>
      <c r="BG153" s="367"/>
      <c r="BH153" s="367"/>
      <c r="BI153" s="367"/>
      <c r="BJ153" s="367"/>
      <c r="BK153" s="367"/>
      <c r="BL153" s="367"/>
    </row>
    <row r="154" s="319" customFormat="true" ht="10.15" hidden="false" customHeight="true" outlineLevel="0" collapsed="false">
      <c r="A154" s="1200"/>
      <c r="B154" s="817"/>
      <c r="C154" s="817"/>
      <c r="D154" s="1201"/>
      <c r="E154" s="1202"/>
      <c r="F154" s="1201"/>
      <c r="G154" s="1201"/>
      <c r="H154" s="1201"/>
      <c r="I154" s="367"/>
      <c r="J154" s="1194"/>
      <c r="K154" s="367"/>
      <c r="L154" s="367"/>
      <c r="M154" s="367"/>
      <c r="N154" s="367"/>
      <c r="O154" s="367"/>
      <c r="P154" s="367"/>
      <c r="Q154" s="367"/>
      <c r="R154" s="520"/>
      <c r="S154" s="367"/>
      <c r="T154" s="367"/>
      <c r="U154" s="367"/>
      <c r="V154" s="367"/>
      <c r="W154" s="367"/>
      <c r="X154" s="367"/>
      <c r="Y154" s="367"/>
      <c r="Z154" s="1194"/>
      <c r="AA154" s="367"/>
      <c r="AB154" s="367"/>
      <c r="AC154" s="367"/>
      <c r="AD154" s="367"/>
      <c r="AE154" s="367"/>
      <c r="AF154" s="367"/>
      <c r="AG154" s="367"/>
      <c r="AH154" s="1194"/>
      <c r="AI154" s="367"/>
      <c r="AJ154" s="367"/>
      <c r="AK154" s="367"/>
      <c r="AL154" s="367"/>
      <c r="AM154" s="367"/>
      <c r="AN154" s="367"/>
      <c r="AO154" s="367"/>
      <c r="AP154" s="1194"/>
      <c r="AQ154" s="367"/>
      <c r="AR154" s="367"/>
      <c r="AS154" s="367"/>
      <c r="AT154" s="367"/>
      <c r="AU154" s="367"/>
      <c r="AV154" s="367"/>
      <c r="AW154" s="367"/>
      <c r="AX154" s="1194"/>
      <c r="AY154" s="367"/>
      <c r="AZ154" s="367"/>
      <c r="BA154" s="367"/>
      <c r="BB154" s="367"/>
      <c r="BC154" s="367"/>
      <c r="BD154" s="367"/>
      <c r="BE154" s="367"/>
      <c r="BF154" s="1194"/>
      <c r="BG154" s="367"/>
      <c r="BH154" s="367"/>
      <c r="BI154" s="367"/>
      <c r="BJ154" s="367"/>
      <c r="BK154" s="367"/>
      <c r="BL154" s="367"/>
    </row>
    <row r="155" s="319" customFormat="true" ht="10.15" hidden="false" customHeight="true" outlineLevel="0" collapsed="false">
      <c r="A155" s="1200"/>
      <c r="B155" s="817"/>
      <c r="C155" s="817"/>
      <c r="D155" s="1201"/>
      <c r="E155" s="1202"/>
      <c r="F155" s="1201"/>
      <c r="G155" s="1201"/>
      <c r="H155" s="1201"/>
      <c r="I155" s="367"/>
      <c r="J155" s="1194"/>
      <c r="K155" s="367"/>
      <c r="L155" s="367"/>
      <c r="M155" s="367"/>
      <c r="N155" s="367"/>
      <c r="O155" s="367"/>
      <c r="P155" s="367"/>
      <c r="Q155" s="367"/>
      <c r="R155" s="520"/>
      <c r="S155" s="367"/>
      <c r="T155" s="367"/>
      <c r="U155" s="367"/>
      <c r="V155" s="367"/>
      <c r="W155" s="367"/>
      <c r="X155" s="367"/>
      <c r="Y155" s="367"/>
      <c r="Z155" s="1194"/>
      <c r="AA155" s="367"/>
      <c r="AB155" s="367"/>
      <c r="AC155" s="367"/>
      <c r="AD155" s="367"/>
      <c r="AE155" s="367"/>
      <c r="AF155" s="367"/>
      <c r="AG155" s="367"/>
      <c r="AH155" s="1194"/>
      <c r="AI155" s="367"/>
      <c r="AJ155" s="367"/>
      <c r="AK155" s="367"/>
      <c r="AL155" s="367"/>
      <c r="AM155" s="367"/>
      <c r="AN155" s="367"/>
      <c r="AO155" s="367"/>
      <c r="AP155" s="1194"/>
      <c r="AQ155" s="367"/>
      <c r="AR155" s="367"/>
      <c r="AS155" s="367"/>
      <c r="AT155" s="367"/>
      <c r="AU155" s="367"/>
      <c r="AV155" s="367"/>
      <c r="AW155" s="884"/>
      <c r="AX155" s="1194"/>
      <c r="AY155" s="367"/>
      <c r="AZ155" s="367"/>
      <c r="BA155" s="367"/>
      <c r="BB155" s="367"/>
      <c r="BC155" s="367"/>
      <c r="BD155" s="367"/>
      <c r="BE155" s="367"/>
      <c r="BF155" s="1194"/>
      <c r="BG155" s="367"/>
      <c r="BH155" s="367"/>
      <c r="BI155" s="367"/>
      <c r="BJ155" s="367"/>
      <c r="BK155" s="367"/>
      <c r="BL155" s="367"/>
    </row>
    <row r="156" s="319" customFormat="true" ht="10.15" hidden="false" customHeight="true" outlineLevel="0" collapsed="false">
      <c r="A156" s="1200"/>
      <c r="B156" s="817"/>
      <c r="C156" s="817"/>
      <c r="D156" s="1201"/>
      <c r="E156" s="1202"/>
      <c r="F156" s="1201"/>
      <c r="G156" s="1201"/>
      <c r="H156" s="1201"/>
      <c r="I156" s="367"/>
      <c r="J156" s="1194"/>
      <c r="K156" s="367"/>
      <c r="L156" s="367"/>
      <c r="M156" s="367"/>
      <c r="N156" s="367"/>
      <c r="O156" s="367"/>
      <c r="P156" s="367"/>
      <c r="Q156" s="367"/>
      <c r="R156" s="520"/>
      <c r="S156" s="367"/>
      <c r="T156" s="367"/>
      <c r="U156" s="367"/>
      <c r="V156" s="367"/>
      <c r="W156" s="367"/>
      <c r="X156" s="367"/>
      <c r="Y156" s="367"/>
      <c r="Z156" s="1194"/>
      <c r="AA156" s="367"/>
      <c r="AB156" s="367"/>
      <c r="AC156" s="367"/>
      <c r="AD156" s="367"/>
      <c r="AE156" s="367"/>
      <c r="AF156" s="367"/>
      <c r="AG156" s="367"/>
      <c r="AH156" s="1194"/>
      <c r="AI156" s="367"/>
      <c r="AJ156" s="367"/>
      <c r="AK156" s="367"/>
      <c r="AL156" s="367"/>
      <c r="AM156" s="367"/>
      <c r="AN156" s="367"/>
      <c r="AO156" s="367"/>
      <c r="AP156" s="1194"/>
      <c r="AQ156" s="367"/>
      <c r="AR156" s="367"/>
      <c r="AS156" s="367"/>
      <c r="AT156" s="367"/>
      <c r="AU156" s="367"/>
      <c r="AV156" s="367"/>
      <c r="AW156" s="884"/>
      <c r="AX156" s="1203"/>
      <c r="AY156" s="884"/>
      <c r="AZ156" s="884"/>
      <c r="BA156" s="884"/>
      <c r="BB156" s="884"/>
      <c r="BC156" s="884"/>
      <c r="BD156" s="884"/>
      <c r="BE156" s="367"/>
      <c r="BF156" s="1194"/>
      <c r="BG156" s="367"/>
      <c r="BH156" s="367"/>
      <c r="BI156" s="367"/>
      <c r="BJ156" s="367"/>
      <c r="BK156" s="367"/>
      <c r="BL156" s="367"/>
    </row>
    <row r="157" s="885" customFormat="true" ht="10.15" hidden="false" customHeight="true" outlineLevel="0" collapsed="false">
      <c r="A157" s="1204"/>
      <c r="B157" s="817"/>
      <c r="C157" s="991"/>
      <c r="D157" s="1205"/>
      <c r="E157" s="1206"/>
      <c r="F157" s="1205"/>
      <c r="G157" s="1201"/>
      <c r="H157" s="1205"/>
      <c r="I157" s="884"/>
      <c r="J157" s="1203"/>
      <c r="K157" s="884"/>
      <c r="L157" s="884"/>
      <c r="M157" s="884"/>
      <c r="N157" s="884"/>
      <c r="O157" s="884"/>
      <c r="P157" s="884"/>
      <c r="Q157" s="884"/>
      <c r="R157" s="520"/>
      <c r="S157" s="884"/>
      <c r="T157" s="884"/>
      <c r="U157" s="884"/>
      <c r="V157" s="884"/>
      <c r="W157" s="367"/>
      <c r="X157" s="884"/>
      <c r="Y157" s="884"/>
      <c r="Z157" s="1203"/>
      <c r="AA157" s="884"/>
      <c r="AB157" s="884"/>
      <c r="AC157" s="884"/>
      <c r="AD157" s="884"/>
      <c r="AE157" s="884"/>
      <c r="AF157" s="884"/>
      <c r="AG157" s="884"/>
      <c r="AH157" s="1203"/>
      <c r="AI157" s="884"/>
      <c r="AJ157" s="884"/>
      <c r="AK157" s="884"/>
      <c r="AL157" s="884"/>
      <c r="AM157" s="884"/>
      <c r="AN157" s="884"/>
      <c r="AO157" s="884"/>
      <c r="AP157" s="1203"/>
      <c r="AQ157" s="884"/>
      <c r="AR157" s="884"/>
      <c r="AS157" s="884"/>
      <c r="AT157" s="884"/>
      <c r="AU157" s="884"/>
      <c r="AV157" s="884"/>
      <c r="AW157" s="884"/>
      <c r="AX157" s="1203"/>
      <c r="AY157" s="884"/>
      <c r="AZ157" s="884"/>
      <c r="BA157" s="884"/>
      <c r="BB157" s="884"/>
      <c r="BC157" s="884"/>
      <c r="BD157" s="884"/>
      <c r="BE157" s="367"/>
      <c r="BF157" s="1194"/>
      <c r="BG157" s="367"/>
      <c r="BH157" s="367"/>
      <c r="BI157" s="367"/>
      <c r="BJ157" s="367"/>
      <c r="BK157" s="367"/>
      <c r="BL157" s="367"/>
    </row>
    <row r="158" s="885" customFormat="true" ht="10.15" hidden="false" customHeight="true" outlineLevel="0" collapsed="false">
      <c r="A158" s="1204"/>
      <c r="B158" s="817"/>
      <c r="C158" s="991"/>
      <c r="D158" s="1205"/>
      <c r="E158" s="1206"/>
      <c r="F158" s="1205"/>
      <c r="G158" s="1201"/>
      <c r="H158" s="1205"/>
      <c r="I158" s="884"/>
      <c r="J158" s="1203"/>
      <c r="K158" s="884"/>
      <c r="L158" s="884"/>
      <c r="M158" s="884"/>
      <c r="N158" s="884"/>
      <c r="O158" s="884"/>
      <c r="P158" s="884"/>
      <c r="Q158" s="884"/>
      <c r="R158" s="520"/>
      <c r="S158" s="884"/>
      <c r="T158" s="884"/>
      <c r="U158" s="884"/>
      <c r="V158" s="884"/>
      <c r="W158" s="367"/>
      <c r="X158" s="884"/>
      <c r="Y158" s="884"/>
      <c r="Z158" s="1203"/>
      <c r="AA158" s="884"/>
      <c r="AB158" s="884"/>
      <c r="AC158" s="884"/>
      <c r="AD158" s="884"/>
      <c r="AE158" s="884"/>
      <c r="AF158" s="884"/>
      <c r="AG158" s="884"/>
      <c r="AH158" s="1203"/>
      <c r="AI158" s="884"/>
      <c r="AJ158" s="884"/>
      <c r="AK158" s="884"/>
      <c r="AL158" s="884"/>
      <c r="AM158" s="884"/>
      <c r="AN158" s="884"/>
      <c r="AO158" s="884"/>
      <c r="AP158" s="1203"/>
      <c r="AQ158" s="884"/>
      <c r="AR158" s="884"/>
      <c r="AS158" s="884"/>
      <c r="AT158" s="884"/>
      <c r="AU158" s="884"/>
      <c r="AV158" s="884"/>
      <c r="AW158" s="884"/>
      <c r="AX158" s="1203"/>
      <c r="AY158" s="884"/>
      <c r="AZ158" s="884"/>
      <c r="BA158" s="884"/>
      <c r="BB158" s="884"/>
      <c r="BC158" s="884"/>
      <c r="BD158" s="884"/>
      <c r="BE158" s="367"/>
      <c r="BF158" s="1194"/>
      <c r="BG158" s="367"/>
      <c r="BH158" s="367"/>
      <c r="BI158" s="367"/>
      <c r="BJ158" s="367"/>
      <c r="BK158" s="367"/>
      <c r="BL158" s="367"/>
    </row>
    <row r="159" s="885" customFormat="true" ht="10.15" hidden="false" customHeight="true" outlineLevel="0" collapsed="false">
      <c r="A159" s="1204"/>
      <c r="B159" s="817"/>
      <c r="C159" s="991"/>
      <c r="D159" s="1205"/>
      <c r="E159" s="1206"/>
      <c r="F159" s="1205"/>
      <c r="G159" s="1201"/>
      <c r="H159" s="1205"/>
      <c r="I159" s="884"/>
      <c r="J159" s="1203"/>
      <c r="K159" s="884"/>
      <c r="L159" s="884"/>
      <c r="M159" s="884"/>
      <c r="N159" s="884"/>
      <c r="O159" s="884"/>
      <c r="P159" s="884"/>
      <c r="Q159" s="884"/>
      <c r="R159" s="520"/>
      <c r="S159" s="884"/>
      <c r="T159" s="884"/>
      <c r="U159" s="884"/>
      <c r="V159" s="884"/>
      <c r="W159" s="367"/>
      <c r="X159" s="884"/>
      <c r="Y159" s="884"/>
      <c r="Z159" s="1203"/>
      <c r="AA159" s="884"/>
      <c r="AB159" s="884"/>
      <c r="AC159" s="884"/>
      <c r="AD159" s="884"/>
      <c r="AE159" s="884"/>
      <c r="AF159" s="884"/>
      <c r="AG159" s="884"/>
      <c r="AH159" s="1203"/>
      <c r="AI159" s="884"/>
      <c r="AJ159" s="884"/>
      <c r="AK159" s="884"/>
      <c r="AL159" s="884"/>
      <c r="AM159" s="884"/>
      <c r="AN159" s="884"/>
      <c r="AO159" s="884"/>
      <c r="AP159" s="1203"/>
      <c r="AQ159" s="884"/>
      <c r="AR159" s="884"/>
      <c r="AS159" s="884"/>
      <c r="AT159" s="884"/>
      <c r="AU159" s="884"/>
      <c r="AV159" s="884"/>
      <c r="AW159" s="884"/>
      <c r="AX159" s="1203"/>
      <c r="AY159" s="884"/>
      <c r="AZ159" s="884"/>
      <c r="BA159" s="884"/>
      <c r="BB159" s="884"/>
      <c r="BC159" s="884"/>
      <c r="BD159" s="884"/>
      <c r="BE159" s="367"/>
      <c r="BF159" s="1194"/>
      <c r="BG159" s="367"/>
      <c r="BH159" s="367"/>
      <c r="BI159" s="367"/>
      <c r="BJ159" s="367"/>
      <c r="BK159" s="367"/>
      <c r="BL159" s="367"/>
    </row>
    <row r="160" s="885" customFormat="true" ht="10.15" hidden="false" customHeight="true" outlineLevel="0" collapsed="false">
      <c r="A160" s="1204"/>
      <c r="B160" s="817"/>
      <c r="C160" s="991"/>
      <c r="D160" s="1205"/>
      <c r="E160" s="1206"/>
      <c r="F160" s="1205"/>
      <c r="G160" s="1201"/>
      <c r="H160" s="1205"/>
      <c r="I160" s="884"/>
      <c r="J160" s="1203"/>
      <c r="K160" s="884"/>
      <c r="L160" s="884"/>
      <c r="M160" s="884"/>
      <c r="N160" s="884"/>
      <c r="O160" s="884"/>
      <c r="P160" s="884"/>
      <c r="Q160" s="884"/>
      <c r="R160" s="520"/>
      <c r="S160" s="884"/>
      <c r="T160" s="884"/>
      <c r="U160" s="884"/>
      <c r="V160" s="884"/>
      <c r="W160" s="367"/>
      <c r="X160" s="884"/>
      <c r="Y160" s="884"/>
      <c r="Z160" s="1203"/>
      <c r="AA160" s="884"/>
      <c r="AB160" s="884"/>
      <c r="AC160" s="884"/>
      <c r="AD160" s="884"/>
      <c r="AE160" s="884"/>
      <c r="AF160" s="884"/>
      <c r="AG160" s="884"/>
      <c r="AH160" s="1203"/>
      <c r="AI160" s="884"/>
      <c r="AJ160" s="884"/>
      <c r="AK160" s="884"/>
      <c r="AL160" s="884"/>
      <c r="AM160" s="884"/>
      <c r="AN160" s="884"/>
      <c r="AO160" s="884"/>
      <c r="AP160" s="1203"/>
      <c r="AQ160" s="884"/>
      <c r="AR160" s="884"/>
      <c r="AS160" s="884"/>
      <c r="AT160" s="884"/>
      <c r="AU160" s="884"/>
      <c r="AV160" s="884"/>
      <c r="AW160" s="884"/>
      <c r="AX160" s="1203"/>
      <c r="AY160" s="884"/>
      <c r="AZ160" s="884"/>
      <c r="BA160" s="884"/>
      <c r="BB160" s="884"/>
      <c r="BC160" s="884"/>
      <c r="BD160" s="884"/>
      <c r="BE160" s="367"/>
      <c r="BF160" s="1194"/>
      <c r="BG160" s="367"/>
      <c r="BH160" s="367"/>
      <c r="BI160" s="367"/>
      <c r="BJ160" s="367"/>
      <c r="BK160" s="367"/>
      <c r="BL160" s="367"/>
    </row>
    <row r="161" s="885" customFormat="true" ht="10.15" hidden="false" customHeight="true" outlineLevel="0" collapsed="false">
      <c r="A161" s="1204"/>
      <c r="B161" s="817"/>
      <c r="C161" s="991"/>
      <c r="D161" s="1205"/>
      <c r="E161" s="1206"/>
      <c r="F161" s="1205"/>
      <c r="G161" s="1201"/>
      <c r="H161" s="1205"/>
      <c r="I161" s="884"/>
      <c r="J161" s="1203"/>
      <c r="K161" s="884"/>
      <c r="L161" s="884"/>
      <c r="M161" s="884"/>
      <c r="N161" s="884"/>
      <c r="O161" s="884"/>
      <c r="P161" s="884"/>
      <c r="Q161" s="884"/>
      <c r="R161" s="520"/>
      <c r="S161" s="884"/>
      <c r="T161" s="884"/>
      <c r="U161" s="884"/>
      <c r="V161" s="884"/>
      <c r="W161" s="367"/>
      <c r="X161" s="884"/>
      <c r="Y161" s="884"/>
      <c r="Z161" s="1203"/>
      <c r="AA161" s="884"/>
      <c r="AB161" s="884"/>
      <c r="AC161" s="884"/>
      <c r="AD161" s="884"/>
      <c r="AE161" s="884"/>
      <c r="AF161" s="884"/>
      <c r="AG161" s="884"/>
      <c r="AH161" s="1203"/>
      <c r="AI161" s="884"/>
      <c r="AJ161" s="884"/>
      <c r="AK161" s="884"/>
      <c r="AL161" s="884"/>
      <c r="AM161" s="884"/>
      <c r="AN161" s="884"/>
      <c r="AO161" s="884"/>
      <c r="AP161" s="1203"/>
      <c r="AQ161" s="884"/>
      <c r="AR161" s="884"/>
      <c r="AS161" s="884"/>
      <c r="AT161" s="884"/>
      <c r="AU161" s="884"/>
      <c r="AV161" s="884"/>
      <c r="AW161" s="884"/>
      <c r="AX161" s="1203"/>
      <c r="AY161" s="884"/>
      <c r="AZ161" s="884"/>
      <c r="BA161" s="884"/>
      <c r="BB161" s="884"/>
      <c r="BC161" s="884"/>
      <c r="BD161" s="884"/>
      <c r="BE161" s="884"/>
      <c r="BF161" s="1203"/>
      <c r="BG161" s="884"/>
      <c r="BH161" s="884"/>
      <c r="BI161" s="884"/>
      <c r="BJ161" s="884"/>
      <c r="BK161" s="884"/>
      <c r="BL161" s="884"/>
    </row>
    <row r="162" s="885" customFormat="true" ht="10.15" hidden="false" customHeight="true" outlineLevel="0" collapsed="false">
      <c r="A162" s="1204"/>
      <c r="B162" s="319"/>
      <c r="G162" s="319"/>
      <c r="I162" s="884"/>
      <c r="J162" s="1203"/>
      <c r="K162" s="884"/>
      <c r="L162" s="884"/>
      <c r="M162" s="884"/>
      <c r="N162" s="884"/>
      <c r="O162" s="884"/>
      <c r="P162" s="884"/>
      <c r="Q162" s="884"/>
      <c r="R162" s="520"/>
      <c r="S162" s="884"/>
      <c r="T162" s="884"/>
      <c r="U162" s="884"/>
      <c r="V162" s="884"/>
      <c r="W162" s="367"/>
      <c r="X162" s="884"/>
      <c r="Y162" s="884"/>
      <c r="Z162" s="1203"/>
      <c r="AA162" s="884"/>
      <c r="AB162" s="884"/>
      <c r="AC162" s="884"/>
      <c r="AD162" s="884"/>
      <c r="AE162" s="884"/>
      <c r="AF162" s="884"/>
      <c r="AG162" s="884"/>
      <c r="AH162" s="1203"/>
      <c r="AI162" s="884"/>
      <c r="AJ162" s="884"/>
      <c r="AK162" s="884"/>
      <c r="AL162" s="884"/>
      <c r="AM162" s="884"/>
      <c r="AN162" s="884"/>
      <c r="AO162" s="884"/>
      <c r="AP162" s="1203"/>
      <c r="AQ162" s="884"/>
      <c r="AR162" s="884"/>
      <c r="AS162" s="884"/>
      <c r="AT162" s="884"/>
      <c r="AU162" s="884"/>
      <c r="AV162" s="884"/>
      <c r="AW162" s="884"/>
      <c r="AX162" s="1203"/>
      <c r="AY162" s="884"/>
      <c r="AZ162" s="884"/>
      <c r="BA162" s="884"/>
      <c r="BB162" s="884"/>
      <c r="BC162" s="884"/>
      <c r="BD162" s="884"/>
      <c r="BE162" s="884"/>
      <c r="BF162" s="1203"/>
      <c r="BG162" s="884"/>
      <c r="BH162" s="884"/>
      <c r="BI162" s="884"/>
      <c r="BJ162" s="884"/>
      <c r="BK162" s="884"/>
      <c r="BL162" s="884"/>
    </row>
    <row r="163" s="885" customFormat="true" ht="10.15" hidden="false" customHeight="true" outlineLevel="0" collapsed="false">
      <c r="B163" s="319"/>
      <c r="G163" s="319"/>
      <c r="I163" s="884"/>
      <c r="J163" s="1203"/>
      <c r="K163" s="884"/>
      <c r="L163" s="884"/>
      <c r="M163" s="884"/>
      <c r="N163" s="884"/>
      <c r="O163" s="884"/>
      <c r="P163" s="884"/>
      <c r="Q163" s="884"/>
      <c r="R163" s="520"/>
      <c r="S163" s="884"/>
      <c r="T163" s="884"/>
      <c r="U163" s="884"/>
      <c r="V163" s="884"/>
      <c r="W163" s="367"/>
      <c r="X163" s="884"/>
      <c r="Y163" s="884"/>
      <c r="Z163" s="1203"/>
      <c r="AA163" s="884"/>
      <c r="AB163" s="884"/>
      <c r="AC163" s="884"/>
      <c r="AD163" s="884"/>
      <c r="AE163" s="884"/>
      <c r="AF163" s="884"/>
      <c r="AG163" s="884"/>
      <c r="AH163" s="1203"/>
      <c r="AI163" s="884"/>
      <c r="AJ163" s="884"/>
      <c r="AK163" s="884"/>
      <c r="AL163" s="884"/>
      <c r="AM163" s="884"/>
      <c r="AN163" s="884"/>
      <c r="AO163" s="884"/>
      <c r="AP163" s="1203"/>
      <c r="AQ163" s="884"/>
      <c r="AR163" s="884"/>
      <c r="AS163" s="884"/>
      <c r="AT163" s="884"/>
      <c r="AU163" s="884"/>
      <c r="AV163" s="884"/>
      <c r="AW163" s="884"/>
      <c r="AX163" s="1203"/>
      <c r="AY163" s="884"/>
      <c r="AZ163" s="884"/>
      <c r="BA163" s="884"/>
      <c r="BB163" s="884"/>
      <c r="BC163" s="884"/>
      <c r="BD163" s="884"/>
      <c r="BE163" s="884"/>
      <c r="BF163" s="1203"/>
      <c r="BG163" s="884"/>
      <c r="BH163" s="884"/>
      <c r="BI163" s="884"/>
      <c r="BJ163" s="884"/>
      <c r="BK163" s="884"/>
      <c r="BL163" s="884"/>
    </row>
    <row r="164" s="885" customFormat="true" ht="10.15" hidden="false" customHeight="true" outlineLevel="0" collapsed="false">
      <c r="A164" s="1204"/>
      <c r="B164" s="319"/>
      <c r="G164" s="319"/>
      <c r="I164" s="884"/>
      <c r="J164" s="1203"/>
      <c r="K164" s="884"/>
      <c r="L164" s="884"/>
      <c r="M164" s="884"/>
      <c r="N164" s="884"/>
      <c r="O164" s="884"/>
      <c r="P164" s="884"/>
      <c r="Q164" s="884"/>
      <c r="R164" s="520"/>
      <c r="S164" s="884"/>
      <c r="T164" s="884"/>
      <c r="U164" s="884"/>
      <c r="V164" s="884"/>
      <c r="W164" s="367"/>
      <c r="X164" s="884"/>
      <c r="Y164" s="884"/>
      <c r="Z164" s="1203"/>
      <c r="AA164" s="884"/>
      <c r="AB164" s="884"/>
      <c r="AC164" s="884"/>
      <c r="AD164" s="884"/>
      <c r="AE164" s="884"/>
      <c r="AF164" s="884"/>
      <c r="AG164" s="884"/>
      <c r="AH164" s="1203"/>
      <c r="AI164" s="884"/>
      <c r="AJ164" s="884"/>
      <c r="AK164" s="884"/>
      <c r="AL164" s="884"/>
      <c r="AM164" s="884"/>
      <c r="AN164" s="884"/>
      <c r="AO164" s="884"/>
      <c r="AP164" s="1203"/>
      <c r="AQ164" s="884"/>
      <c r="AR164" s="884"/>
      <c r="AS164" s="884"/>
      <c r="AT164" s="884"/>
      <c r="AU164" s="884"/>
      <c r="AV164" s="884"/>
      <c r="AW164" s="884"/>
      <c r="AX164" s="1203"/>
      <c r="AY164" s="884"/>
      <c r="AZ164" s="884"/>
      <c r="BA164" s="884"/>
      <c r="BB164" s="884"/>
      <c r="BC164" s="884"/>
      <c r="BD164" s="884"/>
      <c r="BE164" s="884"/>
      <c r="BF164" s="1203"/>
      <c r="BG164" s="884"/>
      <c r="BH164" s="884"/>
      <c r="BI164" s="884"/>
      <c r="BJ164" s="884"/>
      <c r="BK164" s="884"/>
      <c r="BL164" s="884"/>
    </row>
    <row r="165" s="885" customFormat="true" ht="10.15" hidden="false" customHeight="true" outlineLevel="0" collapsed="false">
      <c r="A165" s="1204"/>
      <c r="B165" s="319"/>
      <c r="G165" s="319"/>
      <c r="I165" s="884"/>
      <c r="J165" s="1203"/>
      <c r="K165" s="884"/>
      <c r="L165" s="884"/>
      <c r="M165" s="884"/>
      <c r="N165" s="884"/>
      <c r="O165" s="884"/>
      <c r="P165" s="884"/>
      <c r="Q165" s="884"/>
      <c r="R165" s="520"/>
      <c r="S165" s="884"/>
      <c r="T165" s="884"/>
      <c r="U165" s="884"/>
      <c r="V165" s="884"/>
      <c r="W165" s="367"/>
      <c r="X165" s="884"/>
      <c r="Y165" s="884"/>
      <c r="Z165" s="1203"/>
      <c r="AA165" s="884"/>
      <c r="AB165" s="884"/>
      <c r="AC165" s="884"/>
      <c r="AD165" s="884"/>
      <c r="AE165" s="884"/>
      <c r="AF165" s="884"/>
      <c r="AG165" s="884"/>
      <c r="AH165" s="1203"/>
      <c r="AI165" s="884"/>
      <c r="AJ165" s="884"/>
      <c r="AK165" s="884"/>
      <c r="AL165" s="884"/>
      <c r="AM165" s="884"/>
      <c r="AN165" s="884"/>
      <c r="AO165" s="884"/>
      <c r="AP165" s="1203"/>
      <c r="AQ165" s="884"/>
      <c r="AR165" s="884"/>
      <c r="AS165" s="884"/>
      <c r="AT165" s="884"/>
      <c r="AU165" s="884"/>
      <c r="AV165" s="884"/>
      <c r="AW165" s="884"/>
      <c r="AX165" s="1203"/>
      <c r="AY165" s="884"/>
      <c r="AZ165" s="884"/>
      <c r="BA165" s="884"/>
      <c r="BB165" s="884"/>
      <c r="BC165" s="884"/>
      <c r="BD165" s="884"/>
      <c r="BE165" s="884"/>
      <c r="BF165" s="1203"/>
      <c r="BG165" s="884"/>
      <c r="BH165" s="884"/>
      <c r="BI165" s="884"/>
      <c r="BJ165" s="884"/>
      <c r="BK165" s="884"/>
      <c r="BL165" s="884"/>
    </row>
    <row r="166" s="885" customFormat="true" ht="10.15" hidden="false" customHeight="true" outlineLevel="0" collapsed="false">
      <c r="A166" s="1207"/>
      <c r="B166" s="319"/>
      <c r="G166" s="319"/>
      <c r="I166" s="884"/>
      <c r="J166" s="1203"/>
      <c r="K166" s="884"/>
      <c r="L166" s="884"/>
      <c r="M166" s="884"/>
      <c r="N166" s="884"/>
      <c r="O166" s="884"/>
      <c r="P166" s="884"/>
      <c r="Q166" s="884"/>
      <c r="R166" s="520"/>
      <c r="S166" s="884"/>
      <c r="T166" s="884"/>
      <c r="U166" s="884"/>
      <c r="V166" s="884"/>
      <c r="W166" s="367"/>
      <c r="X166" s="884"/>
      <c r="Y166" s="884"/>
      <c r="Z166" s="1203"/>
      <c r="AA166" s="884"/>
      <c r="AB166" s="884"/>
      <c r="AC166" s="884"/>
      <c r="AD166" s="884"/>
      <c r="AE166" s="884"/>
      <c r="AF166" s="884"/>
      <c r="AG166" s="884"/>
      <c r="AH166" s="1203"/>
      <c r="AI166" s="884"/>
      <c r="AJ166" s="884"/>
      <c r="AK166" s="884"/>
      <c r="AL166" s="884"/>
      <c r="AM166" s="884"/>
      <c r="AN166" s="884"/>
      <c r="AO166" s="884"/>
      <c r="AP166" s="1203"/>
      <c r="AQ166" s="884"/>
      <c r="AR166" s="884"/>
      <c r="AS166" s="884"/>
      <c r="AT166" s="884"/>
      <c r="AU166" s="884"/>
      <c r="AV166" s="884"/>
      <c r="AW166" s="1152"/>
      <c r="AX166" s="1203"/>
      <c r="AY166" s="884"/>
      <c r="AZ166" s="884"/>
      <c r="BA166" s="884"/>
      <c r="BB166" s="884"/>
      <c r="BC166" s="884"/>
      <c r="BD166" s="884"/>
      <c r="BE166" s="884"/>
      <c r="BF166" s="1203"/>
      <c r="BG166" s="884"/>
      <c r="BH166" s="884"/>
      <c r="BI166" s="884"/>
      <c r="BJ166" s="884"/>
      <c r="BK166" s="884"/>
      <c r="BL166" s="884"/>
    </row>
    <row r="167" s="885" customFormat="true" ht="10.15" hidden="false" customHeight="true" outlineLevel="0" collapsed="false">
      <c r="A167" s="1207"/>
      <c r="B167" s="319"/>
      <c r="G167" s="319"/>
      <c r="I167" s="884"/>
      <c r="J167" s="1203"/>
      <c r="K167" s="884"/>
      <c r="L167" s="884"/>
      <c r="M167" s="884"/>
      <c r="N167" s="884"/>
      <c r="O167" s="884"/>
      <c r="P167" s="884"/>
      <c r="Q167" s="884"/>
      <c r="R167" s="520"/>
      <c r="S167" s="884"/>
      <c r="T167" s="884"/>
      <c r="U167" s="884"/>
      <c r="V167" s="884"/>
      <c r="W167" s="367"/>
      <c r="X167" s="884"/>
      <c r="Y167" s="884"/>
      <c r="Z167" s="1203"/>
      <c r="AA167" s="884"/>
      <c r="AB167" s="884"/>
      <c r="AC167" s="884"/>
      <c r="AD167" s="884"/>
      <c r="AE167" s="884"/>
      <c r="AF167" s="884"/>
      <c r="AG167" s="884"/>
      <c r="AH167" s="1203"/>
      <c r="AI167" s="884"/>
      <c r="AJ167" s="884"/>
      <c r="AK167" s="884"/>
      <c r="AL167" s="884"/>
      <c r="AM167" s="884"/>
      <c r="AN167" s="884"/>
      <c r="AO167" s="884"/>
      <c r="AP167" s="1203"/>
      <c r="AQ167" s="884"/>
      <c r="AR167" s="884"/>
      <c r="AS167" s="884"/>
      <c r="AT167" s="884"/>
      <c r="AU167" s="884"/>
      <c r="AV167" s="884"/>
      <c r="AW167" s="884"/>
      <c r="AX167" s="1208"/>
      <c r="AY167" s="1152"/>
      <c r="AZ167" s="1152"/>
      <c r="BA167" s="1152"/>
      <c r="BB167" s="1152"/>
      <c r="BC167" s="1152"/>
      <c r="BD167" s="1152"/>
      <c r="BE167" s="884"/>
      <c r="BF167" s="1203"/>
      <c r="BG167" s="884"/>
      <c r="BH167" s="884"/>
      <c r="BI167" s="884"/>
      <c r="BJ167" s="884"/>
      <c r="BK167" s="884"/>
      <c r="BL167" s="884"/>
    </row>
    <row r="168" s="1207" customFormat="true" ht="10.15" hidden="false" customHeight="true" outlineLevel="0" collapsed="false">
      <c r="B168" s="322"/>
      <c r="G168" s="322"/>
      <c r="I168" s="1152"/>
      <c r="J168" s="1208"/>
      <c r="K168" s="1152"/>
      <c r="L168" s="1152"/>
      <c r="M168" s="1152"/>
      <c r="N168" s="1152"/>
      <c r="O168" s="1152"/>
      <c r="P168" s="1152"/>
      <c r="Q168" s="1152"/>
      <c r="R168" s="435"/>
      <c r="S168" s="1152"/>
      <c r="T168" s="1152"/>
      <c r="U168" s="1152"/>
      <c r="V168" s="1152"/>
      <c r="W168" s="1151"/>
      <c r="X168" s="1152"/>
      <c r="Y168" s="1152"/>
      <c r="Z168" s="1208"/>
      <c r="AA168" s="1152"/>
      <c r="AB168" s="1152"/>
      <c r="AC168" s="1152"/>
      <c r="AD168" s="1152"/>
      <c r="AE168" s="1152"/>
      <c r="AF168" s="1152"/>
      <c r="AG168" s="1152"/>
      <c r="AH168" s="1208"/>
      <c r="AI168" s="1152"/>
      <c r="AJ168" s="1152"/>
      <c r="AK168" s="1152"/>
      <c r="AL168" s="1152"/>
      <c r="AM168" s="1152"/>
      <c r="AN168" s="1152"/>
      <c r="AO168" s="1152"/>
      <c r="AP168" s="1208"/>
      <c r="AQ168" s="1152"/>
      <c r="AR168" s="1152"/>
      <c r="AS168" s="1152"/>
      <c r="AT168" s="1152"/>
      <c r="AU168" s="1152"/>
      <c r="AV168" s="1152"/>
      <c r="AW168" s="1152"/>
      <c r="AX168" s="1203"/>
      <c r="AY168" s="884"/>
      <c r="AZ168" s="884"/>
      <c r="BA168" s="884"/>
      <c r="BB168" s="884"/>
      <c r="BC168" s="884"/>
      <c r="BD168" s="884"/>
      <c r="BE168" s="884"/>
      <c r="BF168" s="1203"/>
      <c r="BG168" s="884"/>
      <c r="BH168" s="884"/>
      <c r="BI168" s="884"/>
      <c r="BJ168" s="884"/>
      <c r="BK168" s="884"/>
      <c r="BL168" s="884"/>
    </row>
    <row r="169" s="885" customFormat="true" ht="10.15" hidden="false" customHeight="true" outlineLevel="0" collapsed="false">
      <c r="B169" s="319"/>
      <c r="G169" s="319"/>
      <c r="I169" s="884"/>
      <c r="J169" s="1203"/>
      <c r="K169" s="884"/>
      <c r="L169" s="884"/>
      <c r="M169" s="884"/>
      <c r="N169" s="884"/>
      <c r="O169" s="884"/>
      <c r="P169" s="884"/>
      <c r="Q169" s="884"/>
      <c r="R169" s="520"/>
      <c r="S169" s="884"/>
      <c r="T169" s="884"/>
      <c r="U169" s="884"/>
      <c r="V169" s="884"/>
      <c r="W169" s="367"/>
      <c r="X169" s="884"/>
      <c r="Y169" s="884"/>
      <c r="Z169" s="1203"/>
      <c r="AA169" s="884"/>
      <c r="AB169" s="884"/>
      <c r="AC169" s="884"/>
      <c r="AD169" s="884"/>
      <c r="AE169" s="884"/>
      <c r="AF169" s="884"/>
      <c r="AG169" s="884"/>
      <c r="AH169" s="1203"/>
      <c r="AI169" s="884"/>
      <c r="AJ169" s="884"/>
      <c r="AK169" s="884"/>
      <c r="AL169" s="884"/>
      <c r="AM169" s="884"/>
      <c r="AN169" s="884"/>
      <c r="AO169" s="884"/>
      <c r="AP169" s="1203"/>
      <c r="AQ169" s="884"/>
      <c r="AR169" s="884"/>
      <c r="AS169" s="884"/>
      <c r="AT169" s="884"/>
      <c r="AU169" s="884"/>
      <c r="AV169" s="884"/>
      <c r="AW169" s="884"/>
      <c r="AX169" s="1208"/>
      <c r="AY169" s="1152"/>
      <c r="AZ169" s="1152"/>
      <c r="BA169" s="1152"/>
      <c r="BB169" s="1152"/>
      <c r="BC169" s="1152"/>
      <c r="BD169" s="1152"/>
      <c r="BE169" s="884"/>
      <c r="BF169" s="1203"/>
      <c r="BG169" s="884"/>
      <c r="BH169" s="884"/>
      <c r="BI169" s="884"/>
      <c r="BJ169" s="884"/>
      <c r="BK169" s="884"/>
      <c r="BL169" s="884"/>
    </row>
    <row r="170" s="1207" customFormat="true" ht="10.15" hidden="false" customHeight="true" outlineLevel="0" collapsed="false">
      <c r="B170" s="322"/>
      <c r="G170" s="322"/>
      <c r="I170" s="1152"/>
      <c r="J170" s="1208"/>
      <c r="K170" s="1152"/>
      <c r="L170" s="1152"/>
      <c r="M170" s="1152"/>
      <c r="N170" s="1152"/>
      <c r="O170" s="1152"/>
      <c r="P170" s="1152"/>
      <c r="Q170" s="1152"/>
      <c r="R170" s="435"/>
      <c r="S170" s="1152"/>
      <c r="T170" s="1152"/>
      <c r="U170" s="1152"/>
      <c r="V170" s="1152"/>
      <c r="W170" s="1151"/>
      <c r="X170" s="1152"/>
      <c r="Y170" s="1152"/>
      <c r="Z170" s="1208"/>
      <c r="AA170" s="1152"/>
      <c r="AB170" s="1152"/>
      <c r="AC170" s="1152"/>
      <c r="AD170" s="1152"/>
      <c r="AE170" s="1152"/>
      <c r="AF170" s="1152"/>
      <c r="AG170" s="1152"/>
      <c r="AH170" s="1208"/>
      <c r="AI170" s="1152"/>
      <c r="AJ170" s="1152"/>
      <c r="AK170" s="1152"/>
      <c r="AL170" s="1152"/>
      <c r="AM170" s="1152"/>
      <c r="AN170" s="1152"/>
      <c r="AO170" s="1152"/>
      <c r="AP170" s="1208"/>
      <c r="AQ170" s="1152"/>
      <c r="AR170" s="1152"/>
      <c r="AS170" s="1152"/>
      <c r="AT170" s="1152"/>
      <c r="AU170" s="1152"/>
      <c r="AV170" s="1152"/>
      <c r="AW170" s="884"/>
      <c r="AX170" s="1203"/>
      <c r="AY170" s="884"/>
      <c r="AZ170" s="884"/>
      <c r="BA170" s="884"/>
      <c r="BB170" s="884"/>
      <c r="BC170" s="884"/>
      <c r="BD170" s="884"/>
      <c r="BE170" s="884"/>
      <c r="BF170" s="1203"/>
      <c r="BG170" s="884"/>
      <c r="BH170" s="884"/>
      <c r="BI170" s="884"/>
      <c r="BJ170" s="884"/>
      <c r="BK170" s="884"/>
      <c r="BL170" s="884"/>
    </row>
    <row r="171" s="885" customFormat="true" ht="10.15" hidden="false" customHeight="true" outlineLevel="0" collapsed="false">
      <c r="B171" s="319"/>
      <c r="G171" s="319"/>
      <c r="I171" s="884"/>
      <c r="J171" s="1203"/>
      <c r="K171" s="884"/>
      <c r="L171" s="884"/>
      <c r="M171" s="884"/>
      <c r="N171" s="884"/>
      <c r="O171" s="884"/>
      <c r="P171" s="884"/>
      <c r="Q171" s="884"/>
      <c r="R171" s="520"/>
      <c r="S171" s="884"/>
      <c r="T171" s="884"/>
      <c r="U171" s="884"/>
      <c r="V171" s="884"/>
      <c r="W171" s="367"/>
      <c r="X171" s="884"/>
      <c r="Y171" s="884"/>
      <c r="Z171" s="1203"/>
      <c r="AA171" s="884"/>
      <c r="AB171" s="884"/>
      <c r="AC171" s="884"/>
      <c r="AD171" s="884"/>
      <c r="AE171" s="884"/>
      <c r="AF171" s="884"/>
      <c r="AG171" s="884"/>
      <c r="AH171" s="1203"/>
      <c r="AI171" s="884"/>
      <c r="AJ171" s="884"/>
      <c r="AK171" s="884"/>
      <c r="AL171" s="884"/>
      <c r="AM171" s="884"/>
      <c r="AN171" s="884"/>
      <c r="AO171" s="884"/>
      <c r="AP171" s="1203"/>
      <c r="AQ171" s="884"/>
      <c r="AR171" s="884"/>
      <c r="AS171" s="884"/>
      <c r="AT171" s="884"/>
      <c r="AU171" s="884"/>
      <c r="AV171" s="884"/>
      <c r="AW171" s="884"/>
      <c r="AX171" s="1203"/>
      <c r="AY171" s="884"/>
      <c r="AZ171" s="884"/>
      <c r="BA171" s="884"/>
      <c r="BB171" s="884"/>
      <c r="BC171" s="884"/>
      <c r="BD171" s="884"/>
      <c r="BE171" s="884"/>
      <c r="BF171" s="1203"/>
      <c r="BG171" s="884"/>
      <c r="BH171" s="884"/>
      <c r="BI171" s="884"/>
      <c r="BJ171" s="884"/>
      <c r="BK171" s="884"/>
      <c r="BL171" s="884"/>
    </row>
    <row r="172" s="885" customFormat="true" ht="10.15" hidden="false" customHeight="true" outlineLevel="0" collapsed="false">
      <c r="B172" s="319"/>
      <c r="D172" s="329"/>
      <c r="E172" s="329"/>
      <c r="G172" s="319"/>
      <c r="I172" s="884"/>
      <c r="J172" s="1203"/>
      <c r="K172" s="884"/>
      <c r="L172" s="884"/>
      <c r="M172" s="884"/>
      <c r="N172" s="884"/>
      <c r="O172" s="884"/>
      <c r="P172" s="884"/>
      <c r="Q172" s="884"/>
      <c r="R172" s="520"/>
      <c r="S172" s="884"/>
      <c r="T172" s="884"/>
      <c r="U172" s="884"/>
      <c r="V172" s="884"/>
      <c r="W172" s="367"/>
      <c r="X172" s="884"/>
      <c r="Y172" s="884"/>
      <c r="Z172" s="1203"/>
      <c r="AA172" s="884"/>
      <c r="AB172" s="884"/>
      <c r="AC172" s="884"/>
      <c r="AD172" s="884"/>
      <c r="AE172" s="884"/>
      <c r="AF172" s="884"/>
      <c r="AG172" s="884"/>
      <c r="AH172" s="1203"/>
      <c r="AI172" s="884"/>
      <c r="AJ172" s="884"/>
      <c r="AK172" s="884"/>
      <c r="AL172" s="884"/>
      <c r="AM172" s="884"/>
      <c r="AN172" s="884"/>
      <c r="AO172" s="884"/>
      <c r="AP172" s="1203"/>
      <c r="AQ172" s="884"/>
      <c r="AR172" s="884"/>
      <c r="AS172" s="884"/>
      <c r="AT172" s="884"/>
      <c r="AU172" s="884"/>
      <c r="AV172" s="884"/>
      <c r="AW172" s="884"/>
      <c r="AX172" s="1203"/>
      <c r="AY172" s="884"/>
      <c r="AZ172" s="884"/>
      <c r="BA172" s="884"/>
      <c r="BB172" s="884"/>
      <c r="BC172" s="884"/>
      <c r="BD172" s="884"/>
      <c r="BE172" s="1152"/>
      <c r="BF172" s="1208"/>
      <c r="BG172" s="1152"/>
      <c r="BH172" s="1152"/>
      <c r="BI172" s="1152"/>
      <c r="BJ172" s="1152"/>
      <c r="BK172" s="1152"/>
      <c r="BL172" s="1152"/>
    </row>
    <row r="173" s="885" customFormat="true" ht="10.15" hidden="false" customHeight="true" outlineLevel="0" collapsed="false">
      <c r="A173" s="1207"/>
      <c r="B173" s="319"/>
      <c r="G173" s="319"/>
      <c r="I173" s="884"/>
      <c r="J173" s="1203"/>
      <c r="K173" s="884"/>
      <c r="L173" s="884"/>
      <c r="M173" s="884"/>
      <c r="N173" s="884"/>
      <c r="O173" s="884"/>
      <c r="P173" s="884"/>
      <c r="Q173" s="884"/>
      <c r="R173" s="520"/>
      <c r="S173" s="884"/>
      <c r="T173" s="884"/>
      <c r="U173" s="884"/>
      <c r="V173" s="884"/>
      <c r="W173" s="367"/>
      <c r="X173" s="884"/>
      <c r="Y173" s="884"/>
      <c r="Z173" s="1203"/>
      <c r="AA173" s="884"/>
      <c r="AB173" s="884"/>
      <c r="AC173" s="884"/>
      <c r="AD173" s="884"/>
      <c r="AE173" s="884"/>
      <c r="AF173" s="884"/>
      <c r="AG173" s="884"/>
      <c r="AH173" s="1203"/>
      <c r="AI173" s="884"/>
      <c r="AJ173" s="884"/>
      <c r="AK173" s="884"/>
      <c r="AL173" s="884"/>
      <c r="AM173" s="884"/>
      <c r="AN173" s="884"/>
      <c r="AO173" s="884"/>
      <c r="AP173" s="1203"/>
      <c r="AQ173" s="884"/>
      <c r="AR173" s="884"/>
      <c r="AS173" s="884"/>
      <c r="AT173" s="884"/>
      <c r="AU173" s="884"/>
      <c r="AV173" s="884"/>
      <c r="AW173" s="222"/>
      <c r="AX173" s="1203"/>
      <c r="AY173" s="884"/>
      <c r="AZ173" s="884"/>
      <c r="BA173" s="884"/>
      <c r="BB173" s="884"/>
      <c r="BC173" s="884"/>
      <c r="BD173" s="884"/>
      <c r="BE173" s="884"/>
      <c r="BF173" s="1203"/>
      <c r="BG173" s="884"/>
      <c r="BH173" s="884"/>
      <c r="BI173" s="884"/>
      <c r="BJ173" s="884"/>
      <c r="BK173" s="884"/>
      <c r="BL173" s="884"/>
    </row>
    <row r="174" s="885" customFormat="true" ht="10.15" hidden="false" customHeight="true" outlineLevel="0" collapsed="false">
      <c r="B174" s="319"/>
      <c r="G174" s="319"/>
      <c r="I174" s="884"/>
      <c r="J174" s="1203"/>
      <c r="K174" s="884"/>
      <c r="L174" s="884"/>
      <c r="M174" s="884"/>
      <c r="N174" s="884"/>
      <c r="O174" s="884"/>
      <c r="P174" s="884"/>
      <c r="Q174" s="884"/>
      <c r="R174" s="520"/>
      <c r="S174" s="884"/>
      <c r="T174" s="884"/>
      <c r="U174" s="884"/>
      <c r="V174" s="884"/>
      <c r="W174" s="367"/>
      <c r="X174" s="884"/>
      <c r="Y174" s="884"/>
      <c r="Z174" s="1203"/>
      <c r="AA174" s="884"/>
      <c r="AB174" s="884"/>
      <c r="AC174" s="884"/>
      <c r="AD174" s="884"/>
      <c r="AE174" s="884"/>
      <c r="AF174" s="884"/>
      <c r="AG174" s="884"/>
      <c r="AH174" s="1203"/>
      <c r="AI174" s="884"/>
      <c r="AJ174" s="884"/>
      <c r="AK174" s="884"/>
      <c r="AL174" s="884"/>
      <c r="AM174" s="884"/>
      <c r="AN174" s="884"/>
      <c r="AO174" s="884"/>
      <c r="AP174" s="1203"/>
      <c r="AQ174" s="884"/>
      <c r="AR174" s="884"/>
      <c r="AS174" s="884"/>
      <c r="AT174" s="884"/>
      <c r="AU174" s="884"/>
      <c r="AV174" s="884"/>
      <c r="AW174" s="222"/>
      <c r="AX174" s="787"/>
      <c r="AY174" s="222"/>
      <c r="AZ174" s="222"/>
      <c r="BA174" s="222"/>
      <c r="BB174" s="222"/>
      <c r="BC174" s="222"/>
      <c r="BD174" s="222"/>
      <c r="BE174" s="1152"/>
      <c r="BF174" s="1208"/>
      <c r="BG174" s="1152"/>
      <c r="BH174" s="1152"/>
      <c r="BI174" s="1152"/>
      <c r="BJ174" s="1152"/>
      <c r="BK174" s="1152"/>
      <c r="BL174" s="1152"/>
    </row>
    <row r="175" customFormat="false" ht="10.15" hidden="false" customHeight="true" outlineLevel="0" collapsed="false">
      <c r="BE175" s="884"/>
      <c r="BF175" s="1203"/>
      <c r="BG175" s="884"/>
      <c r="BH175" s="884"/>
      <c r="BI175" s="884"/>
      <c r="BJ175" s="884"/>
      <c r="BK175" s="884"/>
      <c r="BL175" s="884"/>
    </row>
    <row r="176" customFormat="false" ht="10.15" hidden="false" customHeight="true" outlineLevel="0" collapsed="false">
      <c r="BE176" s="884"/>
      <c r="BF176" s="1203"/>
      <c r="BG176" s="884"/>
      <c r="BH176" s="884"/>
      <c r="BI176" s="884"/>
      <c r="BJ176" s="884"/>
      <c r="BK176" s="884"/>
      <c r="BL176" s="884"/>
    </row>
    <row r="177" customFormat="false" ht="10.15" hidden="false" customHeight="true" outlineLevel="0" collapsed="false">
      <c r="AW177" s="400"/>
      <c r="BE177" s="884"/>
      <c r="BF177" s="1203"/>
      <c r="BG177" s="884"/>
      <c r="BH177" s="884"/>
      <c r="BI177" s="884"/>
      <c r="BJ177" s="884"/>
      <c r="BK177" s="884"/>
      <c r="BL177" s="884"/>
    </row>
    <row r="178" customFormat="false" ht="10.15" hidden="false" customHeight="true" outlineLevel="0" collapsed="false">
      <c r="Q178" s="1209"/>
      <c r="R178" s="1210"/>
      <c r="S178" s="461"/>
      <c r="AW178" s="400"/>
      <c r="AX178" s="520"/>
      <c r="AY178" s="400"/>
      <c r="AZ178" s="400"/>
      <c r="BA178" s="400"/>
      <c r="BB178" s="400"/>
      <c r="BC178" s="400"/>
      <c r="BD178" s="400"/>
      <c r="BE178" s="884"/>
      <c r="BF178" s="1203"/>
      <c r="BG178" s="884"/>
      <c r="BH178" s="884"/>
      <c r="BI178" s="884"/>
      <c r="BJ178" s="884"/>
      <c r="BK178" s="884"/>
      <c r="BL178" s="884"/>
    </row>
    <row r="179" s="737" customFormat="true" ht="10.15" hidden="false" customHeight="true" outlineLevel="0" collapsed="false">
      <c r="B179" s="319"/>
      <c r="G179" s="319"/>
      <c r="I179" s="400"/>
      <c r="J179" s="520"/>
      <c r="K179" s="400"/>
      <c r="L179" s="400"/>
      <c r="M179" s="400"/>
      <c r="N179" s="400"/>
      <c r="O179" s="400"/>
      <c r="P179" s="400"/>
      <c r="Q179" s="1211"/>
      <c r="R179" s="520"/>
      <c r="S179" s="400"/>
      <c r="T179" s="400"/>
      <c r="U179" s="400"/>
      <c r="V179" s="400"/>
      <c r="W179" s="367"/>
      <c r="X179" s="400"/>
      <c r="Y179" s="400"/>
      <c r="Z179" s="520"/>
      <c r="AA179" s="400"/>
      <c r="AB179" s="400"/>
      <c r="AC179" s="400"/>
      <c r="AD179" s="400"/>
      <c r="AE179" s="400"/>
      <c r="AF179" s="400"/>
      <c r="AG179" s="400"/>
      <c r="AH179" s="520"/>
      <c r="AI179" s="400"/>
      <c r="AJ179" s="400"/>
      <c r="AK179" s="400"/>
      <c r="AL179" s="400"/>
      <c r="AM179" s="400"/>
      <c r="AN179" s="400"/>
      <c r="AO179" s="400"/>
      <c r="AP179" s="520"/>
      <c r="AQ179" s="400"/>
      <c r="AR179" s="400"/>
      <c r="AS179" s="400"/>
      <c r="AT179" s="400"/>
      <c r="AU179" s="400"/>
      <c r="AV179" s="400"/>
      <c r="AW179" s="400"/>
      <c r="AX179" s="520"/>
      <c r="AY179" s="400"/>
      <c r="AZ179" s="400"/>
      <c r="BA179" s="400"/>
      <c r="BB179" s="400"/>
      <c r="BC179" s="400"/>
      <c r="BD179" s="400"/>
      <c r="BE179" s="222"/>
      <c r="BF179" s="787"/>
      <c r="BG179" s="222"/>
      <c r="BH179" s="222"/>
      <c r="BI179" s="222"/>
      <c r="BJ179" s="222"/>
      <c r="BK179" s="222"/>
      <c r="BL179" s="222"/>
    </row>
    <row r="180" s="737" customFormat="true" ht="9.95" hidden="false" customHeight="true" outlineLevel="0" collapsed="false">
      <c r="B180" s="319"/>
      <c r="G180" s="319"/>
      <c r="I180" s="400"/>
      <c r="J180" s="520"/>
      <c r="K180" s="400"/>
      <c r="L180" s="400"/>
      <c r="M180" s="400"/>
      <c r="N180" s="400"/>
      <c r="O180" s="400"/>
      <c r="P180" s="400"/>
      <c r="Q180" s="1211"/>
      <c r="R180" s="1210"/>
      <c r="S180" s="1212"/>
      <c r="T180" s="1213"/>
      <c r="U180" s="1214"/>
      <c r="V180" s="1213"/>
      <c r="W180" s="1186"/>
      <c r="X180" s="1213"/>
      <c r="Y180" s="515"/>
      <c r="Z180" s="435"/>
      <c r="AA180" s="515"/>
      <c r="AB180" s="400"/>
      <c r="AC180" s="400"/>
      <c r="AD180" s="400"/>
      <c r="AE180" s="400"/>
      <c r="AF180" s="400"/>
      <c r="AG180" s="400"/>
      <c r="AH180" s="520"/>
      <c r="AI180" s="400"/>
      <c r="AJ180" s="400"/>
      <c r="AK180" s="400"/>
      <c r="AL180" s="400"/>
      <c r="AM180" s="400"/>
      <c r="AN180" s="400"/>
      <c r="AO180" s="400"/>
      <c r="AP180" s="520"/>
      <c r="AQ180" s="400"/>
      <c r="AR180" s="400"/>
      <c r="AS180" s="400"/>
      <c r="AT180" s="400"/>
      <c r="AU180" s="400"/>
      <c r="AV180" s="400"/>
      <c r="AW180" s="400"/>
      <c r="AX180" s="520"/>
      <c r="AY180" s="400"/>
      <c r="AZ180" s="400"/>
      <c r="BA180" s="400"/>
      <c r="BB180" s="400"/>
      <c r="BC180" s="400"/>
      <c r="BD180" s="400"/>
      <c r="BE180" s="222"/>
      <c r="BF180" s="787"/>
      <c r="BG180" s="222"/>
      <c r="BH180" s="222"/>
      <c r="BI180" s="222"/>
      <c r="BJ180" s="222"/>
      <c r="BK180" s="222"/>
      <c r="BL180" s="222"/>
    </row>
    <row r="181" s="737" customFormat="true" ht="9.95" hidden="false" customHeight="true" outlineLevel="0" collapsed="false">
      <c r="B181" s="319"/>
      <c r="G181" s="319"/>
      <c r="I181" s="400"/>
      <c r="J181" s="520"/>
      <c r="K181" s="400"/>
      <c r="L181" s="400"/>
      <c r="M181" s="400"/>
      <c r="N181" s="400"/>
      <c r="O181" s="400"/>
      <c r="P181" s="400"/>
      <c r="Q181" s="1211"/>
      <c r="R181" s="1215"/>
      <c r="S181" s="1212"/>
      <c r="T181" s="515"/>
      <c r="U181" s="515"/>
      <c r="V181" s="515"/>
      <c r="W181" s="1151"/>
      <c r="X181" s="515"/>
      <c r="Y181" s="515"/>
      <c r="Z181" s="435"/>
      <c r="AA181" s="515"/>
      <c r="AB181" s="400"/>
      <c r="AC181" s="400"/>
      <c r="AD181" s="400"/>
      <c r="AE181" s="400"/>
      <c r="AF181" s="400"/>
      <c r="AG181" s="400"/>
      <c r="AH181" s="520"/>
      <c r="AI181" s="400"/>
      <c r="AJ181" s="400"/>
      <c r="AK181" s="400"/>
      <c r="AL181" s="400"/>
      <c r="AM181" s="400"/>
      <c r="AN181" s="400"/>
      <c r="AO181" s="400"/>
      <c r="AP181" s="520"/>
      <c r="AQ181" s="400"/>
      <c r="AR181" s="400"/>
      <c r="AS181" s="400"/>
      <c r="AT181" s="400"/>
      <c r="AU181" s="400"/>
      <c r="AV181" s="400"/>
      <c r="AW181" s="400"/>
      <c r="AX181" s="520"/>
      <c r="AY181" s="400"/>
      <c r="AZ181" s="400"/>
      <c r="BA181" s="400"/>
      <c r="BB181" s="400"/>
      <c r="BC181" s="400"/>
      <c r="BD181" s="400"/>
      <c r="BE181" s="222"/>
      <c r="BF181" s="787"/>
      <c r="BG181" s="222"/>
      <c r="BH181" s="222"/>
      <c r="BI181" s="222"/>
      <c r="BJ181" s="222"/>
      <c r="BK181" s="222"/>
      <c r="BL181" s="222"/>
    </row>
    <row r="182" s="737" customFormat="true" ht="9.95" hidden="false" customHeight="true" outlineLevel="0" collapsed="false">
      <c r="B182" s="319"/>
      <c r="G182" s="319"/>
      <c r="I182" s="400"/>
      <c r="J182" s="520"/>
      <c r="K182" s="400"/>
      <c r="L182" s="400"/>
      <c r="M182" s="400"/>
      <c r="N182" s="400"/>
      <c r="O182" s="400"/>
      <c r="P182" s="400"/>
      <c r="Q182" s="1211"/>
      <c r="R182" s="1210"/>
      <c r="S182" s="1212"/>
      <c r="T182" s="1213"/>
      <c r="U182" s="1214"/>
      <c r="V182" s="1213"/>
      <c r="W182" s="1186"/>
      <c r="X182" s="1213"/>
      <c r="Y182" s="515"/>
      <c r="Z182" s="435"/>
      <c r="AA182" s="515"/>
      <c r="AB182" s="400"/>
      <c r="AC182" s="400"/>
      <c r="AD182" s="400"/>
      <c r="AE182" s="400"/>
      <c r="AF182" s="400"/>
      <c r="AG182" s="400"/>
      <c r="AH182" s="520"/>
      <c r="AI182" s="400"/>
      <c r="AJ182" s="400"/>
      <c r="AK182" s="400"/>
      <c r="AL182" s="400"/>
      <c r="AM182" s="400"/>
      <c r="AN182" s="400"/>
      <c r="AO182" s="400"/>
      <c r="AP182" s="520"/>
      <c r="AQ182" s="400"/>
      <c r="AR182" s="400"/>
      <c r="AS182" s="400"/>
      <c r="AT182" s="400"/>
      <c r="AU182" s="400"/>
      <c r="AV182" s="400"/>
      <c r="AW182" s="400"/>
      <c r="AX182" s="520"/>
      <c r="AY182" s="400"/>
      <c r="AZ182" s="400"/>
      <c r="BA182" s="400"/>
      <c r="BB182" s="400"/>
      <c r="BC182" s="400"/>
      <c r="BD182" s="400"/>
      <c r="BE182" s="222"/>
      <c r="BF182" s="787"/>
      <c r="BG182" s="222"/>
      <c r="BH182" s="222"/>
      <c r="BI182" s="222"/>
      <c r="BJ182" s="222"/>
      <c r="BK182" s="222"/>
      <c r="BL182" s="222"/>
    </row>
    <row r="183" s="737" customFormat="true" ht="10.5" hidden="false" customHeight="true" outlineLevel="0" collapsed="false">
      <c r="B183" s="319"/>
      <c r="G183" s="319"/>
      <c r="I183" s="400"/>
      <c r="J183" s="520"/>
      <c r="K183" s="400"/>
      <c r="L183" s="400"/>
      <c r="M183" s="400"/>
      <c r="N183" s="400"/>
      <c r="O183" s="400"/>
      <c r="P183" s="400"/>
      <c r="Q183" s="515"/>
      <c r="R183" s="435"/>
      <c r="S183" s="515"/>
      <c r="T183" s="515"/>
      <c r="U183" s="515"/>
      <c r="V183" s="515"/>
      <c r="W183" s="1151"/>
      <c r="X183" s="515"/>
      <c r="Y183" s="515"/>
      <c r="Z183" s="435"/>
      <c r="AA183" s="515"/>
      <c r="AB183" s="400"/>
      <c r="AC183" s="400"/>
      <c r="AD183" s="400"/>
      <c r="AE183" s="400"/>
      <c r="AF183" s="400"/>
      <c r="AG183" s="400"/>
      <c r="AH183" s="520"/>
      <c r="AI183" s="400"/>
      <c r="AJ183" s="400"/>
      <c r="AK183" s="400"/>
      <c r="AL183" s="400"/>
      <c r="AM183" s="400"/>
      <c r="AN183" s="400"/>
      <c r="AO183" s="400"/>
      <c r="AP183" s="520"/>
      <c r="AQ183" s="400"/>
      <c r="AR183" s="400"/>
      <c r="AS183" s="400"/>
      <c r="AT183" s="400"/>
      <c r="AU183" s="400"/>
      <c r="AV183" s="400"/>
      <c r="AW183" s="400"/>
      <c r="AX183" s="520"/>
      <c r="AY183" s="400"/>
      <c r="AZ183" s="400"/>
      <c r="BA183" s="400"/>
      <c r="BB183" s="400"/>
      <c r="BC183" s="400"/>
      <c r="BD183" s="400"/>
      <c r="BE183" s="400"/>
      <c r="BF183" s="520"/>
      <c r="BG183" s="400"/>
      <c r="BH183" s="400"/>
      <c r="BI183" s="400"/>
      <c r="BJ183" s="400"/>
      <c r="BK183" s="400"/>
      <c r="BL183" s="400"/>
    </row>
    <row r="184" s="737" customFormat="true" ht="10.5" hidden="false" customHeight="true" outlineLevel="0" collapsed="false">
      <c r="B184" s="319"/>
      <c r="G184" s="319"/>
      <c r="I184" s="400"/>
      <c r="J184" s="520"/>
      <c r="K184" s="400"/>
      <c r="L184" s="400"/>
      <c r="M184" s="400"/>
      <c r="N184" s="400"/>
      <c r="O184" s="400"/>
      <c r="P184" s="400"/>
      <c r="Q184" s="400"/>
      <c r="R184" s="520"/>
      <c r="S184" s="400"/>
      <c r="T184" s="400"/>
      <c r="U184" s="400"/>
      <c r="V184" s="400"/>
      <c r="W184" s="367"/>
      <c r="X184" s="400"/>
      <c r="Y184" s="400"/>
      <c r="Z184" s="520"/>
      <c r="AA184" s="400"/>
      <c r="AB184" s="400"/>
      <c r="AC184" s="400"/>
      <c r="AD184" s="400"/>
      <c r="AE184" s="400"/>
      <c r="AF184" s="400"/>
      <c r="AG184" s="400"/>
      <c r="AH184" s="520"/>
      <c r="AI184" s="400"/>
      <c r="AJ184" s="400"/>
      <c r="AK184" s="400"/>
      <c r="AL184" s="400"/>
      <c r="AM184" s="400"/>
      <c r="AN184" s="400"/>
      <c r="AO184" s="400"/>
      <c r="AP184" s="520"/>
      <c r="AQ184" s="400"/>
      <c r="AR184" s="400"/>
      <c r="AS184" s="400"/>
      <c r="AT184" s="400"/>
      <c r="AU184" s="400"/>
      <c r="AV184" s="400"/>
      <c r="AW184" s="400"/>
      <c r="AX184" s="520"/>
      <c r="AY184" s="400"/>
      <c r="AZ184" s="400"/>
      <c r="BA184" s="400"/>
      <c r="BB184" s="400"/>
      <c r="BC184" s="400"/>
      <c r="BD184" s="400"/>
      <c r="BE184" s="400"/>
      <c r="BF184" s="520"/>
      <c r="BG184" s="400"/>
      <c r="BH184" s="400"/>
      <c r="BI184" s="400"/>
      <c r="BJ184" s="400"/>
      <c r="BK184" s="400"/>
      <c r="BL184" s="400"/>
    </row>
    <row r="185" s="737" customFormat="true" ht="10.5" hidden="false" customHeight="true" outlineLevel="0" collapsed="false">
      <c r="B185" s="319"/>
      <c r="G185" s="319"/>
      <c r="I185" s="400"/>
      <c r="J185" s="520"/>
      <c r="K185" s="400"/>
      <c r="L185" s="400"/>
      <c r="M185" s="400"/>
      <c r="N185" s="400"/>
      <c r="O185" s="400"/>
      <c r="P185" s="400"/>
      <c r="Q185" s="400"/>
      <c r="R185" s="520"/>
      <c r="S185" s="400"/>
      <c r="T185" s="400"/>
      <c r="U185" s="400"/>
      <c r="V185" s="400"/>
      <c r="W185" s="367"/>
      <c r="X185" s="400"/>
      <c r="Y185" s="400"/>
      <c r="Z185" s="520"/>
      <c r="AA185" s="400"/>
      <c r="AB185" s="400"/>
      <c r="AC185" s="400"/>
      <c r="AD185" s="400"/>
      <c r="AE185" s="400"/>
      <c r="AF185" s="400"/>
      <c r="AG185" s="400"/>
      <c r="AH185" s="520"/>
      <c r="AI185" s="400"/>
      <c r="AJ185" s="400"/>
      <c r="AK185" s="400"/>
      <c r="AL185" s="400"/>
      <c r="AM185" s="400"/>
      <c r="AN185" s="400"/>
      <c r="AO185" s="400"/>
      <c r="AP185" s="520"/>
      <c r="AQ185" s="400"/>
      <c r="AR185" s="400"/>
      <c r="AS185" s="400"/>
      <c r="AT185" s="400"/>
      <c r="AU185" s="400"/>
      <c r="AV185" s="400"/>
      <c r="AW185" s="400"/>
      <c r="AX185" s="520"/>
      <c r="AY185" s="400"/>
      <c r="AZ185" s="400"/>
      <c r="BA185" s="400"/>
      <c r="BB185" s="400"/>
      <c r="BC185" s="400"/>
      <c r="BD185" s="400"/>
      <c r="BE185" s="400"/>
      <c r="BF185" s="520"/>
      <c r="BG185" s="400"/>
      <c r="BH185" s="400"/>
      <c r="BI185" s="400"/>
      <c r="BJ185" s="400"/>
      <c r="BK185" s="400"/>
      <c r="BL185" s="400"/>
    </row>
    <row r="186" s="737" customFormat="true" ht="10.5" hidden="false" customHeight="true" outlineLevel="0" collapsed="false">
      <c r="B186" s="319"/>
      <c r="G186" s="319"/>
      <c r="I186" s="400"/>
      <c r="J186" s="520"/>
      <c r="K186" s="400"/>
      <c r="L186" s="400"/>
      <c r="M186" s="400"/>
      <c r="N186" s="400"/>
      <c r="O186" s="400"/>
      <c r="P186" s="400"/>
      <c r="Q186" s="400"/>
      <c r="R186" s="520"/>
      <c r="S186" s="400"/>
      <c r="T186" s="400"/>
      <c r="U186" s="400"/>
      <c r="V186" s="400"/>
      <c r="W186" s="367"/>
      <c r="X186" s="400"/>
      <c r="Y186" s="400"/>
      <c r="Z186" s="520"/>
      <c r="AA186" s="400"/>
      <c r="AB186" s="400"/>
      <c r="AC186" s="400"/>
      <c r="AD186" s="400"/>
      <c r="AE186" s="400"/>
      <c r="AF186" s="400"/>
      <c r="AG186" s="400"/>
      <c r="AH186" s="520"/>
      <c r="AI186" s="400"/>
      <c r="AJ186" s="400"/>
      <c r="AK186" s="400"/>
      <c r="AL186" s="400"/>
      <c r="AM186" s="400"/>
      <c r="AN186" s="400"/>
      <c r="AO186" s="400"/>
      <c r="AP186" s="520"/>
      <c r="AQ186" s="400"/>
      <c r="AR186" s="400"/>
      <c r="AS186" s="400"/>
      <c r="AT186" s="400"/>
      <c r="AU186" s="400"/>
      <c r="AV186" s="400"/>
      <c r="AW186" s="400"/>
      <c r="AX186" s="520"/>
      <c r="AY186" s="400"/>
      <c r="AZ186" s="400"/>
      <c r="BA186" s="400"/>
      <c r="BB186" s="400"/>
      <c r="BC186" s="400"/>
      <c r="BD186" s="400"/>
      <c r="BE186" s="400"/>
      <c r="BF186" s="520"/>
      <c r="BG186" s="400"/>
      <c r="BH186" s="400"/>
      <c r="BI186" s="400"/>
      <c r="BJ186" s="400"/>
      <c r="BK186" s="400"/>
      <c r="BL186" s="400"/>
    </row>
    <row r="187" s="737" customFormat="true" ht="10.5" hidden="false" customHeight="true" outlineLevel="0" collapsed="false">
      <c r="B187" s="319"/>
      <c r="G187" s="319"/>
      <c r="I187" s="400"/>
      <c r="J187" s="520"/>
      <c r="K187" s="400"/>
      <c r="L187" s="400"/>
      <c r="M187" s="400"/>
      <c r="N187" s="400"/>
      <c r="O187" s="400"/>
      <c r="P187" s="400"/>
      <c r="Q187" s="400"/>
      <c r="R187" s="520"/>
      <c r="S187" s="400"/>
      <c r="T187" s="400"/>
      <c r="U187" s="400"/>
      <c r="V187" s="400"/>
      <c r="W187" s="367"/>
      <c r="X187" s="400"/>
      <c r="Y187" s="400"/>
      <c r="Z187" s="520"/>
      <c r="AA187" s="400"/>
      <c r="AB187" s="400"/>
      <c r="AC187" s="400"/>
      <c r="AD187" s="400"/>
      <c r="AE187" s="400"/>
      <c r="AF187" s="400"/>
      <c r="AG187" s="400"/>
      <c r="AH187" s="520"/>
      <c r="AI187" s="400"/>
      <c r="AJ187" s="400"/>
      <c r="AK187" s="400"/>
      <c r="AL187" s="400"/>
      <c r="AM187" s="400"/>
      <c r="AN187" s="400"/>
      <c r="AO187" s="400"/>
      <c r="AP187" s="520"/>
      <c r="AQ187" s="400"/>
      <c r="AR187" s="400"/>
      <c r="AS187" s="400"/>
      <c r="AT187" s="400"/>
      <c r="AU187" s="400"/>
      <c r="AV187" s="400"/>
      <c r="AW187" s="400"/>
      <c r="AX187" s="520"/>
      <c r="AY187" s="400"/>
      <c r="AZ187" s="400"/>
      <c r="BA187" s="400"/>
      <c r="BB187" s="400"/>
      <c r="BC187" s="400"/>
      <c r="BD187" s="400"/>
      <c r="BE187" s="400"/>
      <c r="BF187" s="520"/>
      <c r="BG187" s="400"/>
      <c r="BH187" s="400"/>
      <c r="BI187" s="400"/>
      <c r="BJ187" s="400"/>
      <c r="BK187" s="400"/>
      <c r="BL187" s="400"/>
    </row>
    <row r="188" s="737" customFormat="true" ht="10.5" hidden="false" customHeight="true" outlineLevel="0" collapsed="false">
      <c r="B188" s="319"/>
      <c r="G188" s="319"/>
      <c r="I188" s="400"/>
      <c r="J188" s="520"/>
      <c r="K188" s="400"/>
      <c r="L188" s="400"/>
      <c r="M188" s="400"/>
      <c r="N188" s="400"/>
      <c r="O188" s="400"/>
      <c r="P188" s="400"/>
      <c r="Q188" s="400"/>
      <c r="R188" s="520"/>
      <c r="S188" s="400"/>
      <c r="T188" s="400"/>
      <c r="U188" s="400"/>
      <c r="V188" s="400"/>
      <c r="W188" s="367"/>
      <c r="X188" s="400"/>
      <c r="Y188" s="400"/>
      <c r="Z188" s="520"/>
      <c r="AA188" s="400"/>
      <c r="AB188" s="400"/>
      <c r="AC188" s="400"/>
      <c r="AD188" s="400"/>
      <c r="AE188" s="400"/>
      <c r="AF188" s="400"/>
      <c r="AG188" s="400"/>
      <c r="AH188" s="520"/>
      <c r="AI188" s="400"/>
      <c r="AJ188" s="400"/>
      <c r="AK188" s="400"/>
      <c r="AL188" s="400"/>
      <c r="AM188" s="400"/>
      <c r="AN188" s="400"/>
      <c r="AO188" s="400"/>
      <c r="AP188" s="520"/>
      <c r="AQ188" s="400"/>
      <c r="AR188" s="400"/>
      <c r="AS188" s="400"/>
      <c r="AT188" s="400"/>
      <c r="AU188" s="400"/>
      <c r="AV188" s="400"/>
      <c r="AW188" s="868"/>
      <c r="AX188" s="520"/>
      <c r="AY188" s="400"/>
      <c r="AZ188" s="400"/>
      <c r="BA188" s="400"/>
      <c r="BB188" s="400"/>
      <c r="BC188" s="400"/>
      <c r="BD188" s="400"/>
      <c r="BE188" s="400"/>
      <c r="BF188" s="520"/>
      <c r="BG188" s="400"/>
      <c r="BH188" s="400"/>
      <c r="BI188" s="400"/>
      <c r="BJ188" s="400"/>
      <c r="BK188" s="400"/>
      <c r="BL188" s="400"/>
    </row>
    <row r="189" s="737" customFormat="true" ht="9.2" hidden="false" customHeight="true" outlineLevel="0" collapsed="false">
      <c r="B189" s="319"/>
      <c r="G189" s="319"/>
      <c r="I189" s="400"/>
      <c r="J189" s="520"/>
      <c r="K189" s="400"/>
      <c r="L189" s="400"/>
      <c r="M189" s="400"/>
      <c r="N189" s="400"/>
      <c r="O189" s="400"/>
      <c r="P189" s="400"/>
      <c r="Q189" s="515"/>
      <c r="R189" s="520"/>
      <c r="S189" s="1212"/>
      <c r="T189" s="1216"/>
      <c r="U189" s="1217"/>
      <c r="V189" s="1216"/>
      <c r="W189" s="1186"/>
      <c r="X189" s="1213"/>
      <c r="Y189" s="400"/>
      <c r="Z189" s="520"/>
      <c r="AA189" s="400"/>
      <c r="AB189" s="400"/>
      <c r="AC189" s="400"/>
      <c r="AD189" s="400"/>
      <c r="AE189" s="400"/>
      <c r="AF189" s="400"/>
      <c r="AG189" s="400"/>
      <c r="AH189" s="520"/>
      <c r="AI189" s="400"/>
      <c r="AJ189" s="400"/>
      <c r="AK189" s="400"/>
      <c r="AL189" s="400"/>
      <c r="AM189" s="400"/>
      <c r="AN189" s="400"/>
      <c r="AO189" s="400"/>
      <c r="AP189" s="520"/>
      <c r="AQ189" s="400"/>
      <c r="AR189" s="400"/>
      <c r="AS189" s="400"/>
      <c r="AT189" s="400"/>
      <c r="AU189" s="400"/>
      <c r="AV189" s="400"/>
      <c r="AW189" s="868"/>
      <c r="AX189" s="1218"/>
      <c r="AY189" s="868"/>
      <c r="AZ189" s="868"/>
      <c r="BA189" s="868"/>
      <c r="BB189" s="868"/>
      <c r="BC189" s="868"/>
      <c r="BD189" s="868"/>
      <c r="BE189" s="400"/>
      <c r="BF189" s="520"/>
      <c r="BG189" s="400"/>
      <c r="BH189" s="400"/>
      <c r="BI189" s="400"/>
      <c r="BJ189" s="400"/>
      <c r="BK189" s="400"/>
      <c r="BL189" s="400"/>
    </row>
    <row r="190" s="735" customFormat="true" ht="9.2" hidden="false" customHeight="true" outlineLevel="0" collapsed="false">
      <c r="B190" s="319"/>
      <c r="G190" s="319"/>
      <c r="I190" s="868"/>
      <c r="J190" s="1218"/>
      <c r="K190" s="868"/>
      <c r="L190" s="868"/>
      <c r="M190" s="868"/>
      <c r="N190" s="868"/>
      <c r="O190" s="868"/>
      <c r="P190" s="868"/>
      <c r="Q190" s="868"/>
      <c r="R190" s="520"/>
      <c r="S190" s="868"/>
      <c r="T190" s="868"/>
      <c r="U190" s="868"/>
      <c r="V190" s="868"/>
      <c r="W190" s="367"/>
      <c r="X190" s="868"/>
      <c r="Y190" s="868"/>
      <c r="Z190" s="1218"/>
      <c r="AA190" s="868"/>
      <c r="AB190" s="868"/>
      <c r="AC190" s="868"/>
      <c r="AD190" s="868"/>
      <c r="AE190" s="868"/>
      <c r="AF190" s="868"/>
      <c r="AG190" s="868"/>
      <c r="AH190" s="1218"/>
      <c r="AI190" s="868"/>
      <c r="AJ190" s="868"/>
      <c r="AK190" s="868"/>
      <c r="AL190" s="868"/>
      <c r="AM190" s="868"/>
      <c r="AN190" s="868"/>
      <c r="AO190" s="868"/>
      <c r="AP190" s="1218"/>
      <c r="AQ190" s="868"/>
      <c r="AR190" s="868"/>
      <c r="AS190" s="868"/>
      <c r="AT190" s="868"/>
      <c r="AU190" s="868"/>
      <c r="AV190" s="868"/>
      <c r="AW190" s="868"/>
      <c r="AX190" s="1218"/>
      <c r="AY190" s="868"/>
      <c r="AZ190" s="868"/>
      <c r="BA190" s="868"/>
      <c r="BB190" s="868"/>
      <c r="BC190" s="868"/>
      <c r="BD190" s="868"/>
      <c r="BE190" s="400"/>
      <c r="BF190" s="520"/>
      <c r="BG190" s="400"/>
      <c r="BH190" s="400"/>
      <c r="BI190" s="400"/>
      <c r="BJ190" s="400"/>
      <c r="BK190" s="400"/>
      <c r="BL190" s="400"/>
    </row>
    <row r="191" s="735" customFormat="true" ht="9.2" hidden="false" customHeight="true" outlineLevel="0" collapsed="false">
      <c r="B191" s="319"/>
      <c r="G191" s="319"/>
      <c r="I191" s="868"/>
      <c r="J191" s="1218"/>
      <c r="K191" s="868"/>
      <c r="L191" s="868"/>
      <c r="M191" s="868"/>
      <c r="N191" s="868"/>
      <c r="O191" s="868"/>
      <c r="P191" s="868"/>
      <c r="Q191" s="868"/>
      <c r="R191" s="520"/>
      <c r="S191" s="868"/>
      <c r="T191" s="868"/>
      <c r="U191" s="868"/>
      <c r="V191" s="868"/>
      <c r="W191" s="367"/>
      <c r="X191" s="868"/>
      <c r="Y191" s="868"/>
      <c r="Z191" s="1218"/>
      <c r="AA191" s="868"/>
      <c r="AB191" s="868"/>
      <c r="AC191" s="868"/>
      <c r="AD191" s="868"/>
      <c r="AE191" s="868"/>
      <c r="AF191" s="868"/>
      <c r="AG191" s="868"/>
      <c r="AH191" s="1218"/>
      <c r="AI191" s="868"/>
      <c r="AJ191" s="868"/>
      <c r="AK191" s="868"/>
      <c r="AL191" s="868"/>
      <c r="AM191" s="868"/>
      <c r="AN191" s="868"/>
      <c r="AO191" s="868"/>
      <c r="AP191" s="1218"/>
      <c r="AQ191" s="868"/>
      <c r="AR191" s="868"/>
      <c r="AS191" s="868"/>
      <c r="AT191" s="868"/>
      <c r="AU191" s="868"/>
      <c r="AV191" s="868"/>
      <c r="AW191" s="367"/>
      <c r="AX191" s="1218"/>
      <c r="AY191" s="868"/>
      <c r="AZ191" s="868"/>
      <c r="BA191" s="868"/>
      <c r="BB191" s="868"/>
      <c r="BC191" s="868"/>
      <c r="BD191" s="868"/>
      <c r="BE191" s="400"/>
      <c r="BF191" s="520"/>
      <c r="BG191" s="400"/>
      <c r="BH191" s="400"/>
      <c r="BI191" s="400"/>
      <c r="BJ191" s="400"/>
      <c r="BK191" s="400"/>
      <c r="BL191" s="400"/>
    </row>
    <row r="192" s="735" customFormat="true" ht="8.45" hidden="false" customHeight="true" outlineLevel="0" collapsed="false">
      <c r="B192" s="319"/>
      <c r="G192" s="319"/>
      <c r="I192" s="868"/>
      <c r="J192" s="1218"/>
      <c r="K192" s="868"/>
      <c r="L192" s="868"/>
      <c r="M192" s="868"/>
      <c r="N192" s="868"/>
      <c r="O192" s="868"/>
      <c r="P192" s="868"/>
      <c r="Q192" s="868"/>
      <c r="R192" s="520"/>
      <c r="S192" s="868"/>
      <c r="T192" s="868"/>
      <c r="U192" s="868"/>
      <c r="V192" s="868"/>
      <c r="W192" s="367"/>
      <c r="X192" s="868"/>
      <c r="Y192" s="868"/>
      <c r="Z192" s="1218"/>
      <c r="AA192" s="868"/>
      <c r="AB192" s="868"/>
      <c r="AC192" s="868"/>
      <c r="AD192" s="868"/>
      <c r="AE192" s="868"/>
      <c r="AF192" s="868"/>
      <c r="AG192" s="868"/>
      <c r="AH192" s="1218"/>
      <c r="AI192" s="868"/>
      <c r="AJ192" s="868"/>
      <c r="AK192" s="868"/>
      <c r="AL192" s="868"/>
      <c r="AM192" s="868"/>
      <c r="AN192" s="868"/>
      <c r="AO192" s="868"/>
      <c r="AP192" s="1218"/>
      <c r="AQ192" s="868"/>
      <c r="AR192" s="868"/>
      <c r="AS192" s="868"/>
      <c r="AT192" s="868"/>
      <c r="AU192" s="868"/>
      <c r="AV192" s="868"/>
      <c r="AW192" s="367"/>
      <c r="AX192" s="1194"/>
      <c r="AY192" s="367"/>
      <c r="AZ192" s="367"/>
      <c r="BA192" s="367"/>
      <c r="BB192" s="367"/>
      <c r="BC192" s="367"/>
      <c r="BD192" s="367"/>
      <c r="BE192" s="400"/>
      <c r="BF192" s="520"/>
      <c r="BG192" s="400"/>
      <c r="BH192" s="400"/>
      <c r="BI192" s="400"/>
      <c r="BJ192" s="400"/>
      <c r="BK192" s="400"/>
      <c r="BL192" s="400"/>
    </row>
    <row r="193" s="319" customFormat="true" ht="8.45" hidden="false" customHeight="true" outlineLevel="0" collapsed="false">
      <c r="I193" s="367"/>
      <c r="J193" s="1194"/>
      <c r="K193" s="367"/>
      <c r="L193" s="367"/>
      <c r="M193" s="367"/>
      <c r="N193" s="367"/>
      <c r="O193" s="367"/>
      <c r="P193" s="367"/>
      <c r="Q193" s="367"/>
      <c r="R193" s="520"/>
      <c r="S193" s="367"/>
      <c r="T193" s="367"/>
      <c r="U193" s="367"/>
      <c r="V193" s="367"/>
      <c r="W193" s="367"/>
      <c r="X193" s="367"/>
      <c r="Y193" s="367"/>
      <c r="Z193" s="1194"/>
      <c r="AA193" s="367"/>
      <c r="AB193" s="367"/>
      <c r="AC193" s="367"/>
      <c r="AD193" s="367"/>
      <c r="AE193" s="367"/>
      <c r="AF193" s="367"/>
      <c r="AG193" s="367"/>
      <c r="AH193" s="1194"/>
      <c r="AI193" s="367"/>
      <c r="AJ193" s="367"/>
      <c r="AK193" s="367"/>
      <c r="AL193" s="367"/>
      <c r="AM193" s="367"/>
      <c r="AN193" s="367"/>
      <c r="AO193" s="367"/>
      <c r="AP193" s="1194"/>
      <c r="AQ193" s="367"/>
      <c r="AR193" s="367"/>
      <c r="AS193" s="367"/>
      <c r="AT193" s="367"/>
      <c r="AU193" s="367"/>
      <c r="AV193" s="367"/>
      <c r="AW193" s="367"/>
      <c r="AX193" s="1194"/>
      <c r="AY193" s="367"/>
      <c r="AZ193" s="367"/>
      <c r="BA193" s="367"/>
      <c r="BB193" s="367"/>
      <c r="BC193" s="367"/>
      <c r="BD193" s="367"/>
      <c r="BE193" s="400"/>
      <c r="BF193" s="520"/>
      <c r="BG193" s="400"/>
      <c r="BH193" s="400"/>
      <c r="BI193" s="400"/>
      <c r="BJ193" s="400"/>
      <c r="BK193" s="400"/>
      <c r="BL193" s="400"/>
    </row>
    <row r="194" s="319" customFormat="true" ht="8.45" hidden="false" customHeight="true" outlineLevel="0" collapsed="false">
      <c r="I194" s="367"/>
      <c r="J194" s="1194"/>
      <c r="K194" s="367"/>
      <c r="L194" s="367"/>
      <c r="M194" s="367"/>
      <c r="N194" s="367"/>
      <c r="O194" s="367"/>
      <c r="P194" s="367"/>
      <c r="Q194" s="367"/>
      <c r="R194" s="520"/>
      <c r="S194" s="367"/>
      <c r="T194" s="367"/>
      <c r="U194" s="367"/>
      <c r="V194" s="367"/>
      <c r="W194" s="367"/>
      <c r="X194" s="367"/>
      <c r="Y194" s="367"/>
      <c r="Z194" s="1194"/>
      <c r="AA194" s="367"/>
      <c r="AB194" s="367"/>
      <c r="AC194" s="367"/>
      <c r="AD194" s="367"/>
      <c r="AE194" s="367"/>
      <c r="AF194" s="367"/>
      <c r="AG194" s="367"/>
      <c r="AH194" s="1194"/>
      <c r="AI194" s="367"/>
      <c r="AJ194" s="367"/>
      <c r="AK194" s="367"/>
      <c r="AL194" s="367"/>
      <c r="AM194" s="367"/>
      <c r="AN194" s="367"/>
      <c r="AO194" s="367"/>
      <c r="AP194" s="1194"/>
      <c r="AQ194" s="367"/>
      <c r="AR194" s="367"/>
      <c r="AS194" s="367"/>
      <c r="AT194" s="367"/>
      <c r="AU194" s="367"/>
      <c r="AV194" s="367"/>
      <c r="AW194" s="367"/>
      <c r="AX194" s="1194"/>
      <c r="AY194" s="367"/>
      <c r="AZ194" s="367"/>
      <c r="BA194" s="367"/>
      <c r="BB194" s="367"/>
      <c r="BC194" s="367"/>
      <c r="BD194" s="367"/>
      <c r="BE194" s="868"/>
      <c r="BF194" s="1218"/>
      <c r="BG194" s="868"/>
      <c r="BH194" s="868"/>
      <c r="BI194" s="868"/>
      <c r="BJ194" s="868"/>
      <c r="BK194" s="868"/>
      <c r="BL194" s="868"/>
    </row>
    <row r="195" s="319" customFormat="true" ht="8.45" hidden="false" customHeight="true" outlineLevel="0" collapsed="false">
      <c r="I195" s="367"/>
      <c r="J195" s="1194"/>
      <c r="K195" s="367"/>
      <c r="L195" s="367"/>
      <c r="M195" s="367"/>
      <c r="N195" s="367"/>
      <c r="O195" s="367"/>
      <c r="P195" s="367"/>
      <c r="Q195" s="367"/>
      <c r="R195" s="520"/>
      <c r="S195" s="367"/>
      <c r="T195" s="367"/>
      <c r="U195" s="367"/>
      <c r="V195" s="367"/>
      <c r="W195" s="367"/>
      <c r="X195" s="367"/>
      <c r="Y195" s="367"/>
      <c r="Z195" s="1194"/>
      <c r="AA195" s="367"/>
      <c r="AB195" s="367"/>
      <c r="AC195" s="367"/>
      <c r="AD195" s="367"/>
      <c r="AE195" s="367"/>
      <c r="AF195" s="367"/>
      <c r="AG195" s="367"/>
      <c r="AH195" s="1194"/>
      <c r="AI195" s="367"/>
      <c r="AJ195" s="367"/>
      <c r="AK195" s="367"/>
      <c r="AL195" s="367"/>
      <c r="AM195" s="367"/>
      <c r="AN195" s="367"/>
      <c r="AO195" s="367"/>
      <c r="AP195" s="1194"/>
      <c r="AQ195" s="367"/>
      <c r="AR195" s="367"/>
      <c r="AS195" s="367"/>
      <c r="AT195" s="367"/>
      <c r="AU195" s="367"/>
      <c r="AV195" s="367"/>
      <c r="AW195" s="367"/>
      <c r="AX195" s="1194"/>
      <c r="AY195" s="367"/>
      <c r="AZ195" s="367"/>
      <c r="BA195" s="367"/>
      <c r="BB195" s="367"/>
      <c r="BC195" s="367"/>
      <c r="BD195" s="367"/>
      <c r="BE195" s="868"/>
      <c r="BF195" s="1218"/>
      <c r="BG195" s="868"/>
      <c r="BH195" s="868"/>
      <c r="BI195" s="868"/>
      <c r="BJ195" s="868"/>
      <c r="BK195" s="868"/>
      <c r="BL195" s="868"/>
    </row>
    <row r="196" s="319" customFormat="true" ht="8.45" hidden="false" customHeight="true" outlineLevel="0" collapsed="false">
      <c r="I196" s="367"/>
      <c r="J196" s="1194"/>
      <c r="K196" s="367"/>
      <c r="L196" s="367"/>
      <c r="M196" s="367"/>
      <c r="N196" s="367"/>
      <c r="O196" s="367"/>
      <c r="P196" s="367"/>
      <c r="Q196" s="367"/>
      <c r="R196" s="520"/>
      <c r="S196" s="367"/>
      <c r="T196" s="367"/>
      <c r="U196" s="367"/>
      <c r="V196" s="367"/>
      <c r="W196" s="367"/>
      <c r="X196" s="367"/>
      <c r="Y196" s="367"/>
      <c r="Z196" s="1194"/>
      <c r="AA196" s="367"/>
      <c r="AB196" s="367"/>
      <c r="AC196" s="367"/>
      <c r="AD196" s="367"/>
      <c r="AE196" s="367"/>
      <c r="AF196" s="367"/>
      <c r="AG196" s="367"/>
      <c r="AH196" s="1194"/>
      <c r="AI196" s="367"/>
      <c r="AJ196" s="367"/>
      <c r="AK196" s="367"/>
      <c r="AL196" s="367"/>
      <c r="AM196" s="367"/>
      <c r="AN196" s="367"/>
      <c r="AO196" s="367"/>
      <c r="AP196" s="1194"/>
      <c r="AQ196" s="367"/>
      <c r="AR196" s="367"/>
      <c r="AS196" s="367"/>
      <c r="AT196" s="367"/>
      <c r="AU196" s="367"/>
      <c r="AV196" s="367"/>
      <c r="AW196" s="367"/>
      <c r="AX196" s="1194"/>
      <c r="AY196" s="367"/>
      <c r="AZ196" s="367"/>
      <c r="BA196" s="367"/>
      <c r="BB196" s="367"/>
      <c r="BC196" s="367"/>
      <c r="BD196" s="367"/>
      <c r="BE196" s="868"/>
      <c r="BF196" s="1218"/>
      <c r="BG196" s="868"/>
      <c r="BH196" s="868"/>
      <c r="BI196" s="868"/>
      <c r="BJ196" s="868"/>
      <c r="BK196" s="868"/>
      <c r="BL196" s="868"/>
    </row>
    <row r="197" s="319" customFormat="true" ht="8.45" hidden="false" customHeight="true" outlineLevel="0" collapsed="false">
      <c r="I197" s="367"/>
      <c r="J197" s="1194"/>
      <c r="K197" s="367"/>
      <c r="L197" s="367"/>
      <c r="M197" s="367"/>
      <c r="N197" s="367"/>
      <c r="O197" s="367"/>
      <c r="P197" s="367"/>
      <c r="Q197" s="367"/>
      <c r="R197" s="520"/>
      <c r="S197" s="367"/>
      <c r="T197" s="367"/>
      <c r="U197" s="367"/>
      <c r="V197" s="367"/>
      <c r="W197" s="367"/>
      <c r="X197" s="367"/>
      <c r="Y197" s="367"/>
      <c r="Z197" s="1194"/>
      <c r="AA197" s="367"/>
      <c r="AB197" s="367"/>
      <c r="AC197" s="367"/>
      <c r="AD197" s="367"/>
      <c r="AE197" s="367"/>
      <c r="AF197" s="367"/>
      <c r="AG197" s="367"/>
      <c r="AH197" s="1194"/>
      <c r="AI197" s="367"/>
      <c r="AJ197" s="367"/>
      <c r="AK197" s="367"/>
      <c r="AL197" s="367"/>
      <c r="AM197" s="367"/>
      <c r="AN197" s="367"/>
      <c r="AO197" s="367"/>
      <c r="AP197" s="1194"/>
      <c r="AQ197" s="367"/>
      <c r="AR197" s="367"/>
      <c r="AS197" s="367"/>
      <c r="AT197" s="367"/>
      <c r="AU197" s="367"/>
      <c r="AV197" s="367"/>
      <c r="AW197" s="367"/>
      <c r="AX197" s="1194"/>
      <c r="AY197" s="367"/>
      <c r="AZ197" s="367"/>
      <c r="BA197" s="367"/>
      <c r="BB197" s="367"/>
      <c r="BC197" s="367"/>
      <c r="BD197" s="367"/>
      <c r="BE197" s="367"/>
      <c r="BF197" s="1194"/>
      <c r="BG197" s="367"/>
      <c r="BH197" s="367"/>
      <c r="BI197" s="367"/>
      <c r="BJ197" s="367"/>
      <c r="BK197" s="367"/>
      <c r="BL197" s="367"/>
    </row>
    <row r="198" s="319" customFormat="true" ht="8.45" hidden="false" customHeight="true" outlineLevel="0" collapsed="false">
      <c r="I198" s="367"/>
      <c r="J198" s="1194"/>
      <c r="K198" s="367"/>
      <c r="L198" s="367"/>
      <c r="M198" s="367"/>
      <c r="N198" s="367"/>
      <c r="O198" s="367"/>
      <c r="P198" s="367"/>
      <c r="Q198" s="367"/>
      <c r="R198" s="520"/>
      <c r="S198" s="367"/>
      <c r="T198" s="367"/>
      <c r="U198" s="367"/>
      <c r="V198" s="367"/>
      <c r="W198" s="367"/>
      <c r="X198" s="367"/>
      <c r="Y198" s="367"/>
      <c r="Z198" s="1194"/>
      <c r="AA198" s="367"/>
      <c r="AB198" s="367"/>
      <c r="AC198" s="367"/>
      <c r="AD198" s="367"/>
      <c r="AE198" s="367"/>
      <c r="AF198" s="367"/>
      <c r="AG198" s="367"/>
      <c r="AH198" s="1194"/>
      <c r="AI198" s="367"/>
      <c r="AJ198" s="367"/>
      <c r="AK198" s="367"/>
      <c r="AL198" s="367"/>
      <c r="AM198" s="367"/>
      <c r="AN198" s="367"/>
      <c r="AO198" s="367"/>
      <c r="AP198" s="1194"/>
      <c r="AQ198" s="367"/>
      <c r="AR198" s="367"/>
      <c r="AS198" s="367"/>
      <c r="AT198" s="367"/>
      <c r="AU198" s="367"/>
      <c r="AV198" s="367"/>
      <c r="AW198" s="367"/>
      <c r="AX198" s="1194"/>
      <c r="AY198" s="367"/>
      <c r="AZ198" s="367"/>
      <c r="BA198" s="367"/>
      <c r="BB198" s="367"/>
      <c r="BC198" s="367"/>
      <c r="BD198" s="367"/>
      <c r="BE198" s="367"/>
      <c r="BF198" s="1194"/>
      <c r="BG198" s="367"/>
      <c r="BH198" s="367"/>
      <c r="BI198" s="367"/>
      <c r="BJ198" s="367"/>
      <c r="BK198" s="367"/>
      <c r="BL198" s="367"/>
    </row>
    <row r="199" s="319" customFormat="true" ht="8.1" hidden="false" customHeight="true" outlineLevel="0" collapsed="false">
      <c r="I199" s="367"/>
      <c r="J199" s="1194"/>
      <c r="K199" s="367"/>
      <c r="L199" s="367"/>
      <c r="M199" s="367"/>
      <c r="N199" s="367"/>
      <c r="O199" s="367"/>
      <c r="P199" s="367"/>
      <c r="Q199" s="367"/>
      <c r="R199" s="520"/>
      <c r="S199" s="367"/>
      <c r="T199" s="367"/>
      <c r="U199" s="367"/>
      <c r="V199" s="367"/>
      <c r="W199" s="367"/>
      <c r="X199" s="367"/>
      <c r="Y199" s="367"/>
      <c r="Z199" s="1194"/>
      <c r="AA199" s="367"/>
      <c r="AB199" s="367"/>
      <c r="AC199" s="367"/>
      <c r="AD199" s="367"/>
      <c r="AE199" s="367"/>
      <c r="AF199" s="367"/>
      <c r="AG199" s="367"/>
      <c r="AH199" s="1194"/>
      <c r="AI199" s="367"/>
      <c r="AJ199" s="367"/>
      <c r="AK199" s="367"/>
      <c r="AL199" s="367"/>
      <c r="AM199" s="367"/>
      <c r="AN199" s="367"/>
      <c r="AO199" s="367"/>
      <c r="AP199" s="1194"/>
      <c r="AQ199" s="367"/>
      <c r="AR199" s="367"/>
      <c r="AS199" s="367"/>
      <c r="AT199" s="367"/>
      <c r="AU199" s="367"/>
      <c r="AV199" s="367"/>
      <c r="AW199" s="367"/>
      <c r="AX199" s="1194"/>
      <c r="AY199" s="367"/>
      <c r="AZ199" s="367"/>
      <c r="BA199" s="367"/>
      <c r="BB199" s="367"/>
      <c r="BC199" s="367"/>
      <c r="BD199" s="367"/>
      <c r="BE199" s="367"/>
      <c r="BF199" s="1194"/>
      <c r="BG199" s="367"/>
      <c r="BH199" s="367"/>
      <c r="BI199" s="367"/>
      <c r="BJ199" s="367"/>
      <c r="BK199" s="367"/>
      <c r="BL199" s="367"/>
    </row>
    <row r="200" s="319" customFormat="true" ht="8.1" hidden="false" customHeight="true" outlineLevel="0" collapsed="false">
      <c r="I200" s="367"/>
      <c r="J200" s="1194"/>
      <c r="K200" s="367"/>
      <c r="L200" s="367"/>
      <c r="M200" s="367"/>
      <c r="N200" s="367"/>
      <c r="O200" s="367"/>
      <c r="P200" s="367"/>
      <c r="Q200" s="367"/>
      <c r="R200" s="520"/>
      <c r="S200" s="367"/>
      <c r="T200" s="367"/>
      <c r="U200" s="367"/>
      <c r="V200" s="367"/>
      <c r="W200" s="367"/>
      <c r="X200" s="367"/>
      <c r="Y200" s="367"/>
      <c r="Z200" s="1194"/>
      <c r="AA200" s="367"/>
      <c r="AB200" s="367"/>
      <c r="AC200" s="367"/>
      <c r="AD200" s="367"/>
      <c r="AE200" s="367"/>
      <c r="AF200" s="367"/>
      <c r="AG200" s="367"/>
      <c r="AH200" s="1194"/>
      <c r="AI200" s="367"/>
      <c r="AJ200" s="367"/>
      <c r="AK200" s="367"/>
      <c r="AL200" s="367"/>
      <c r="AM200" s="367"/>
      <c r="AN200" s="367"/>
      <c r="AO200" s="367"/>
      <c r="AP200" s="1194"/>
      <c r="AQ200" s="367"/>
      <c r="AR200" s="367"/>
      <c r="AS200" s="367"/>
      <c r="AT200" s="367"/>
      <c r="AU200" s="367"/>
      <c r="AV200" s="367"/>
      <c r="AW200" s="367"/>
      <c r="AX200" s="1194"/>
      <c r="AY200" s="367"/>
      <c r="AZ200" s="367"/>
      <c r="BA200" s="367"/>
      <c r="BB200" s="367"/>
      <c r="BC200" s="367"/>
      <c r="BD200" s="367"/>
      <c r="BE200" s="367"/>
      <c r="BF200" s="1194"/>
      <c r="BG200" s="367"/>
      <c r="BH200" s="367"/>
      <c r="BI200" s="367"/>
      <c r="BJ200" s="367"/>
      <c r="BK200" s="367"/>
      <c r="BL200" s="367"/>
    </row>
    <row r="201" s="319" customFormat="true" ht="8.1" hidden="false" customHeight="true" outlineLevel="0" collapsed="false">
      <c r="A201" s="1200"/>
      <c r="I201" s="367"/>
      <c r="J201" s="1194"/>
      <c r="K201" s="367"/>
      <c r="L201" s="367"/>
      <c r="M201" s="367"/>
      <c r="N201" s="367"/>
      <c r="O201" s="367"/>
      <c r="P201" s="367"/>
      <c r="Q201" s="1151"/>
      <c r="R201" s="520"/>
      <c r="S201" s="1219"/>
      <c r="T201" s="1220"/>
      <c r="U201" s="1221"/>
      <c r="V201" s="1220"/>
      <c r="W201" s="1186"/>
      <c r="X201" s="1186"/>
      <c r="Y201" s="367"/>
      <c r="Z201" s="1194"/>
      <c r="AA201" s="367"/>
      <c r="AB201" s="367"/>
      <c r="AC201" s="367"/>
      <c r="AD201" s="367"/>
      <c r="AE201" s="367"/>
      <c r="AF201" s="367"/>
      <c r="AG201" s="367"/>
      <c r="AH201" s="1194"/>
      <c r="AI201" s="367"/>
      <c r="AJ201" s="367"/>
      <c r="AK201" s="367"/>
      <c r="AL201" s="367"/>
      <c r="AM201" s="367"/>
      <c r="AN201" s="367"/>
      <c r="AO201" s="367"/>
      <c r="AP201" s="1194"/>
      <c r="AQ201" s="367"/>
      <c r="AR201" s="367"/>
      <c r="AS201" s="367"/>
      <c r="AT201" s="367"/>
      <c r="AU201" s="367"/>
      <c r="AV201" s="367"/>
      <c r="AW201" s="367"/>
      <c r="AX201" s="1194"/>
      <c r="AY201" s="367"/>
      <c r="AZ201" s="367"/>
      <c r="BA201" s="367"/>
      <c r="BB201" s="367"/>
      <c r="BC201" s="367"/>
      <c r="BD201" s="367"/>
      <c r="BE201" s="367"/>
      <c r="BF201" s="1194"/>
      <c r="BG201" s="367"/>
      <c r="BH201" s="367"/>
      <c r="BI201" s="367"/>
      <c r="BJ201" s="367"/>
      <c r="BK201" s="367"/>
      <c r="BL201" s="367"/>
    </row>
    <row r="202" s="319" customFormat="true" ht="8.1" hidden="false" customHeight="true" outlineLevel="0" collapsed="false">
      <c r="A202" s="1200"/>
      <c r="I202" s="367"/>
      <c r="J202" s="1194"/>
      <c r="K202" s="367"/>
      <c r="L202" s="367"/>
      <c r="M202" s="367"/>
      <c r="N202" s="367"/>
      <c r="O202" s="367"/>
      <c r="P202" s="367"/>
      <c r="Q202" s="1151"/>
      <c r="R202" s="520"/>
      <c r="S202" s="1219"/>
      <c r="T202" s="1220"/>
      <c r="U202" s="1221"/>
      <c r="V202" s="1220"/>
      <c r="W202" s="1186"/>
      <c r="X202" s="1186"/>
      <c r="Y202" s="367"/>
      <c r="Z202" s="1194"/>
      <c r="AA202" s="367"/>
      <c r="AB202" s="367"/>
      <c r="AC202" s="367"/>
      <c r="AD202" s="367"/>
      <c r="AE202" s="367"/>
      <c r="AF202" s="367"/>
      <c r="AG202" s="367"/>
      <c r="AH202" s="1194"/>
      <c r="AI202" s="367"/>
      <c r="AJ202" s="367"/>
      <c r="AK202" s="367"/>
      <c r="AL202" s="367"/>
      <c r="AM202" s="367"/>
      <c r="AN202" s="367"/>
      <c r="AO202" s="367"/>
      <c r="AP202" s="1194"/>
      <c r="AQ202" s="367"/>
      <c r="AR202" s="367"/>
      <c r="AS202" s="367"/>
      <c r="AT202" s="367"/>
      <c r="AU202" s="367"/>
      <c r="AV202" s="367"/>
      <c r="AW202" s="367"/>
      <c r="AX202" s="1194"/>
      <c r="AY202" s="367"/>
      <c r="AZ202" s="367"/>
      <c r="BA202" s="367"/>
      <c r="BB202" s="367"/>
      <c r="BC202" s="367"/>
      <c r="BD202" s="367"/>
      <c r="BE202" s="367"/>
      <c r="BF202" s="1194"/>
      <c r="BG202" s="367"/>
      <c r="BH202" s="367"/>
      <c r="BI202" s="367"/>
      <c r="BJ202" s="367"/>
      <c r="BK202" s="367"/>
      <c r="BL202" s="367"/>
    </row>
    <row r="203" s="319" customFormat="true" ht="8.1" hidden="false" customHeight="true" outlineLevel="0" collapsed="false">
      <c r="A203" s="1200"/>
      <c r="B203" s="1200"/>
      <c r="C203" s="817"/>
      <c r="D203" s="1201"/>
      <c r="E203" s="1202"/>
      <c r="F203" s="1201"/>
      <c r="G203" s="1201"/>
      <c r="H203" s="1201"/>
      <c r="I203" s="367"/>
      <c r="J203" s="1194"/>
      <c r="K203" s="367"/>
      <c r="L203" s="367"/>
      <c r="M203" s="367"/>
      <c r="N203" s="367"/>
      <c r="O203" s="367"/>
      <c r="P203" s="367"/>
      <c r="Q203" s="1151"/>
      <c r="R203" s="520"/>
      <c r="S203" s="1219"/>
      <c r="T203" s="1220"/>
      <c r="U203" s="1221"/>
      <c r="V203" s="1220"/>
      <c r="W203" s="1186"/>
      <c r="X203" s="1186"/>
      <c r="Y203" s="367"/>
      <c r="Z203" s="1194"/>
      <c r="AA203" s="367"/>
      <c r="AB203" s="367"/>
      <c r="AC203" s="367"/>
      <c r="AD203" s="367"/>
      <c r="AE203" s="367"/>
      <c r="AF203" s="367"/>
      <c r="AG203" s="367"/>
      <c r="AH203" s="1194"/>
      <c r="AI203" s="367"/>
      <c r="AJ203" s="367"/>
      <c r="AK203" s="367"/>
      <c r="AL203" s="367"/>
      <c r="AM203" s="367"/>
      <c r="AN203" s="367"/>
      <c r="AO203" s="367"/>
      <c r="AP203" s="1194"/>
      <c r="AQ203" s="367"/>
      <c r="AR203" s="367"/>
      <c r="AS203" s="367"/>
      <c r="AT203" s="367"/>
      <c r="AU203" s="367"/>
      <c r="AV203" s="367"/>
      <c r="AW203" s="367"/>
      <c r="AX203" s="1194"/>
      <c r="AY203" s="367"/>
      <c r="AZ203" s="367"/>
      <c r="BA203" s="367"/>
      <c r="BB203" s="367"/>
      <c r="BC203" s="367"/>
      <c r="BD203" s="367"/>
      <c r="BE203" s="367"/>
      <c r="BF203" s="1194"/>
      <c r="BG203" s="367"/>
      <c r="BH203" s="367"/>
      <c r="BI203" s="367"/>
      <c r="BJ203" s="367"/>
      <c r="BK203" s="367"/>
      <c r="BL203" s="367"/>
    </row>
    <row r="204" s="319" customFormat="true" ht="8.1" hidden="false" customHeight="true" outlineLevel="0" collapsed="false">
      <c r="A204" s="1200"/>
      <c r="B204" s="1200"/>
      <c r="C204" s="817"/>
      <c r="D204" s="1201"/>
      <c r="E204" s="1202"/>
      <c r="F204" s="1201"/>
      <c r="G204" s="1201"/>
      <c r="H204" s="1201"/>
      <c r="I204" s="367"/>
      <c r="J204" s="1194"/>
      <c r="K204" s="367"/>
      <c r="L204" s="367"/>
      <c r="M204" s="367"/>
      <c r="N204" s="367"/>
      <c r="O204" s="367"/>
      <c r="P204" s="367"/>
      <c r="Q204" s="1151"/>
      <c r="R204" s="520"/>
      <c r="S204" s="1219"/>
      <c r="T204" s="1220"/>
      <c r="U204" s="1221"/>
      <c r="V204" s="1220"/>
      <c r="W204" s="1186"/>
      <c r="X204" s="1186"/>
      <c r="Y204" s="367"/>
      <c r="Z204" s="1194"/>
      <c r="AA204" s="367"/>
      <c r="AB204" s="367"/>
      <c r="AC204" s="367"/>
      <c r="AD204" s="367"/>
      <c r="AE204" s="367"/>
      <c r="AF204" s="367"/>
      <c r="AG204" s="367"/>
      <c r="AH204" s="1194"/>
      <c r="AI204" s="367"/>
      <c r="AJ204" s="367"/>
      <c r="AK204" s="367"/>
      <c r="AL204" s="367"/>
      <c r="AM204" s="367"/>
      <c r="AN204" s="367"/>
      <c r="AO204" s="367"/>
      <c r="AP204" s="1194"/>
      <c r="AQ204" s="367"/>
      <c r="AR204" s="367"/>
      <c r="AS204" s="367"/>
      <c r="AT204" s="367"/>
      <c r="AU204" s="367"/>
      <c r="AV204" s="367"/>
      <c r="AW204" s="222"/>
      <c r="AX204" s="1194"/>
      <c r="AY204" s="367"/>
      <c r="AZ204" s="367"/>
      <c r="BA204" s="367"/>
      <c r="BB204" s="367"/>
      <c r="BC204" s="367"/>
      <c r="BD204" s="367"/>
      <c r="BE204" s="367"/>
      <c r="BF204" s="1194"/>
      <c r="BG204" s="367"/>
      <c r="BH204" s="367"/>
      <c r="BI204" s="367"/>
      <c r="BJ204" s="367"/>
      <c r="BK204" s="367"/>
      <c r="BL204" s="367"/>
    </row>
    <row r="205" s="319" customFormat="true" ht="8.1" hidden="false" customHeight="true" outlineLevel="0" collapsed="false">
      <c r="A205" s="1200"/>
      <c r="B205" s="1200"/>
      <c r="C205" s="817"/>
      <c r="D205" s="1201"/>
      <c r="E205" s="1202"/>
      <c r="F205" s="1201"/>
      <c r="G205" s="1201"/>
      <c r="H205" s="1201"/>
      <c r="I205" s="367"/>
      <c r="J205" s="1194"/>
      <c r="K205" s="367"/>
      <c r="L205" s="367"/>
      <c r="M205" s="367"/>
      <c r="N205" s="367"/>
      <c r="O205" s="367"/>
      <c r="P205" s="367"/>
      <c r="Q205" s="1151"/>
      <c r="R205" s="520"/>
      <c r="S205" s="1219"/>
      <c r="T205" s="1220"/>
      <c r="U205" s="1221"/>
      <c r="V205" s="1220"/>
      <c r="W205" s="1186"/>
      <c r="X205" s="1186"/>
      <c r="Y205" s="367"/>
      <c r="Z205" s="1194"/>
      <c r="AA205" s="367"/>
      <c r="AB205" s="367"/>
      <c r="AC205" s="367"/>
      <c r="AD205" s="367"/>
      <c r="AE205" s="367"/>
      <c r="AF205" s="367"/>
      <c r="AG205" s="367"/>
      <c r="AH205" s="1194"/>
      <c r="AI205" s="367"/>
      <c r="AJ205" s="367"/>
      <c r="AK205" s="367"/>
      <c r="AL205" s="367"/>
      <c r="AM205" s="367"/>
      <c r="AN205" s="367"/>
      <c r="AO205" s="367"/>
      <c r="AP205" s="1194"/>
      <c r="AQ205" s="367"/>
      <c r="AR205" s="367"/>
      <c r="AS205" s="367"/>
      <c r="AT205" s="367"/>
      <c r="AU205" s="367"/>
      <c r="AV205" s="367"/>
      <c r="AW205" s="222"/>
      <c r="AX205" s="787"/>
      <c r="AY205" s="222"/>
      <c r="AZ205" s="222"/>
      <c r="BA205" s="222"/>
      <c r="BB205" s="222"/>
      <c r="BC205" s="222"/>
      <c r="BD205" s="222"/>
      <c r="BE205" s="367"/>
      <c r="BF205" s="1194"/>
      <c r="BG205" s="367"/>
      <c r="BH205" s="367"/>
      <c r="BI205" s="367"/>
      <c r="BJ205" s="367"/>
      <c r="BK205" s="367"/>
      <c r="BL205" s="367"/>
    </row>
    <row r="206" customFormat="false" ht="11.25" hidden="false" customHeight="false" outlineLevel="0" collapsed="false">
      <c r="BE206" s="367"/>
      <c r="BF206" s="1194"/>
      <c r="BG206" s="367"/>
      <c r="BH206" s="367"/>
      <c r="BI206" s="367"/>
      <c r="BJ206" s="367"/>
      <c r="BK206" s="367"/>
      <c r="BL206" s="367"/>
    </row>
    <row r="207" customFormat="false" ht="11.25" hidden="false" customHeight="false" outlineLevel="0" collapsed="false">
      <c r="BE207" s="367"/>
      <c r="BF207" s="1194"/>
      <c r="BG207" s="367"/>
      <c r="BH207" s="367"/>
      <c r="BI207" s="367"/>
      <c r="BJ207" s="367"/>
      <c r="BK207" s="367"/>
      <c r="BL207" s="367"/>
    </row>
    <row r="208" customFormat="false" ht="11.25" hidden="false" customHeight="false" outlineLevel="0" collapsed="false">
      <c r="BE208" s="367"/>
      <c r="BF208" s="1194"/>
      <c r="BG208" s="367"/>
      <c r="BH208" s="367"/>
      <c r="BI208" s="367"/>
      <c r="BJ208" s="367"/>
      <c r="BK208" s="367"/>
      <c r="BL208" s="367"/>
    </row>
    <row r="209" customFormat="false" ht="11.25" hidden="false" customHeight="false" outlineLevel="0" collapsed="false">
      <c r="BE209" s="367"/>
      <c r="BF209" s="1194"/>
      <c r="BG209" s="367"/>
      <c r="BH209" s="367"/>
      <c r="BI209" s="367"/>
      <c r="BJ209" s="367"/>
      <c r="BK209" s="367"/>
      <c r="BL209" s="367"/>
    </row>
  </sheetData>
  <mergeCells count="53">
    <mergeCell ref="A1:H1"/>
    <mergeCell ref="I1:M1"/>
    <mergeCell ref="N1:P1"/>
    <mergeCell ref="S1:X1"/>
    <mergeCell ref="Y1:AC1"/>
    <mergeCell ref="AD1:AF1"/>
    <mergeCell ref="AI1:AN1"/>
    <mergeCell ref="AO1:AS1"/>
    <mergeCell ref="AT1:AV1"/>
    <mergeCell ref="AY1:BD1"/>
    <mergeCell ref="BE1:BI1"/>
    <mergeCell ref="BJ1:BL1"/>
    <mergeCell ref="A2:C3"/>
    <mergeCell ref="D2:D3"/>
    <mergeCell ref="E2:E3"/>
    <mergeCell ref="F2:F3"/>
    <mergeCell ref="G2:H2"/>
    <mergeCell ref="I2:K3"/>
    <mergeCell ref="L2:L3"/>
    <mergeCell ref="M2:M3"/>
    <mergeCell ref="N2:N3"/>
    <mergeCell ref="O2:P2"/>
    <mergeCell ref="Q2:S3"/>
    <mergeCell ref="T2:T3"/>
    <mergeCell ref="U2:U3"/>
    <mergeCell ref="V2:V3"/>
    <mergeCell ref="W2:X2"/>
    <mergeCell ref="Y2:AA3"/>
    <mergeCell ref="AB2:AB3"/>
    <mergeCell ref="AC2:AC3"/>
    <mergeCell ref="AD2:AD3"/>
    <mergeCell ref="AE2:AF2"/>
    <mergeCell ref="AG2:AI3"/>
    <mergeCell ref="AJ2:AJ3"/>
    <mergeCell ref="AK2:AK3"/>
    <mergeCell ref="AL2:AL3"/>
    <mergeCell ref="AM2:AN2"/>
    <mergeCell ref="AO2:AQ3"/>
    <mergeCell ref="AR2:AR3"/>
    <mergeCell ref="AS2:AS3"/>
    <mergeCell ref="AT2:AT3"/>
    <mergeCell ref="AU2:AV2"/>
    <mergeCell ref="AW2:AY3"/>
    <mergeCell ref="AZ2:AZ3"/>
    <mergeCell ref="BA2:BA3"/>
    <mergeCell ref="BB2:BB3"/>
    <mergeCell ref="BC2:BD2"/>
    <mergeCell ref="BE2:BG3"/>
    <mergeCell ref="BH2:BH3"/>
    <mergeCell ref="BI2:BI3"/>
    <mergeCell ref="BJ2:BJ3"/>
    <mergeCell ref="BK2:BL2"/>
    <mergeCell ref="A61:B61"/>
  </mergeCells>
  <printOptions headings="false" gridLines="false" gridLinesSet="true" horizontalCentered="false" verticalCentered="false"/>
  <pageMargins left="0.629861111111111" right="0.511805555555555" top="0.39375" bottom="0.511805555555555" header="0.511805555555555" footer="0"/>
  <pageSetup paperSize="1" scale="100" firstPageNumber="56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>&amp;C&amp;"Times New Roman,Regular"&amp;8&amp;P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5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4" ySplit="3" topLeftCell="E40" activePane="bottomRight" state="frozen"/>
      <selection pane="topLeft" activeCell="A1" activeCellId="0" sqref="A1"/>
      <selection pane="topRight" activeCell="E1" activeCellId="0" sqref="E1"/>
      <selection pane="bottomLeft" activeCell="A40" activeCellId="0" sqref="A40"/>
      <selection pane="bottomRight" activeCell="W10" activeCellId="0" sqref="W10"/>
    </sheetView>
  </sheetViews>
  <sheetFormatPr defaultColWidth="9.15625" defaultRowHeight="12.75" zeroHeight="false" outlineLevelRow="0" outlineLevelCol="0"/>
  <cols>
    <col collapsed="false" customWidth="true" hidden="false" outlineLevel="0" max="1" min="1" style="1222" width="2.29"/>
    <col collapsed="false" customWidth="true" hidden="false" outlineLevel="0" max="2" min="2" style="107" width="2.99"/>
    <col collapsed="false" customWidth="true" hidden="false" outlineLevel="0" max="3" min="3" style="1223" width="2.85"/>
    <col collapsed="false" customWidth="true" hidden="false" outlineLevel="0" max="4" min="4" style="107" width="33.42"/>
    <col collapsed="false" customWidth="true" hidden="false" outlineLevel="0" max="5" min="5" style="107" width="6.57"/>
    <col collapsed="false" customWidth="true" hidden="false" outlineLevel="0" max="7" min="6" style="107" width="7"/>
    <col collapsed="false" customWidth="true" hidden="false" outlineLevel="0" max="8" min="8" style="107" width="6.15"/>
    <col collapsed="false" customWidth="true" hidden="false" outlineLevel="0" max="9" min="9" style="107" width="6.42"/>
    <col collapsed="false" customWidth="true" hidden="false" outlineLevel="0" max="10" min="10" style="107" width="6.86"/>
    <col collapsed="false" customWidth="true" hidden="false" outlineLevel="0" max="11" min="11" style="107" width="6.28"/>
    <col collapsed="false" customWidth="true" hidden="false" outlineLevel="0" max="12" min="12" style="107" width="6.86"/>
    <col collapsed="false" customWidth="true" hidden="false" outlineLevel="0" max="13" min="13" style="107" width="7.29"/>
    <col collapsed="false" customWidth="true" hidden="false" outlineLevel="0" max="14" min="14" style="107" width="6.42"/>
    <col collapsed="false" customWidth="true" hidden="false" outlineLevel="0" max="15" min="15" style="107" width="6.01"/>
    <col collapsed="false" customWidth="true" hidden="false" outlineLevel="0" max="16" min="16" style="107" width="6.86"/>
    <col collapsed="false" customWidth="true" hidden="false" outlineLevel="0" max="18" min="17" style="107" width="6.71"/>
    <col collapsed="false" customWidth="true" hidden="false" outlineLevel="0" max="19" min="19" style="107" width="5.57"/>
    <col collapsed="false" customWidth="true" hidden="false" outlineLevel="0" max="20" min="20" style="107" width="6.42"/>
    <col collapsed="false" customWidth="true" hidden="false" outlineLevel="0" max="21" min="21" style="107" width="7"/>
    <col collapsed="false" customWidth="false" hidden="false" outlineLevel="0" max="1024" min="22" style="107" width="9.14"/>
  </cols>
  <sheetData>
    <row r="1" s="1227" customFormat="true" ht="14.25" hidden="false" customHeight="true" outlineLevel="0" collapsed="false">
      <c r="A1" s="1224" t="s">
        <v>2026</v>
      </c>
      <c r="B1" s="1224"/>
      <c r="C1" s="1224"/>
      <c r="D1" s="1224"/>
      <c r="E1" s="1224"/>
      <c r="F1" s="1224"/>
      <c r="G1" s="1224"/>
      <c r="H1" s="1224"/>
      <c r="I1" s="1224"/>
      <c r="J1" s="1225" t="s">
        <v>2027</v>
      </c>
      <c r="K1" s="1225"/>
      <c r="L1" s="1225"/>
      <c r="M1" s="1225"/>
      <c r="N1" s="1225"/>
      <c r="O1" s="1225"/>
      <c r="P1" s="1225"/>
      <c r="Q1" s="1225"/>
      <c r="R1" s="1225"/>
      <c r="S1" s="1226" t="s">
        <v>2028</v>
      </c>
      <c r="T1" s="1226"/>
      <c r="U1" s="1226"/>
    </row>
    <row r="2" s="762" customFormat="true" ht="48" hidden="false" customHeight="true" outlineLevel="0" collapsed="false">
      <c r="A2" s="1069" t="s">
        <v>2029</v>
      </c>
      <c r="B2" s="1069"/>
      <c r="C2" s="1069"/>
      <c r="D2" s="1069"/>
      <c r="E2" s="758" t="s">
        <v>2030</v>
      </c>
      <c r="F2" s="758" t="s">
        <v>2031</v>
      </c>
      <c r="G2" s="758" t="s">
        <v>2032</v>
      </c>
      <c r="H2" s="758" t="s">
        <v>2033</v>
      </c>
      <c r="I2" s="758" t="s">
        <v>2034</v>
      </c>
      <c r="J2" s="758" t="s">
        <v>2035</v>
      </c>
      <c r="K2" s="758" t="s">
        <v>2036</v>
      </c>
      <c r="L2" s="758" t="s">
        <v>2037</v>
      </c>
      <c r="M2" s="758" t="s">
        <v>2038</v>
      </c>
      <c r="N2" s="758" t="s">
        <v>2039</v>
      </c>
      <c r="O2" s="758" t="s">
        <v>2040</v>
      </c>
      <c r="P2" s="758" t="s">
        <v>2041</v>
      </c>
      <c r="Q2" s="763" t="s">
        <v>2042</v>
      </c>
      <c r="R2" s="758" t="s">
        <v>2043</v>
      </c>
      <c r="S2" s="758" t="s">
        <v>2044</v>
      </c>
      <c r="T2" s="758" t="s">
        <v>2045</v>
      </c>
      <c r="U2" s="766" t="s">
        <v>2046</v>
      </c>
    </row>
    <row r="3" s="762" customFormat="true" ht="10.5" hidden="false" customHeight="true" outlineLevel="0" collapsed="false">
      <c r="A3" s="1069"/>
      <c r="B3" s="1069"/>
      <c r="C3" s="1069"/>
      <c r="D3" s="1069"/>
      <c r="E3" s="758" t="n">
        <v>1</v>
      </c>
      <c r="F3" s="758" t="n">
        <v>2</v>
      </c>
      <c r="G3" s="758" t="n">
        <v>3</v>
      </c>
      <c r="H3" s="758" t="n">
        <v>4</v>
      </c>
      <c r="I3" s="758" t="n">
        <v>5</v>
      </c>
      <c r="J3" s="758" t="n">
        <v>6</v>
      </c>
      <c r="K3" s="758" t="n">
        <v>7</v>
      </c>
      <c r="L3" s="758" t="n">
        <v>8</v>
      </c>
      <c r="M3" s="758" t="n">
        <v>9</v>
      </c>
      <c r="N3" s="758" t="n">
        <v>10</v>
      </c>
      <c r="O3" s="758" t="n">
        <v>11</v>
      </c>
      <c r="P3" s="758" t="n">
        <v>12</v>
      </c>
      <c r="Q3" s="758" t="n">
        <v>13</v>
      </c>
      <c r="R3" s="758" t="n">
        <v>14</v>
      </c>
      <c r="S3" s="758" t="n">
        <v>15</v>
      </c>
      <c r="T3" s="758" t="n">
        <v>16</v>
      </c>
      <c r="U3" s="758" t="n">
        <v>17</v>
      </c>
      <c r="V3" s="784"/>
    </row>
    <row r="4" s="1230" customFormat="true" ht="13.5" hidden="false" customHeight="true" outlineLevel="0" collapsed="false">
      <c r="A4" s="1228" t="s">
        <v>2047</v>
      </c>
      <c r="B4" s="1229" t="s">
        <v>2048</v>
      </c>
      <c r="C4" s="1229"/>
      <c r="D4" s="1229"/>
      <c r="E4" s="203" t="n">
        <v>7</v>
      </c>
      <c r="F4" s="203" t="n">
        <v>6</v>
      </c>
      <c r="G4" s="203" t="n">
        <v>6</v>
      </c>
      <c r="H4" s="203" t="n">
        <v>6</v>
      </c>
      <c r="I4" s="203" t="n">
        <v>5</v>
      </c>
      <c r="J4" s="203" t="n">
        <v>5</v>
      </c>
      <c r="K4" s="203" t="n">
        <v>5</v>
      </c>
      <c r="L4" s="203" t="n">
        <v>5</v>
      </c>
      <c r="M4" s="203" t="n">
        <v>5</v>
      </c>
      <c r="N4" s="203" t="n">
        <v>5</v>
      </c>
      <c r="O4" s="203" t="n">
        <v>5</v>
      </c>
      <c r="P4" s="203" t="n">
        <v>5</v>
      </c>
      <c r="Q4" s="203" t="n">
        <v>5</v>
      </c>
      <c r="R4" s="203" t="n">
        <v>5</v>
      </c>
      <c r="S4" s="203" t="n">
        <v>5</v>
      </c>
      <c r="T4" s="203" t="n">
        <v>5</v>
      </c>
      <c r="U4" s="203" t="n">
        <v>4</v>
      </c>
    </row>
    <row r="5" s="410" customFormat="true" ht="13.5" hidden="false" customHeight="true" outlineLevel="0" collapsed="false">
      <c r="A5" s="1231" t="s">
        <v>2049</v>
      </c>
      <c r="B5" s="1232" t="s">
        <v>2050</v>
      </c>
      <c r="C5" s="1232"/>
      <c r="D5" s="1232"/>
      <c r="E5" s="211"/>
      <c r="F5" s="211"/>
      <c r="G5" s="211"/>
      <c r="H5" s="211"/>
      <c r="I5" s="211"/>
      <c r="J5" s="211"/>
      <c r="K5" s="211"/>
      <c r="L5" s="211"/>
      <c r="M5" s="211"/>
      <c r="N5" s="211"/>
      <c r="O5" s="211"/>
      <c r="P5" s="211"/>
      <c r="Q5" s="211"/>
      <c r="R5" s="211"/>
      <c r="S5" s="211"/>
      <c r="T5" s="211"/>
      <c r="U5" s="211"/>
    </row>
    <row r="6" s="410" customFormat="true" ht="12" hidden="false" customHeight="true" outlineLevel="0" collapsed="false">
      <c r="A6" s="1229" t="s">
        <v>2051</v>
      </c>
      <c r="B6" s="1229"/>
      <c r="C6" s="1229"/>
      <c r="D6" s="1229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</row>
    <row r="7" s="410" customFormat="true" ht="12" hidden="false" customHeight="true" outlineLevel="0" collapsed="false">
      <c r="A7" s="1233"/>
      <c r="B7" s="1234" t="s">
        <v>2052</v>
      </c>
      <c r="C7" s="1234"/>
      <c r="D7" s="1234"/>
      <c r="E7" s="198" t="n">
        <v>8.5</v>
      </c>
      <c r="F7" s="198" t="n">
        <v>8.5</v>
      </c>
      <c r="G7" s="198" t="n">
        <v>8.5</v>
      </c>
      <c r="H7" s="198" t="n">
        <v>8.5</v>
      </c>
      <c r="I7" s="198" t="n">
        <v>8.5</v>
      </c>
      <c r="J7" s="198" t="n">
        <v>7.5</v>
      </c>
      <c r="K7" s="198" t="n">
        <v>7.5</v>
      </c>
      <c r="L7" s="198" t="n">
        <v>7.5</v>
      </c>
      <c r="M7" s="198" t="n">
        <v>7.5</v>
      </c>
      <c r="N7" s="198" t="n">
        <v>7.5</v>
      </c>
      <c r="O7" s="198" t="n">
        <v>7.5</v>
      </c>
      <c r="P7" s="198" t="n">
        <v>7.5</v>
      </c>
      <c r="Q7" s="198" t="n">
        <v>7.5</v>
      </c>
      <c r="R7" s="198" t="n">
        <v>7.5</v>
      </c>
      <c r="S7" s="198" t="n">
        <v>5</v>
      </c>
      <c r="T7" s="198" t="n">
        <v>7.5</v>
      </c>
      <c r="U7" s="198" t="n">
        <v>7.5</v>
      </c>
    </row>
    <row r="8" s="1237" customFormat="true" ht="13.5" hidden="false" customHeight="true" outlineLevel="0" collapsed="false">
      <c r="A8" s="1235"/>
      <c r="B8" s="1236" t="s">
        <v>2053</v>
      </c>
      <c r="C8" s="1236"/>
      <c r="D8" s="1236"/>
      <c r="E8" s="1043"/>
      <c r="F8" s="1043"/>
      <c r="G8" s="1043"/>
      <c r="H8" s="1043"/>
      <c r="I8" s="1043"/>
      <c r="J8" s="1043"/>
      <c r="K8" s="1043"/>
      <c r="L8" s="1043"/>
      <c r="M8" s="1043"/>
      <c r="N8" s="1043"/>
      <c r="O8" s="1043"/>
      <c r="P8" s="1043"/>
      <c r="Q8" s="1043"/>
      <c r="R8" s="1043"/>
      <c r="S8" s="1043"/>
      <c r="T8" s="1043"/>
      <c r="U8" s="1043"/>
    </row>
    <row r="9" s="410" customFormat="true" ht="12.75" hidden="false" customHeight="true" outlineLevel="0" collapsed="false">
      <c r="A9" s="1233"/>
      <c r="B9" s="1238"/>
      <c r="C9" s="1239" t="s">
        <v>2054</v>
      </c>
      <c r="D9" s="1239"/>
      <c r="E9" s="198" t="n">
        <v>10.5</v>
      </c>
      <c r="F9" s="198" t="n">
        <v>10.5</v>
      </c>
      <c r="G9" s="198" t="n">
        <v>10.5</v>
      </c>
      <c r="H9" s="198" t="n">
        <v>10.5</v>
      </c>
      <c r="I9" s="198" t="n">
        <v>10.5</v>
      </c>
      <c r="J9" s="198" t="n">
        <v>9.5</v>
      </c>
      <c r="K9" s="198" t="n">
        <v>9.5</v>
      </c>
      <c r="L9" s="198" t="n">
        <v>9.5</v>
      </c>
      <c r="M9" s="198" t="n">
        <v>9.5</v>
      </c>
      <c r="N9" s="198" t="n">
        <v>9.5</v>
      </c>
      <c r="O9" s="198" t="n">
        <v>9.5</v>
      </c>
      <c r="P9" s="198" t="n">
        <v>10.4</v>
      </c>
      <c r="Q9" s="198" t="n">
        <v>10.4</v>
      </c>
      <c r="R9" s="198" t="n">
        <v>10.4</v>
      </c>
      <c r="S9" s="198" t="n">
        <v>5</v>
      </c>
      <c r="T9" s="198" t="n">
        <v>10.2</v>
      </c>
      <c r="U9" s="198" t="n">
        <v>10.2</v>
      </c>
    </row>
    <row r="10" s="410" customFormat="true" ht="12.75" hidden="false" customHeight="true" outlineLevel="0" collapsed="false">
      <c r="A10" s="1240"/>
      <c r="B10" s="1241"/>
      <c r="C10" s="1242" t="s">
        <v>2055</v>
      </c>
      <c r="D10" s="1242"/>
      <c r="E10" s="1243" t="n">
        <v>11.5</v>
      </c>
      <c r="F10" s="1243" t="n">
        <v>11.5</v>
      </c>
      <c r="G10" s="1243" t="n">
        <v>11.5</v>
      </c>
      <c r="H10" s="1243" t="n">
        <v>11.5</v>
      </c>
      <c r="I10" s="1243" t="n">
        <v>11.5</v>
      </c>
      <c r="J10" s="1243" t="n">
        <v>10.5</v>
      </c>
      <c r="K10" s="1243" t="n">
        <v>10.5</v>
      </c>
      <c r="L10" s="1243" t="n">
        <v>10.5</v>
      </c>
      <c r="M10" s="1243" t="n">
        <v>10.5</v>
      </c>
      <c r="N10" s="1243" t="n">
        <v>10.5</v>
      </c>
      <c r="O10" s="1243" t="n">
        <v>10.5</v>
      </c>
      <c r="P10" s="1243" t="n">
        <v>11.4</v>
      </c>
      <c r="Q10" s="1243" t="n">
        <v>11.4</v>
      </c>
      <c r="R10" s="1243" t="n">
        <v>11.4</v>
      </c>
      <c r="S10" s="1243" t="n">
        <v>5.5</v>
      </c>
      <c r="T10" s="1243" t="n">
        <v>10.7</v>
      </c>
      <c r="U10" s="1243" t="n">
        <v>10.7</v>
      </c>
    </row>
    <row r="11" s="410" customFormat="true" ht="12.75" hidden="false" customHeight="true" outlineLevel="0" collapsed="false">
      <c r="A11" s="1233"/>
      <c r="B11" s="1238"/>
      <c r="C11" s="1239" t="s">
        <v>2056</v>
      </c>
      <c r="D11" s="1239"/>
      <c r="E11" s="198" t="n">
        <v>12.5</v>
      </c>
      <c r="F11" s="198" t="n">
        <v>12.5</v>
      </c>
      <c r="G11" s="198" t="n">
        <v>12.5</v>
      </c>
      <c r="H11" s="198" t="n">
        <v>12.5</v>
      </c>
      <c r="I11" s="198" t="n">
        <v>12.5</v>
      </c>
      <c r="J11" s="198" t="n">
        <v>11.5</v>
      </c>
      <c r="K11" s="198" t="n">
        <v>11.5</v>
      </c>
      <c r="L11" s="198" t="n">
        <v>11.5</v>
      </c>
      <c r="M11" s="198" t="n">
        <v>11.5</v>
      </c>
      <c r="N11" s="198" t="n">
        <v>11.5</v>
      </c>
      <c r="O11" s="198" t="n">
        <v>11.5</v>
      </c>
      <c r="P11" s="198" t="s">
        <v>2057</v>
      </c>
      <c r="Q11" s="198" t="s">
        <v>2057</v>
      </c>
      <c r="R11" s="198" t="s">
        <v>2058</v>
      </c>
      <c r="S11" s="198" t="s">
        <v>2059</v>
      </c>
      <c r="T11" s="198" t="s">
        <v>2058</v>
      </c>
      <c r="U11" s="198" t="s">
        <v>2058</v>
      </c>
    </row>
    <row r="12" s="1237" customFormat="true" ht="12.75" hidden="false" customHeight="true" outlineLevel="0" collapsed="false">
      <c r="A12" s="1235"/>
      <c r="B12" s="1236" t="s">
        <v>2060</v>
      </c>
      <c r="C12" s="1236"/>
      <c r="D12" s="1236"/>
      <c r="E12" s="1043"/>
      <c r="F12" s="1043"/>
      <c r="G12" s="1043"/>
      <c r="H12" s="1043"/>
      <c r="I12" s="1043"/>
      <c r="J12" s="1043"/>
      <c r="K12" s="1043"/>
      <c r="L12" s="1043"/>
      <c r="M12" s="1043"/>
      <c r="N12" s="1043"/>
      <c r="O12" s="1043"/>
      <c r="P12" s="1043"/>
      <c r="Q12" s="1043"/>
      <c r="R12" s="1043"/>
      <c r="S12" s="1043"/>
      <c r="T12" s="1043"/>
      <c r="U12" s="1043"/>
    </row>
    <row r="13" s="410" customFormat="true" ht="12.75" hidden="false" customHeight="true" outlineLevel="0" collapsed="false">
      <c r="A13" s="1233"/>
      <c r="B13" s="1238"/>
      <c r="C13" s="1234" t="s">
        <v>2054</v>
      </c>
      <c r="D13" s="1234"/>
      <c r="E13" s="198" t="n">
        <v>9.5</v>
      </c>
      <c r="F13" s="198" t="n">
        <v>9.5</v>
      </c>
      <c r="G13" s="198" t="n">
        <v>9.5</v>
      </c>
      <c r="H13" s="198" t="n">
        <v>9.5</v>
      </c>
      <c r="I13" s="198" t="n">
        <v>9.5</v>
      </c>
      <c r="J13" s="198" t="n">
        <v>8.5</v>
      </c>
      <c r="K13" s="198" t="n">
        <v>8.5</v>
      </c>
      <c r="L13" s="198" t="n">
        <v>8.5</v>
      </c>
      <c r="M13" s="198" t="n">
        <v>8.5</v>
      </c>
      <c r="N13" s="198" t="n">
        <v>8.5</v>
      </c>
      <c r="O13" s="198" t="n">
        <v>8.5</v>
      </c>
      <c r="P13" s="198" t="n">
        <v>10</v>
      </c>
      <c r="Q13" s="198" t="n">
        <v>10</v>
      </c>
      <c r="R13" s="198" t="n">
        <v>10</v>
      </c>
      <c r="S13" s="198" t="n">
        <v>4</v>
      </c>
      <c r="T13" s="198" t="n">
        <v>9</v>
      </c>
      <c r="U13" s="198" t="n">
        <v>9</v>
      </c>
    </row>
    <row r="14" s="410" customFormat="true" ht="12.75" hidden="false" customHeight="true" outlineLevel="0" collapsed="false">
      <c r="A14" s="1240"/>
      <c r="B14" s="1241"/>
      <c r="C14" s="1244" t="s">
        <v>2055</v>
      </c>
      <c r="D14" s="1244"/>
      <c r="E14" s="1243" t="n">
        <v>10</v>
      </c>
      <c r="F14" s="1243" t="n">
        <v>10</v>
      </c>
      <c r="G14" s="1243" t="n">
        <v>10</v>
      </c>
      <c r="H14" s="1243" t="n">
        <v>10</v>
      </c>
      <c r="I14" s="1243" t="n">
        <v>10</v>
      </c>
      <c r="J14" s="1243" t="n">
        <v>9</v>
      </c>
      <c r="K14" s="1243" t="n">
        <v>9</v>
      </c>
      <c r="L14" s="1243" t="n">
        <v>9</v>
      </c>
      <c r="M14" s="1243" t="n">
        <v>9</v>
      </c>
      <c r="N14" s="1243" t="n">
        <v>9</v>
      </c>
      <c r="O14" s="1243" t="n">
        <v>9</v>
      </c>
      <c r="P14" s="1243" t="n">
        <v>10.5</v>
      </c>
      <c r="Q14" s="1243" t="n">
        <v>10.5</v>
      </c>
      <c r="R14" s="1243" t="n">
        <v>10.5</v>
      </c>
      <c r="S14" s="1243" t="n">
        <v>4.5</v>
      </c>
      <c r="T14" s="1243" t="n">
        <v>9.5</v>
      </c>
      <c r="U14" s="1243" t="n">
        <v>9.5</v>
      </c>
    </row>
    <row r="15" s="410" customFormat="true" ht="12.75" hidden="false" customHeight="true" outlineLevel="0" collapsed="false">
      <c r="A15" s="1233"/>
      <c r="B15" s="1238"/>
      <c r="C15" s="1234" t="s">
        <v>2056</v>
      </c>
      <c r="D15" s="1234"/>
      <c r="E15" s="198" t="n">
        <v>10.5</v>
      </c>
      <c r="F15" s="198" t="n">
        <v>10.5</v>
      </c>
      <c r="G15" s="198" t="n">
        <v>10.5</v>
      </c>
      <c r="H15" s="198" t="n">
        <v>10.5</v>
      </c>
      <c r="I15" s="198" t="n">
        <v>10.5</v>
      </c>
      <c r="J15" s="198" t="n">
        <v>9.5</v>
      </c>
      <c r="K15" s="198" t="n">
        <v>9.5</v>
      </c>
      <c r="L15" s="198" t="n">
        <v>9.5</v>
      </c>
      <c r="M15" s="198" t="n">
        <v>9.5</v>
      </c>
      <c r="N15" s="198" t="n">
        <v>9.5</v>
      </c>
      <c r="O15" s="198" t="n">
        <v>9.5</v>
      </c>
      <c r="P15" s="198" t="n">
        <v>11</v>
      </c>
      <c r="Q15" s="198" t="n">
        <v>11</v>
      </c>
      <c r="R15" s="198" t="n">
        <v>11</v>
      </c>
      <c r="S15" s="198" t="n">
        <v>5</v>
      </c>
      <c r="T15" s="198" t="n">
        <v>10</v>
      </c>
      <c r="U15" s="198" t="n">
        <v>10</v>
      </c>
    </row>
    <row r="16" s="410" customFormat="true" ht="13.5" hidden="false" customHeight="true" outlineLevel="0" collapsed="false">
      <c r="A16" s="1245" t="s">
        <v>2061</v>
      </c>
      <c r="B16" s="1245"/>
      <c r="C16" s="1245"/>
      <c r="D16" s="1245"/>
      <c r="E16" s="183"/>
      <c r="F16" s="183"/>
      <c r="G16" s="183"/>
      <c r="H16" s="183"/>
      <c r="I16" s="183"/>
      <c r="J16" s="183"/>
      <c r="K16" s="183"/>
      <c r="L16" s="183"/>
      <c r="M16" s="193"/>
      <c r="N16" s="193"/>
      <c r="O16" s="193"/>
      <c r="P16" s="193"/>
      <c r="Q16" s="193"/>
      <c r="R16" s="193"/>
      <c r="S16" s="193"/>
      <c r="T16" s="193"/>
      <c r="U16" s="193"/>
    </row>
    <row r="17" s="410" customFormat="true" ht="12" hidden="false" customHeight="true" outlineLevel="0" collapsed="false">
      <c r="A17" s="1246"/>
      <c r="B17" s="1247" t="s">
        <v>2062</v>
      </c>
      <c r="C17" s="1247"/>
      <c r="D17" s="1247"/>
      <c r="E17" s="908" t="n">
        <v>13.5</v>
      </c>
      <c r="F17" s="908" t="n">
        <v>13.5</v>
      </c>
      <c r="G17" s="908" t="n">
        <v>12</v>
      </c>
      <c r="H17" s="908" t="n">
        <v>12</v>
      </c>
      <c r="I17" s="908" t="n">
        <v>12</v>
      </c>
      <c r="J17" s="908" t="n">
        <v>12</v>
      </c>
      <c r="K17" s="908" t="n">
        <v>11.5</v>
      </c>
      <c r="L17" s="908" t="n">
        <v>11.5</v>
      </c>
      <c r="M17" s="908" t="n">
        <v>10</v>
      </c>
      <c r="N17" s="187" t="n">
        <v>10</v>
      </c>
      <c r="O17" s="187" t="n">
        <v>10</v>
      </c>
      <c r="P17" s="187" t="s">
        <v>2063</v>
      </c>
      <c r="Q17" s="187" t="s">
        <v>2063</v>
      </c>
      <c r="R17" s="187" t="s">
        <v>2064</v>
      </c>
      <c r="S17" s="187" t="s">
        <v>2064</v>
      </c>
      <c r="T17" s="187" t="s">
        <v>2064</v>
      </c>
      <c r="U17" s="187" t="s">
        <v>2064</v>
      </c>
    </row>
    <row r="18" s="410" customFormat="true" ht="12" hidden="false" customHeight="true" outlineLevel="0" collapsed="false">
      <c r="A18" s="1248"/>
      <c r="B18" s="1249" t="s">
        <v>2065</v>
      </c>
      <c r="C18" s="1249"/>
      <c r="D18" s="1249"/>
      <c r="E18" s="183" t="n">
        <v>14.5</v>
      </c>
      <c r="F18" s="183" t="n">
        <v>14.5</v>
      </c>
      <c r="G18" s="183" t="n">
        <v>12.5</v>
      </c>
      <c r="H18" s="183" t="n">
        <v>12.5</v>
      </c>
      <c r="I18" s="183" t="n">
        <v>12.5</v>
      </c>
      <c r="J18" s="183" t="n">
        <v>12.5</v>
      </c>
      <c r="K18" s="183" t="n">
        <v>12</v>
      </c>
      <c r="L18" s="183" t="n">
        <v>12</v>
      </c>
      <c r="M18" s="183" t="n">
        <v>10.5</v>
      </c>
      <c r="N18" s="193" t="n">
        <v>10.5</v>
      </c>
      <c r="O18" s="193" t="n">
        <v>10.5</v>
      </c>
      <c r="P18" s="193" t="s">
        <v>2066</v>
      </c>
      <c r="Q18" s="183" t="s">
        <v>2066</v>
      </c>
      <c r="R18" s="183" t="s">
        <v>2067</v>
      </c>
      <c r="S18" s="183" t="s">
        <v>2067</v>
      </c>
      <c r="T18" s="183" t="s">
        <v>2067</v>
      </c>
      <c r="U18" s="183" t="s">
        <v>2067</v>
      </c>
    </row>
    <row r="19" s="410" customFormat="true" ht="12" hidden="false" customHeight="true" outlineLevel="0" collapsed="false">
      <c r="A19" s="1246"/>
      <c r="B19" s="1250" t="s">
        <v>2068</v>
      </c>
      <c r="C19" s="1250"/>
      <c r="D19" s="1250"/>
      <c r="E19" s="908" t="s">
        <v>2069</v>
      </c>
      <c r="F19" s="908" t="s">
        <v>2069</v>
      </c>
      <c r="G19" s="908" t="s">
        <v>2069</v>
      </c>
      <c r="H19" s="908" t="s">
        <v>2069</v>
      </c>
      <c r="I19" s="908" t="s">
        <v>2069</v>
      </c>
      <c r="J19" s="908" t="s">
        <v>2069</v>
      </c>
      <c r="K19" s="908" t="n">
        <v>12.5</v>
      </c>
      <c r="L19" s="198" t="n">
        <v>12.5</v>
      </c>
      <c r="M19" s="908" t="n">
        <v>12.5</v>
      </c>
      <c r="N19" s="908" t="n">
        <v>11</v>
      </c>
      <c r="O19" s="187" t="n">
        <v>11</v>
      </c>
      <c r="P19" s="187" t="s">
        <v>2066</v>
      </c>
      <c r="Q19" s="187" t="s">
        <v>2066</v>
      </c>
      <c r="R19" s="187" t="s">
        <v>2070</v>
      </c>
      <c r="S19" s="187" t="s">
        <v>2070</v>
      </c>
      <c r="T19" s="187" t="s">
        <v>2070</v>
      </c>
      <c r="U19" s="187" t="s">
        <v>2070</v>
      </c>
    </row>
    <row r="20" s="410" customFormat="true" ht="12.75" hidden="false" customHeight="true" outlineLevel="0" collapsed="false">
      <c r="A20" s="1248"/>
      <c r="B20" s="1251" t="s">
        <v>2071</v>
      </c>
      <c r="C20" s="1251"/>
      <c r="D20" s="1251"/>
      <c r="E20" s="183" t="s">
        <v>2069</v>
      </c>
      <c r="F20" s="183" t="s">
        <v>2069</v>
      </c>
      <c r="G20" s="183" t="s">
        <v>2069</v>
      </c>
      <c r="H20" s="183" t="s">
        <v>2069</v>
      </c>
      <c r="I20" s="183" t="s">
        <v>2069</v>
      </c>
      <c r="J20" s="183" t="s">
        <v>2069</v>
      </c>
      <c r="K20" s="183" t="s">
        <v>2069</v>
      </c>
      <c r="L20" s="183" t="s">
        <v>2069</v>
      </c>
      <c r="M20" s="183" t="s">
        <v>2069</v>
      </c>
      <c r="N20" s="183" t="n">
        <v>11.04</v>
      </c>
      <c r="O20" s="193" t="n">
        <v>11.04</v>
      </c>
      <c r="P20" s="193" t="s">
        <v>2072</v>
      </c>
      <c r="Q20" s="288" t="s">
        <v>2072</v>
      </c>
      <c r="R20" s="288" t="s">
        <v>2073</v>
      </c>
      <c r="S20" s="288" t="s">
        <v>2073</v>
      </c>
      <c r="T20" s="288" t="s">
        <v>2073</v>
      </c>
      <c r="U20" s="288" t="s">
        <v>2073</v>
      </c>
    </row>
    <row r="21" s="410" customFormat="true" ht="12.75" hidden="false" customHeight="true" outlineLevel="0" collapsed="false">
      <c r="A21" s="1252" t="s">
        <v>2074</v>
      </c>
      <c r="B21" s="1252"/>
      <c r="C21" s="1252"/>
      <c r="D21" s="1252"/>
      <c r="E21" s="349"/>
      <c r="F21" s="349"/>
      <c r="G21" s="349"/>
      <c r="H21" s="349"/>
      <c r="I21" s="1253"/>
      <c r="J21" s="1253"/>
      <c r="K21" s="1253"/>
      <c r="L21" s="1253"/>
      <c r="M21" s="1253"/>
      <c r="N21" s="1253"/>
      <c r="O21" s="1253"/>
      <c r="P21" s="1253"/>
      <c r="Q21" s="1253"/>
      <c r="R21" s="1253"/>
      <c r="S21" s="1253"/>
      <c r="T21" s="1253"/>
      <c r="U21" s="1253"/>
    </row>
    <row r="22" s="410" customFormat="true" ht="12.75" hidden="false" customHeight="true" outlineLevel="0" collapsed="false">
      <c r="A22" s="1248"/>
      <c r="B22" s="1254"/>
      <c r="C22" s="1255" t="s">
        <v>2075</v>
      </c>
      <c r="D22" s="1255"/>
      <c r="E22" s="1256" t="s">
        <v>2076</v>
      </c>
      <c r="F22" s="1256" t="s">
        <v>2076</v>
      </c>
      <c r="G22" s="1256" t="s">
        <v>2076</v>
      </c>
      <c r="H22" s="1256" t="s">
        <v>2076</v>
      </c>
      <c r="I22" s="1256" t="s">
        <v>2076</v>
      </c>
      <c r="J22" s="1256" t="s">
        <v>2076</v>
      </c>
      <c r="K22" s="1256" t="s">
        <v>2076</v>
      </c>
      <c r="L22" s="1256" t="s">
        <v>2076</v>
      </c>
      <c r="M22" s="1256" t="s">
        <v>2076</v>
      </c>
      <c r="N22" s="1256" t="s">
        <v>2076</v>
      </c>
      <c r="O22" s="1256" t="s">
        <v>2076</v>
      </c>
      <c r="P22" s="1256" t="s">
        <v>2076</v>
      </c>
      <c r="Q22" s="1256" t="s">
        <v>2076</v>
      </c>
      <c r="R22" s="1256" t="s">
        <v>2076</v>
      </c>
      <c r="S22" s="1256" t="s">
        <v>2076</v>
      </c>
      <c r="T22" s="1256" t="s">
        <v>2076</v>
      </c>
      <c r="U22" s="1256" t="s">
        <v>2076</v>
      </c>
    </row>
    <row r="23" s="410" customFormat="true" ht="12.75" hidden="false" customHeight="true" outlineLevel="0" collapsed="false">
      <c r="A23" s="1246"/>
      <c r="B23" s="349"/>
      <c r="C23" s="1257" t="s">
        <v>2077</v>
      </c>
      <c r="D23" s="1257"/>
      <c r="E23" s="1258" t="n">
        <v>9</v>
      </c>
      <c r="F23" s="1258" t="n">
        <v>9</v>
      </c>
      <c r="G23" s="1258" t="n">
        <v>9</v>
      </c>
      <c r="H23" s="1258" t="n">
        <v>9</v>
      </c>
      <c r="I23" s="1258" t="n">
        <v>9</v>
      </c>
      <c r="J23" s="1258" t="n">
        <v>9</v>
      </c>
      <c r="K23" s="1258" t="n">
        <v>9</v>
      </c>
      <c r="L23" s="1258" t="n">
        <v>9</v>
      </c>
      <c r="M23" s="1258" t="n">
        <v>9</v>
      </c>
      <c r="N23" s="1258" t="n">
        <v>7.5</v>
      </c>
      <c r="O23" s="1258" t="n">
        <v>8.5</v>
      </c>
      <c r="P23" s="1258" t="n">
        <v>8.5</v>
      </c>
      <c r="Q23" s="1258" t="n">
        <v>8.7</v>
      </c>
      <c r="R23" s="1258" t="n">
        <v>8.7</v>
      </c>
      <c r="S23" s="1258" t="n">
        <v>8.7</v>
      </c>
      <c r="T23" s="1258" t="n">
        <v>8.7</v>
      </c>
      <c r="U23" s="1258" t="n">
        <v>8.7</v>
      </c>
    </row>
    <row r="24" s="410" customFormat="true" ht="12.75" hidden="false" customHeight="true" outlineLevel="0" collapsed="false">
      <c r="A24" s="1248"/>
      <c r="B24" s="1254"/>
      <c r="C24" s="1255" t="s">
        <v>2078</v>
      </c>
      <c r="D24" s="1255"/>
      <c r="E24" s="1259" t="n">
        <v>10</v>
      </c>
      <c r="F24" s="1259" t="n">
        <v>10</v>
      </c>
      <c r="G24" s="1259" t="n">
        <v>10</v>
      </c>
      <c r="H24" s="1259" t="n">
        <v>10</v>
      </c>
      <c r="I24" s="1259" t="n">
        <v>10</v>
      </c>
      <c r="J24" s="1259" t="n">
        <v>10</v>
      </c>
      <c r="K24" s="1259" t="n">
        <v>10</v>
      </c>
      <c r="L24" s="1259" t="n">
        <v>10</v>
      </c>
      <c r="M24" s="1259" t="n">
        <v>10</v>
      </c>
      <c r="N24" s="1259" t="n">
        <v>8.25</v>
      </c>
      <c r="O24" s="1259" t="n">
        <v>9.25</v>
      </c>
      <c r="P24" s="1259" t="n">
        <v>9.25</v>
      </c>
      <c r="Q24" s="1259" t="n">
        <v>9.45</v>
      </c>
      <c r="R24" s="1259" t="n">
        <v>9.45</v>
      </c>
      <c r="S24" s="1259" t="n">
        <v>9.45</v>
      </c>
      <c r="T24" s="1259" t="n">
        <v>9.45</v>
      </c>
      <c r="U24" s="1259" t="n">
        <v>9.45</v>
      </c>
    </row>
    <row r="25" s="410" customFormat="true" ht="12.75" hidden="false" customHeight="true" outlineLevel="0" collapsed="false">
      <c r="A25" s="1246"/>
      <c r="B25" s="349"/>
      <c r="C25" s="1257" t="s">
        <v>2079</v>
      </c>
      <c r="D25" s="1257"/>
      <c r="E25" s="1258" t="n">
        <v>11</v>
      </c>
      <c r="F25" s="1258" t="n">
        <v>11</v>
      </c>
      <c r="G25" s="1258" t="n">
        <v>11</v>
      </c>
      <c r="H25" s="1258" t="n">
        <v>11</v>
      </c>
      <c r="I25" s="1258" t="n">
        <v>11</v>
      </c>
      <c r="J25" s="1258" t="n">
        <v>11</v>
      </c>
      <c r="K25" s="1258" t="n">
        <v>11</v>
      </c>
      <c r="L25" s="1258" t="n">
        <v>11</v>
      </c>
      <c r="M25" s="1258" t="n">
        <v>11</v>
      </c>
      <c r="N25" s="1258" t="n">
        <v>9</v>
      </c>
      <c r="O25" s="1258" t="n">
        <v>10</v>
      </c>
      <c r="P25" s="1258" t="n">
        <v>10</v>
      </c>
      <c r="Q25" s="1258" t="n">
        <v>10.2</v>
      </c>
      <c r="R25" s="1258" t="n">
        <v>10.2</v>
      </c>
      <c r="S25" s="1258" t="n">
        <v>10.2</v>
      </c>
      <c r="T25" s="1258" t="n">
        <v>10.2</v>
      </c>
      <c r="U25" s="1258" t="n">
        <v>10.2</v>
      </c>
    </row>
    <row r="26" s="410" customFormat="true" ht="12.75" hidden="false" customHeight="true" outlineLevel="0" collapsed="false">
      <c r="A26" s="1248"/>
      <c r="B26" s="1254"/>
      <c r="C26" s="1260" t="s">
        <v>2080</v>
      </c>
      <c r="D26" s="1260"/>
      <c r="E26" s="172" t="n">
        <v>12</v>
      </c>
      <c r="F26" s="172" t="n">
        <v>12</v>
      </c>
      <c r="G26" s="172" t="n">
        <v>12</v>
      </c>
      <c r="H26" s="172" t="n">
        <v>12</v>
      </c>
      <c r="I26" s="172" t="n">
        <v>12</v>
      </c>
      <c r="J26" s="172" t="n">
        <v>12</v>
      </c>
      <c r="K26" s="172" t="n">
        <v>12</v>
      </c>
      <c r="L26" s="172" t="n">
        <v>12</v>
      </c>
      <c r="M26" s="172" t="n">
        <v>12</v>
      </c>
      <c r="N26" s="172" t="n">
        <v>10.5</v>
      </c>
      <c r="O26" s="172" t="n">
        <v>11</v>
      </c>
      <c r="P26" s="172" t="n">
        <v>11</v>
      </c>
      <c r="Q26" s="172" t="n">
        <v>11.2</v>
      </c>
      <c r="R26" s="172" t="n">
        <v>11.2</v>
      </c>
      <c r="S26" s="172" t="n">
        <v>11.2</v>
      </c>
      <c r="T26" s="172" t="n">
        <v>11.2</v>
      </c>
      <c r="U26" s="172" t="n">
        <v>11.2</v>
      </c>
    </row>
    <row r="27" s="1263" customFormat="true" ht="12.75" hidden="false" customHeight="true" outlineLevel="0" collapsed="false">
      <c r="A27" s="1246"/>
      <c r="B27" s="653"/>
      <c r="C27" s="1261" t="s">
        <v>2081</v>
      </c>
      <c r="D27" s="1261"/>
      <c r="E27" s="160" t="n">
        <v>12</v>
      </c>
      <c r="F27" s="160" t="n">
        <v>12</v>
      </c>
      <c r="G27" s="160" t="n">
        <v>12</v>
      </c>
      <c r="H27" s="160" t="n">
        <v>12</v>
      </c>
      <c r="I27" s="160" t="n">
        <v>12</v>
      </c>
      <c r="J27" s="160" t="n">
        <v>12</v>
      </c>
      <c r="K27" s="160" t="n">
        <v>12</v>
      </c>
      <c r="L27" s="160" t="n">
        <v>12</v>
      </c>
      <c r="M27" s="160" t="n">
        <v>12</v>
      </c>
      <c r="N27" s="160" t="n">
        <v>10.5</v>
      </c>
      <c r="O27" s="160" t="s">
        <v>2082</v>
      </c>
      <c r="P27" s="1262" t="s">
        <v>2082</v>
      </c>
      <c r="Q27" s="1262" t="s">
        <v>2083</v>
      </c>
      <c r="R27" s="1262" t="s">
        <v>2083</v>
      </c>
      <c r="S27" s="1262" t="s">
        <v>2083</v>
      </c>
      <c r="T27" s="1262" t="s">
        <v>2083</v>
      </c>
      <c r="U27" s="1262" t="s">
        <v>2083</v>
      </c>
    </row>
    <row r="28" s="410" customFormat="true" ht="12.75" hidden="false" customHeight="false" outlineLevel="0" collapsed="false">
      <c r="A28" s="1264" t="s">
        <v>2084</v>
      </c>
      <c r="B28" s="1264"/>
      <c r="C28" s="1264"/>
      <c r="D28" s="1264"/>
      <c r="E28" s="1265"/>
      <c r="F28" s="1265"/>
      <c r="G28" s="1265"/>
      <c r="H28" s="1265"/>
      <c r="I28" s="1265"/>
      <c r="J28" s="1265"/>
      <c r="K28" s="1265"/>
      <c r="L28" s="1265"/>
      <c r="M28" s="1266"/>
      <c r="N28" s="1266"/>
      <c r="O28" s="1266"/>
      <c r="P28" s="1266"/>
      <c r="Q28" s="1266"/>
      <c r="R28" s="1266"/>
      <c r="S28" s="1266"/>
      <c r="T28" s="1266"/>
      <c r="U28" s="1266"/>
    </row>
    <row r="29" s="410" customFormat="true" ht="12.75" hidden="false" customHeight="true" outlineLevel="0" collapsed="false">
      <c r="A29" s="1233"/>
      <c r="B29" s="1238"/>
      <c r="C29" s="1267" t="s">
        <v>2085</v>
      </c>
      <c r="D29" s="1267"/>
      <c r="E29" s="1268" t="s">
        <v>2069</v>
      </c>
      <c r="F29" s="1268" t="s">
        <v>2069</v>
      </c>
      <c r="G29" s="1268" t="s">
        <v>2069</v>
      </c>
      <c r="H29" s="1268" t="s">
        <v>2086</v>
      </c>
      <c r="I29" s="1269" t="s">
        <v>2086</v>
      </c>
      <c r="J29" s="1269" t="s">
        <v>2086</v>
      </c>
      <c r="K29" s="1269" t="s">
        <v>2086</v>
      </c>
      <c r="L29" s="1269" t="s">
        <v>2086</v>
      </c>
      <c r="M29" s="1269" t="s">
        <v>2086</v>
      </c>
      <c r="N29" s="1269" t="s">
        <v>2086</v>
      </c>
      <c r="O29" s="1269" t="s">
        <v>2086</v>
      </c>
      <c r="P29" s="1269" t="s">
        <v>2086</v>
      </c>
      <c r="Q29" s="1269" t="s">
        <v>2086</v>
      </c>
      <c r="R29" s="1269" t="s">
        <v>2086</v>
      </c>
      <c r="S29" s="1269" t="s">
        <v>2086</v>
      </c>
      <c r="T29" s="1269" t="s">
        <v>2086</v>
      </c>
      <c r="U29" s="1269" t="s">
        <v>2086</v>
      </c>
    </row>
    <row r="30" s="410" customFormat="true" ht="12.75" hidden="false" customHeight="true" outlineLevel="0" collapsed="false">
      <c r="A30" s="1240"/>
      <c r="B30" s="1241"/>
      <c r="C30" s="1255" t="s">
        <v>2087</v>
      </c>
      <c r="D30" s="1255"/>
      <c r="E30" s="1243" t="s">
        <v>2069</v>
      </c>
      <c r="F30" s="1243" t="s">
        <v>2069</v>
      </c>
      <c r="G30" s="1243" t="s">
        <v>2069</v>
      </c>
      <c r="H30" s="1243" t="n">
        <v>6.5</v>
      </c>
      <c r="I30" s="1259" t="n">
        <v>6.5</v>
      </c>
      <c r="J30" s="1259" t="n">
        <v>6.5</v>
      </c>
      <c r="K30" s="1259" t="n">
        <v>6.5</v>
      </c>
      <c r="L30" s="1259" t="n">
        <v>6.5</v>
      </c>
      <c r="M30" s="1259" t="n">
        <v>6.5</v>
      </c>
      <c r="N30" s="1259" t="n">
        <v>6.5</v>
      </c>
      <c r="O30" s="1259" t="n">
        <v>6.5</v>
      </c>
      <c r="P30" s="1259" t="n">
        <v>6.5</v>
      </c>
      <c r="Q30" s="1259" t="n">
        <v>6.5</v>
      </c>
      <c r="R30" s="1259" t="n">
        <v>6.5</v>
      </c>
      <c r="S30" s="1259" t="n">
        <v>6.5</v>
      </c>
      <c r="T30" s="1259" t="n">
        <v>6.5</v>
      </c>
      <c r="U30" s="1259" t="n">
        <v>6.5</v>
      </c>
    </row>
    <row r="31" s="410" customFormat="true" ht="12.75" hidden="false" customHeight="true" outlineLevel="0" collapsed="false">
      <c r="A31" s="1233"/>
      <c r="B31" s="1238"/>
      <c r="C31" s="1257" t="s">
        <v>2088</v>
      </c>
      <c r="D31" s="1257"/>
      <c r="E31" s="198" t="s">
        <v>2069</v>
      </c>
      <c r="F31" s="198" t="s">
        <v>2069</v>
      </c>
      <c r="G31" s="198" t="s">
        <v>2069</v>
      </c>
      <c r="H31" s="198" t="n">
        <v>7</v>
      </c>
      <c r="I31" s="1258" t="n">
        <v>7</v>
      </c>
      <c r="J31" s="1258" t="n">
        <v>7</v>
      </c>
      <c r="K31" s="1258" t="n">
        <v>7</v>
      </c>
      <c r="L31" s="1258" t="n">
        <v>7</v>
      </c>
      <c r="M31" s="1258" t="n">
        <v>7</v>
      </c>
      <c r="N31" s="1258" t="n">
        <v>7</v>
      </c>
      <c r="O31" s="1258" t="n">
        <v>7</v>
      </c>
      <c r="P31" s="1258" t="n">
        <v>7</v>
      </c>
      <c r="Q31" s="1258" t="n">
        <v>7</v>
      </c>
      <c r="R31" s="1258" t="n">
        <v>7</v>
      </c>
      <c r="S31" s="1258" t="n">
        <v>7</v>
      </c>
      <c r="T31" s="1258" t="n">
        <v>7</v>
      </c>
      <c r="U31" s="1258" t="n">
        <v>7</v>
      </c>
    </row>
    <row r="32" s="410" customFormat="true" ht="12" hidden="false" customHeight="true" outlineLevel="0" collapsed="false">
      <c r="A32" s="1240"/>
      <c r="B32" s="1241"/>
      <c r="C32" s="1270" t="s">
        <v>2089</v>
      </c>
      <c r="D32" s="1270"/>
      <c r="E32" s="1243" t="s">
        <v>2069</v>
      </c>
      <c r="F32" s="1243" t="s">
        <v>2069</v>
      </c>
      <c r="G32" s="1243" t="s">
        <v>2069</v>
      </c>
      <c r="H32" s="1243" t="n">
        <v>7.5</v>
      </c>
      <c r="I32" s="1259" t="n">
        <v>7.5</v>
      </c>
      <c r="J32" s="1259" t="n">
        <v>7.5</v>
      </c>
      <c r="K32" s="1259" t="n">
        <v>7.5</v>
      </c>
      <c r="L32" s="1259" t="n">
        <v>7.5</v>
      </c>
      <c r="M32" s="1259" t="n">
        <v>7.5</v>
      </c>
      <c r="N32" s="1259" t="n">
        <v>7.5</v>
      </c>
      <c r="O32" s="1259" t="n">
        <v>7.5</v>
      </c>
      <c r="P32" s="1259" t="n">
        <v>7.5</v>
      </c>
      <c r="Q32" s="1259" t="n">
        <v>7.5</v>
      </c>
      <c r="R32" s="1259" t="n">
        <v>7.5</v>
      </c>
      <c r="S32" s="1259" t="n">
        <v>7.5</v>
      </c>
      <c r="T32" s="1259" t="n">
        <v>7.5</v>
      </c>
      <c r="U32" s="1259" t="n">
        <v>7.5</v>
      </c>
    </row>
    <row r="33" s="349" customFormat="true" ht="12.75" hidden="false" customHeight="true" outlineLevel="0" collapsed="false">
      <c r="A33" s="1271" t="s">
        <v>2090</v>
      </c>
      <c r="B33" s="1271"/>
      <c r="C33" s="1271"/>
      <c r="D33" s="1271"/>
      <c r="I33" s="1253"/>
      <c r="J33" s="1253"/>
      <c r="K33" s="1253"/>
      <c r="L33" s="1253"/>
      <c r="M33" s="1253"/>
      <c r="N33" s="1253"/>
      <c r="O33" s="1253"/>
      <c r="P33" s="1253"/>
      <c r="Q33" s="1253"/>
      <c r="R33" s="1253"/>
      <c r="S33" s="1253"/>
      <c r="T33" s="1253"/>
      <c r="U33" s="1253"/>
    </row>
    <row r="34" s="349" customFormat="true" ht="12.75" hidden="false" customHeight="true" outlineLevel="0" collapsed="false">
      <c r="A34" s="1272"/>
      <c r="B34" s="1254"/>
      <c r="C34" s="1270" t="s">
        <v>2085</v>
      </c>
      <c r="D34" s="1270"/>
      <c r="E34" s="1265" t="s">
        <v>2069</v>
      </c>
      <c r="F34" s="1265" t="s">
        <v>2069</v>
      </c>
      <c r="G34" s="1265" t="s">
        <v>2069</v>
      </c>
      <c r="H34" s="1265" t="s">
        <v>2091</v>
      </c>
      <c r="I34" s="1273" t="s">
        <v>2091</v>
      </c>
      <c r="J34" s="1273" t="s">
        <v>2091</v>
      </c>
      <c r="K34" s="1273" t="s">
        <v>2091</v>
      </c>
      <c r="L34" s="1273" t="s">
        <v>2091</v>
      </c>
      <c r="M34" s="1273" t="s">
        <v>2091</v>
      </c>
      <c r="N34" s="1273" t="s">
        <v>2091</v>
      </c>
      <c r="O34" s="1273" t="s">
        <v>2091</v>
      </c>
      <c r="P34" s="1273" t="s">
        <v>2091</v>
      </c>
      <c r="Q34" s="1273" t="s">
        <v>2091</v>
      </c>
      <c r="R34" s="1273" t="s">
        <v>2091</v>
      </c>
      <c r="S34" s="1273" t="s">
        <v>2091</v>
      </c>
      <c r="T34" s="1273" t="s">
        <v>2091</v>
      </c>
      <c r="U34" s="1273" t="s">
        <v>2091</v>
      </c>
    </row>
    <row r="35" s="349" customFormat="true" ht="12.75" hidden="false" customHeight="true" outlineLevel="0" collapsed="false">
      <c r="A35" s="1274"/>
      <c r="C35" s="1257" t="s">
        <v>2087</v>
      </c>
      <c r="D35" s="1257"/>
      <c r="E35" s="198" t="s">
        <v>2069</v>
      </c>
      <c r="F35" s="198" t="s">
        <v>2069</v>
      </c>
      <c r="G35" s="198" t="s">
        <v>2069</v>
      </c>
      <c r="H35" s="198" t="n">
        <v>5.5</v>
      </c>
      <c r="I35" s="1258" t="n">
        <v>5.5</v>
      </c>
      <c r="J35" s="1258" t="n">
        <v>5.5</v>
      </c>
      <c r="K35" s="1258" t="n">
        <v>5.5</v>
      </c>
      <c r="L35" s="1258" t="n">
        <v>5.5</v>
      </c>
      <c r="M35" s="1258" t="n">
        <v>5.5</v>
      </c>
      <c r="N35" s="1258" t="n">
        <v>5.5</v>
      </c>
      <c r="O35" s="1258" t="n">
        <v>5.5</v>
      </c>
      <c r="P35" s="1258" t="n">
        <v>5.5</v>
      </c>
      <c r="Q35" s="1258" t="n">
        <v>5.5</v>
      </c>
      <c r="R35" s="1258" t="n">
        <v>5.5</v>
      </c>
      <c r="S35" s="1258" t="n">
        <v>5.5</v>
      </c>
      <c r="T35" s="1258" t="n">
        <v>5.5</v>
      </c>
      <c r="U35" s="1258" t="n">
        <v>5.5</v>
      </c>
    </row>
    <row r="36" s="349" customFormat="true" ht="12.75" hidden="false" customHeight="true" outlineLevel="0" collapsed="false">
      <c r="A36" s="1272"/>
      <c r="B36" s="1254"/>
      <c r="C36" s="1255" t="s">
        <v>2088</v>
      </c>
      <c r="D36" s="1255"/>
      <c r="E36" s="1243" t="s">
        <v>2069</v>
      </c>
      <c r="F36" s="1243" t="s">
        <v>2069</v>
      </c>
      <c r="G36" s="1243" t="s">
        <v>2069</v>
      </c>
      <c r="H36" s="1243" t="n">
        <v>6</v>
      </c>
      <c r="I36" s="1259" t="n">
        <v>6</v>
      </c>
      <c r="J36" s="1259" t="n">
        <v>6</v>
      </c>
      <c r="K36" s="1259" t="n">
        <v>6</v>
      </c>
      <c r="L36" s="1259" t="n">
        <v>6</v>
      </c>
      <c r="M36" s="1259" t="n">
        <v>6</v>
      </c>
      <c r="N36" s="1259" t="n">
        <v>6</v>
      </c>
      <c r="O36" s="1259" t="n">
        <v>6</v>
      </c>
      <c r="P36" s="1259" t="n">
        <v>6</v>
      </c>
      <c r="Q36" s="1259" t="n">
        <v>6</v>
      </c>
      <c r="R36" s="1259" t="n">
        <v>6</v>
      </c>
      <c r="S36" s="1259" t="n">
        <v>6</v>
      </c>
      <c r="T36" s="1259" t="n">
        <v>6</v>
      </c>
      <c r="U36" s="1259" t="n">
        <v>6</v>
      </c>
    </row>
    <row r="37" s="349" customFormat="true" ht="12.75" hidden="false" customHeight="true" outlineLevel="0" collapsed="false">
      <c r="A37" s="1274"/>
      <c r="C37" s="1172" t="s">
        <v>2089</v>
      </c>
      <c r="D37" s="1172"/>
      <c r="E37" s="198" t="s">
        <v>2069</v>
      </c>
      <c r="F37" s="198" t="s">
        <v>2069</v>
      </c>
      <c r="G37" s="198" t="s">
        <v>2069</v>
      </c>
      <c r="H37" s="198" t="n">
        <v>6.5</v>
      </c>
      <c r="I37" s="1258" t="n">
        <v>6.5</v>
      </c>
      <c r="J37" s="1258" t="n">
        <v>6.5</v>
      </c>
      <c r="K37" s="1258" t="n">
        <v>6.5</v>
      </c>
      <c r="L37" s="1258" t="n">
        <v>6.5</v>
      </c>
      <c r="M37" s="1258" t="n">
        <v>6.5</v>
      </c>
      <c r="N37" s="1258" t="n">
        <v>6.5</v>
      </c>
      <c r="O37" s="1258" t="n">
        <v>6.5</v>
      </c>
      <c r="P37" s="1258" t="n">
        <v>6.5</v>
      </c>
      <c r="Q37" s="1258" t="n">
        <v>6.5</v>
      </c>
      <c r="R37" s="1258" t="n">
        <v>6.5</v>
      </c>
      <c r="S37" s="1258" t="n">
        <v>6.5</v>
      </c>
      <c r="T37" s="1258" t="n">
        <v>6.5</v>
      </c>
      <c r="U37" s="1258" t="n">
        <v>6.5</v>
      </c>
    </row>
    <row r="38" s="349" customFormat="true" ht="22.5" hidden="false" customHeight="true" outlineLevel="0" collapsed="false">
      <c r="A38" s="1275" t="s">
        <v>2092</v>
      </c>
      <c r="B38" s="1276" t="s">
        <v>2093</v>
      </c>
      <c r="C38" s="1276"/>
      <c r="D38" s="1276"/>
      <c r="E38" s="1277"/>
      <c r="F38" s="1277"/>
      <c r="G38" s="1277"/>
      <c r="H38" s="1277"/>
      <c r="I38" s="1277"/>
      <c r="J38" s="1277"/>
      <c r="K38" s="1277"/>
      <c r="L38" s="1277"/>
      <c r="M38" s="1278"/>
      <c r="N38" s="1278"/>
      <c r="O38" s="1278"/>
      <c r="P38" s="1278"/>
      <c r="Q38" s="1278"/>
      <c r="R38" s="1278"/>
      <c r="S38" s="1278"/>
      <c r="T38" s="1278"/>
      <c r="U38" s="1278"/>
    </row>
    <row r="39" s="349" customFormat="true" ht="13.5" hidden="false" customHeight="true" outlineLevel="0" collapsed="false">
      <c r="A39" s="1233"/>
      <c r="B39" s="1279" t="s">
        <v>2094</v>
      </c>
      <c r="C39" s="1279"/>
      <c r="D39" s="1279"/>
      <c r="E39" s="1268"/>
      <c r="F39" s="1268"/>
      <c r="G39" s="1268"/>
      <c r="H39" s="1268"/>
      <c r="I39" s="1268"/>
      <c r="J39" s="1268"/>
      <c r="K39" s="1268"/>
      <c r="L39" s="1268"/>
      <c r="M39" s="1280"/>
      <c r="N39" s="1280"/>
      <c r="O39" s="1280"/>
      <c r="P39" s="1280"/>
      <c r="Q39" s="1280"/>
      <c r="R39" s="1280"/>
      <c r="S39" s="1280"/>
      <c r="T39" s="1280"/>
      <c r="U39" s="1280"/>
    </row>
    <row r="40" s="349" customFormat="true" ht="13.5" hidden="false" customHeight="true" outlineLevel="0" collapsed="false">
      <c r="A40" s="1240"/>
      <c r="B40" s="1241"/>
      <c r="C40" s="840" t="s">
        <v>2095</v>
      </c>
      <c r="D40" s="840"/>
      <c r="E40" s="1243" t="n">
        <v>13</v>
      </c>
      <c r="F40" s="1243" t="n">
        <v>13</v>
      </c>
      <c r="G40" s="1243" t="n">
        <v>13</v>
      </c>
      <c r="H40" s="1243" t="n">
        <v>13</v>
      </c>
      <c r="I40" s="1243" t="n">
        <v>13</v>
      </c>
      <c r="J40" s="1243" t="n">
        <v>13</v>
      </c>
      <c r="K40" s="1243" t="n">
        <v>13</v>
      </c>
      <c r="L40" s="1243" t="n">
        <v>12</v>
      </c>
      <c r="M40" s="174" t="n">
        <v>12</v>
      </c>
      <c r="N40" s="174" t="n">
        <v>12</v>
      </c>
      <c r="O40" s="174" t="n">
        <v>12</v>
      </c>
      <c r="P40" s="174" t="n">
        <v>12</v>
      </c>
      <c r="Q40" s="174" t="n">
        <v>12</v>
      </c>
      <c r="R40" s="174" t="n">
        <v>12</v>
      </c>
      <c r="S40" s="174" t="n">
        <v>12</v>
      </c>
      <c r="T40" s="174" t="n">
        <v>12</v>
      </c>
      <c r="U40" s="174" t="n">
        <v>12</v>
      </c>
    </row>
    <row r="41" s="349" customFormat="true" ht="13.5" hidden="false" customHeight="true" outlineLevel="0" collapsed="false">
      <c r="A41" s="1233"/>
      <c r="B41" s="1238"/>
      <c r="C41" s="842" t="s">
        <v>2096</v>
      </c>
      <c r="D41" s="842"/>
      <c r="E41" s="198" t="n">
        <v>15</v>
      </c>
      <c r="F41" s="198" t="n">
        <v>15</v>
      </c>
      <c r="G41" s="198" t="n">
        <v>15</v>
      </c>
      <c r="H41" s="198" t="n">
        <v>15</v>
      </c>
      <c r="I41" s="198" t="n">
        <v>15</v>
      </c>
      <c r="J41" s="198" t="n">
        <v>15</v>
      </c>
      <c r="K41" s="198" t="n">
        <v>15</v>
      </c>
      <c r="L41" s="198" t="n">
        <v>12</v>
      </c>
      <c r="M41" s="1281" t="n">
        <v>12</v>
      </c>
      <c r="N41" s="1281" t="n">
        <v>12</v>
      </c>
      <c r="O41" s="1281" t="n">
        <v>12</v>
      </c>
      <c r="P41" s="1281" t="n">
        <v>12</v>
      </c>
      <c r="Q41" s="1281" t="n">
        <v>12</v>
      </c>
      <c r="R41" s="1281" t="n">
        <v>12</v>
      </c>
      <c r="S41" s="1281" t="n">
        <v>12</v>
      </c>
      <c r="T41" s="1281" t="n">
        <v>12</v>
      </c>
      <c r="U41" s="1281" t="n">
        <v>12</v>
      </c>
    </row>
    <row r="42" s="349" customFormat="true" ht="13.5" hidden="false" customHeight="true" outlineLevel="0" collapsed="false">
      <c r="A42" s="1282"/>
      <c r="B42" s="1283" t="s">
        <v>2097</v>
      </c>
      <c r="C42" s="1283"/>
      <c r="D42" s="1283"/>
      <c r="E42" s="1284" t="n">
        <v>10</v>
      </c>
      <c r="F42" s="1284" t="n">
        <v>10</v>
      </c>
      <c r="G42" s="1284" t="n">
        <v>10</v>
      </c>
      <c r="H42" s="1284" t="n">
        <v>10</v>
      </c>
      <c r="I42" s="1284" t="n">
        <v>10</v>
      </c>
      <c r="J42" s="1284" t="n">
        <v>10</v>
      </c>
      <c r="K42" s="1284" t="n">
        <v>10</v>
      </c>
      <c r="L42" s="1284" t="n">
        <v>10</v>
      </c>
      <c r="M42" s="308" t="n">
        <v>10</v>
      </c>
      <c r="N42" s="308" t="n">
        <v>10</v>
      </c>
      <c r="O42" s="308" t="n">
        <v>10</v>
      </c>
      <c r="P42" s="308" t="n">
        <v>10</v>
      </c>
      <c r="Q42" s="308" t="n">
        <v>10</v>
      </c>
      <c r="R42" s="308" t="n">
        <v>10</v>
      </c>
      <c r="S42" s="308" t="n">
        <v>10</v>
      </c>
      <c r="T42" s="308" t="n">
        <v>10</v>
      </c>
      <c r="U42" s="308" t="n">
        <v>10</v>
      </c>
    </row>
    <row r="43" s="653" customFormat="true" ht="10.5" hidden="false" customHeight="true" outlineLevel="0" collapsed="false">
      <c r="A43" s="1285" t="s">
        <v>232</v>
      </c>
      <c r="B43" s="1218"/>
      <c r="C43" s="1286" t="s">
        <v>2098</v>
      </c>
      <c r="D43" s="1286"/>
      <c r="E43" s="1286"/>
      <c r="F43" s="1286"/>
      <c r="G43" s="1286"/>
      <c r="K43" s="1287" t="s">
        <v>2099</v>
      </c>
      <c r="L43" s="868"/>
      <c r="M43" s="1288"/>
      <c r="N43" s="1289"/>
      <c r="O43" s="1289"/>
      <c r="P43" s="1289"/>
      <c r="Q43" s="1289"/>
      <c r="R43" s="1289"/>
      <c r="S43" s="1289"/>
      <c r="T43" s="1289"/>
      <c r="U43" s="1289"/>
    </row>
    <row r="44" s="868" customFormat="true" ht="9.75" hidden="false" customHeight="true" outlineLevel="0" collapsed="false">
      <c r="A44" s="1285"/>
      <c r="B44" s="1218"/>
      <c r="C44" s="1286" t="s">
        <v>2100</v>
      </c>
      <c r="D44" s="1286"/>
      <c r="E44" s="1286"/>
      <c r="F44" s="1286"/>
      <c r="G44" s="1286"/>
      <c r="K44" s="1287" t="s">
        <v>2101</v>
      </c>
      <c r="L44" s="1290"/>
      <c r="M44" s="1290"/>
      <c r="N44" s="1288"/>
    </row>
    <row r="45" s="868" customFormat="true" ht="9.75" hidden="false" customHeight="true" outlineLevel="0" collapsed="false">
      <c r="A45" s="1291"/>
      <c r="B45" s="1218"/>
      <c r="C45" s="1286" t="s">
        <v>2102</v>
      </c>
      <c r="D45" s="1286"/>
      <c r="E45" s="1288"/>
      <c r="F45" s="1288"/>
      <c r="G45" s="1288"/>
      <c r="K45" s="1287" t="s">
        <v>2103</v>
      </c>
    </row>
    <row r="46" s="868" customFormat="true" ht="9.75" hidden="false" customHeight="true" outlineLevel="0" collapsed="false">
      <c r="A46" s="1291"/>
      <c r="B46" s="1218"/>
      <c r="C46" s="1290" t="s">
        <v>2104</v>
      </c>
      <c r="F46" s="1288"/>
      <c r="G46" s="1288"/>
      <c r="H46" s="1288"/>
      <c r="K46" s="1287" t="s">
        <v>2105</v>
      </c>
    </row>
    <row r="47" s="735" customFormat="true" ht="9.75" hidden="false" customHeight="true" outlineLevel="0" collapsed="false">
      <c r="A47" s="1292"/>
      <c r="F47" s="1290"/>
      <c r="G47" s="1290"/>
      <c r="H47" s="1290"/>
      <c r="K47" s="1287" t="s">
        <v>2106</v>
      </c>
    </row>
    <row r="48" s="735" customFormat="true" ht="9.75" hidden="false" customHeight="true" outlineLevel="0" collapsed="false">
      <c r="A48" s="1293"/>
      <c r="D48" s="1290"/>
      <c r="E48" s="1290"/>
      <c r="F48" s="1290"/>
      <c r="G48" s="1290"/>
      <c r="H48" s="1290"/>
    </row>
    <row r="54" customFormat="false" ht="12.75" hidden="false" customHeight="false" outlineLevel="0" collapsed="false">
      <c r="B54" s="1294"/>
      <c r="C54" s="1295"/>
      <c r="D54" s="1296"/>
      <c r="E54" s="1297"/>
      <c r="F54" s="1298"/>
      <c r="G54" s="1297"/>
      <c r="H54" s="1297"/>
    </row>
    <row r="55" customFormat="false" ht="12.75" hidden="false" customHeight="false" outlineLevel="0" collapsed="false">
      <c r="B55" s="1299"/>
      <c r="C55" s="1295"/>
      <c r="D55" s="1300"/>
      <c r="E55" s="1297"/>
      <c r="F55" s="1298"/>
      <c r="G55" s="1301"/>
      <c r="H55" s="1301"/>
    </row>
    <row r="56" customFormat="false" ht="12.75" hidden="false" customHeight="false" outlineLevel="0" collapsed="false">
      <c r="B56" s="1302"/>
      <c r="C56" s="1302"/>
      <c r="D56" s="1303"/>
      <c r="E56" s="1302"/>
      <c r="F56" s="1302"/>
      <c r="G56" s="1302"/>
      <c r="H56" s="1302"/>
    </row>
    <row r="57" customFormat="false" ht="12.75" hidden="false" customHeight="false" outlineLevel="0" collapsed="false">
      <c r="B57" s="1304"/>
      <c r="C57" s="1302"/>
      <c r="D57" s="1303"/>
      <c r="E57" s="1302"/>
      <c r="F57" s="1302"/>
      <c r="G57" s="1302"/>
      <c r="H57" s="1302"/>
    </row>
  </sheetData>
  <mergeCells count="46">
    <mergeCell ref="A1:I1"/>
    <mergeCell ref="J1:R1"/>
    <mergeCell ref="S1:U1"/>
    <mergeCell ref="A2:D3"/>
    <mergeCell ref="B4:D4"/>
    <mergeCell ref="B5:D5"/>
    <mergeCell ref="A6:D6"/>
    <mergeCell ref="B7:D7"/>
    <mergeCell ref="B8:D8"/>
    <mergeCell ref="C9:D9"/>
    <mergeCell ref="C10:D10"/>
    <mergeCell ref="C11:D11"/>
    <mergeCell ref="B12:D12"/>
    <mergeCell ref="C13:D13"/>
    <mergeCell ref="C14:D14"/>
    <mergeCell ref="C15:D15"/>
    <mergeCell ref="A16:D16"/>
    <mergeCell ref="B17:D17"/>
    <mergeCell ref="B18:D18"/>
    <mergeCell ref="B19:D19"/>
    <mergeCell ref="B20:D20"/>
    <mergeCell ref="A21:D21"/>
    <mergeCell ref="C22:D22"/>
    <mergeCell ref="C23:D23"/>
    <mergeCell ref="C24:D24"/>
    <mergeCell ref="C25:D25"/>
    <mergeCell ref="C26:D26"/>
    <mergeCell ref="C27:D27"/>
    <mergeCell ref="A28:D28"/>
    <mergeCell ref="C29:D29"/>
    <mergeCell ref="C30:D30"/>
    <mergeCell ref="C31:D31"/>
    <mergeCell ref="C32:D32"/>
    <mergeCell ref="A33:D33"/>
    <mergeCell ref="C34:D34"/>
    <mergeCell ref="C35:D35"/>
    <mergeCell ref="C36:D36"/>
    <mergeCell ref="C37:D37"/>
    <mergeCell ref="B38:D38"/>
    <mergeCell ref="B39:D39"/>
    <mergeCell ref="C40:D40"/>
    <mergeCell ref="C41:D41"/>
    <mergeCell ref="B42:D42"/>
    <mergeCell ref="C43:D43"/>
    <mergeCell ref="C44:G44"/>
    <mergeCell ref="C45:D45"/>
  </mergeCells>
  <printOptions headings="false" gridLines="false" gridLinesSet="true" horizontalCentered="false" verticalCentered="false"/>
  <pageMargins left="0.511805555555555" right="0.511805555555555" top="0.511805555555555" bottom="0.511805555555556" header="0.511805555555555" footer="0.433333333333333"/>
  <pageSetup paperSize="1" scale="100" firstPageNumber="64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>&amp;C&amp;"Times New Roman,Regular"&amp;8&amp;P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50"/>
  <sheetViews>
    <sheetView showFormulas="false" showGridLines="true" showRowColHeaders="true" showZeros="true" rightToLeft="false" tabSelected="false" showOutlineSymbols="true" defaultGridColor="true" view="normal" topLeftCell="BG37" colorId="64" zoomScale="170" zoomScaleNormal="170" zoomScalePageLayoutView="100" workbookViewId="0">
      <pane xSplit="20039" ySplit="0" topLeftCell="AP37" activePane="topLeft" state="split"/>
      <selection pane="topLeft" activeCell="BN1" activeCellId="0" sqref="BN1"/>
      <selection pane="topRight" activeCell="AP37" activeCellId="0" sqref="AP37"/>
    </sheetView>
  </sheetViews>
  <sheetFormatPr defaultColWidth="9.15625" defaultRowHeight="11.25" zeroHeight="false" outlineLevelRow="0" outlineLevelCol="0"/>
  <cols>
    <col collapsed="false" customWidth="true" hidden="false" outlineLevel="0" max="1" min="1" style="107" width="2.99"/>
    <col collapsed="false" customWidth="true" hidden="false" outlineLevel="0" max="2" min="2" style="735" width="16.29"/>
    <col collapsed="false" customWidth="true" hidden="false" outlineLevel="0" max="3" min="3" style="107" width="7.71"/>
    <col collapsed="false" customWidth="true" hidden="false" outlineLevel="0" max="4" min="4" style="107" width="7.42"/>
    <col collapsed="false" customWidth="true" hidden="false" outlineLevel="0" max="5" min="5" style="107" width="7.15"/>
    <col collapsed="false" customWidth="true" hidden="false" outlineLevel="0" max="9" min="6" style="107" width="7.86"/>
    <col collapsed="false" customWidth="true" hidden="false" outlineLevel="0" max="10" min="10" style="107" width="7.71"/>
    <col collapsed="false" customWidth="true" hidden="false" outlineLevel="0" max="11" min="11" style="107" width="8.57"/>
    <col collapsed="false" customWidth="true" hidden="false" outlineLevel="0" max="12" min="12" style="107" width="8.86"/>
    <col collapsed="false" customWidth="true" hidden="false" outlineLevel="0" max="13" min="13" style="107" width="8.14"/>
    <col collapsed="false" customWidth="true" hidden="false" outlineLevel="0" max="14" min="14" style="107" width="7.57"/>
    <col collapsed="false" customWidth="true" hidden="false" outlineLevel="0" max="15" min="15" style="107" width="8.86"/>
    <col collapsed="false" customWidth="true" hidden="false" outlineLevel="0" max="16" min="16" style="107" width="8"/>
    <col collapsed="false" customWidth="true" hidden="false" outlineLevel="0" max="17" min="17" style="107" width="6.57"/>
    <col collapsed="false" customWidth="true" hidden="false" outlineLevel="0" max="18" min="18" style="107" width="4.14"/>
    <col collapsed="false" customWidth="true" hidden="false" outlineLevel="0" max="19" min="19" style="735" width="18"/>
    <col collapsed="false" customWidth="true" hidden="false" outlineLevel="0" max="20" min="20" style="107" width="6.71"/>
    <col collapsed="false" customWidth="true" hidden="false" outlineLevel="0" max="21" min="21" style="735" width="15.57"/>
    <col collapsed="false" customWidth="true" hidden="false" outlineLevel="0" max="22" min="22" style="107" width="10"/>
    <col collapsed="false" customWidth="true" hidden="false" outlineLevel="0" max="23" min="23" style="107" width="8.42"/>
    <col collapsed="false" customWidth="true" hidden="false" outlineLevel="0" max="24" min="24" style="107" width="10.42"/>
    <col collapsed="false" customWidth="true" hidden="false" outlineLevel="0" max="25" min="25" style="107" width="9.85"/>
    <col collapsed="false" customWidth="true" hidden="false" outlineLevel="0" max="27" min="26" style="107" width="9.71"/>
    <col collapsed="false" customWidth="true" hidden="false" outlineLevel="0" max="28" min="28" style="107" width="10.58"/>
    <col collapsed="false" customWidth="true" hidden="false" outlineLevel="0" max="30" min="29" style="107" width="9.29"/>
    <col collapsed="false" customWidth="true" hidden="false" outlineLevel="0" max="31" min="31" style="107" width="11.86"/>
    <col collapsed="false" customWidth="true" hidden="false" outlineLevel="0" max="32" min="32" style="107" width="10.14"/>
    <col collapsed="false" customWidth="true" hidden="false" outlineLevel="0" max="33" min="33" style="107" width="9.71"/>
    <col collapsed="false" customWidth="true" hidden="false" outlineLevel="0" max="34" min="34" style="107" width="2.99"/>
    <col collapsed="false" customWidth="true" hidden="false" outlineLevel="0" max="35" min="35" style="735" width="16.42"/>
    <col collapsed="false" customWidth="true" hidden="false" outlineLevel="0" max="36" min="36" style="107" width="2.99"/>
    <col collapsed="false" customWidth="true" hidden="false" outlineLevel="0" max="37" min="37" style="735" width="16.57"/>
    <col collapsed="false" customWidth="false" hidden="false" outlineLevel="0" max="38" min="38" style="107" width="9.14"/>
    <col collapsed="false" customWidth="true" hidden="false" outlineLevel="0" max="39" min="39" style="107" width="10"/>
    <col collapsed="false" customWidth="true" hidden="false" outlineLevel="0" max="40" min="40" style="107" width="9.29"/>
    <col collapsed="false" customWidth="true" hidden="false" outlineLevel="0" max="41" min="41" style="107" width="9"/>
    <col collapsed="false" customWidth="true" hidden="false" outlineLevel="0" max="42" min="42" style="107" width="10.42"/>
    <col collapsed="false" customWidth="true" hidden="false" outlineLevel="0" max="43" min="43" style="107" width="10"/>
    <col collapsed="false" customWidth="true" hidden="false" outlineLevel="0" max="44" min="44" style="107" width="10.14"/>
    <col collapsed="false" customWidth="true" hidden="false" outlineLevel="0" max="45" min="45" style="107" width="8.71"/>
    <col collapsed="false" customWidth="true" hidden="false" outlineLevel="0" max="46" min="46" style="107" width="9.85"/>
    <col collapsed="false" customWidth="true" hidden="false" outlineLevel="0" max="47" min="47" style="107" width="8.71"/>
    <col collapsed="false" customWidth="true" hidden="false" outlineLevel="0" max="48" min="48" style="107" width="8"/>
    <col collapsed="false" customWidth="true" hidden="false" outlineLevel="0" max="49" min="49" style="107" width="7.42"/>
    <col collapsed="false" customWidth="false" hidden="false" outlineLevel="0" max="50" min="50" style="107" width="9.14"/>
    <col collapsed="false" customWidth="true" hidden="false" outlineLevel="0" max="51" min="51" style="107" width="2.99"/>
    <col collapsed="false" customWidth="true" hidden="false" outlineLevel="0" max="52" min="52" style="735" width="15.42"/>
    <col collapsed="false" customWidth="true" hidden="false" outlineLevel="0" max="53" min="53" style="107" width="2.99"/>
    <col collapsed="false" customWidth="true" hidden="false" outlineLevel="0" max="54" min="54" style="735" width="18"/>
    <col collapsed="false" customWidth="true" hidden="false" outlineLevel="0" max="55" min="55" style="107" width="13.57"/>
    <col collapsed="false" customWidth="true" hidden="false" outlineLevel="0" max="56" min="56" style="107" width="13.86"/>
    <col collapsed="false" customWidth="true" hidden="false" outlineLevel="0" max="57" min="57" style="107" width="15.42"/>
    <col collapsed="false" customWidth="true" hidden="false" outlineLevel="0" max="58" min="58" style="107" width="14.43"/>
    <col collapsed="false" customWidth="true" hidden="false" outlineLevel="0" max="59" min="59" style="107" width="15.71"/>
    <col collapsed="false" customWidth="true" hidden="false" outlineLevel="0" max="61" min="60" style="107" width="14.28"/>
    <col collapsed="false" customWidth="true" hidden="false" outlineLevel="0" max="62" min="62" style="107" width="13.01"/>
    <col collapsed="false" customWidth="true" hidden="false" outlineLevel="0" max="63" min="63" style="107" width="2.99"/>
    <col collapsed="false" customWidth="true" hidden="false" outlineLevel="0" max="64" min="64" style="735" width="16.71"/>
    <col collapsed="false" customWidth="false" hidden="false" outlineLevel="0" max="1024" min="65" style="107" width="9.14"/>
  </cols>
  <sheetData>
    <row r="1" s="264" customFormat="true" ht="13.5" hidden="false" customHeight="true" outlineLevel="0" collapsed="false">
      <c r="B1" s="119" t="s">
        <v>2107</v>
      </c>
      <c r="C1" s="119"/>
      <c r="D1" s="119"/>
      <c r="E1" s="119"/>
      <c r="F1" s="119"/>
      <c r="G1" s="119"/>
      <c r="H1" s="119"/>
      <c r="I1" s="119"/>
      <c r="J1" s="119"/>
      <c r="K1" s="1305" t="s">
        <v>2108</v>
      </c>
      <c r="L1" s="1305"/>
      <c r="M1" s="1305"/>
      <c r="N1" s="1305"/>
      <c r="O1" s="1305"/>
      <c r="P1" s="1305"/>
      <c r="Q1" s="1305"/>
      <c r="R1" s="1306" t="s">
        <v>2109</v>
      </c>
      <c r="S1" s="1306"/>
      <c r="T1" s="119" t="s">
        <v>2110</v>
      </c>
      <c r="U1" s="119"/>
      <c r="V1" s="119"/>
      <c r="W1" s="119"/>
      <c r="X1" s="119"/>
      <c r="Y1" s="119"/>
      <c r="Z1" s="119"/>
      <c r="AA1" s="119"/>
      <c r="AB1" s="1305" t="s">
        <v>2108</v>
      </c>
      <c r="AC1" s="1305"/>
      <c r="AD1" s="1305"/>
      <c r="AE1" s="1305"/>
      <c r="AF1" s="1305"/>
      <c r="AG1" s="1305"/>
      <c r="AH1" s="1306" t="s">
        <v>2109</v>
      </c>
      <c r="AI1" s="1306"/>
      <c r="AJ1" s="119" t="s">
        <v>2111</v>
      </c>
      <c r="AK1" s="119"/>
      <c r="AL1" s="119"/>
      <c r="AM1" s="119"/>
      <c r="AN1" s="119"/>
      <c r="AO1" s="119"/>
      <c r="AP1" s="119"/>
      <c r="AQ1" s="119"/>
      <c r="AR1" s="1024" t="s">
        <v>2108</v>
      </c>
      <c r="AS1" s="1024"/>
      <c r="AT1" s="1024"/>
      <c r="AU1" s="1024"/>
      <c r="AV1" s="1024"/>
      <c r="AW1" s="1024"/>
      <c r="AX1" s="1307"/>
      <c r="AY1" s="1306" t="s">
        <v>2109</v>
      </c>
      <c r="AZ1" s="1306"/>
      <c r="BB1" s="1308"/>
      <c r="BC1" s="119" t="s">
        <v>2107</v>
      </c>
      <c r="BD1" s="119"/>
      <c r="BE1" s="119"/>
      <c r="BF1" s="119"/>
      <c r="BG1" s="1305" t="s">
        <v>2108</v>
      </c>
      <c r="BH1" s="1305"/>
      <c r="BI1" s="1305"/>
      <c r="BJ1" s="1305"/>
      <c r="BK1" s="1306" t="s">
        <v>2112</v>
      </c>
      <c r="BL1" s="1306"/>
    </row>
    <row r="2" customFormat="false" ht="11.25" hidden="false" customHeight="true" outlineLevel="0" collapsed="false">
      <c r="C2" s="1309"/>
      <c r="D2" s="1309"/>
      <c r="E2" s="1309"/>
      <c r="F2" s="1309"/>
      <c r="G2" s="1309"/>
      <c r="H2" s="1309"/>
      <c r="I2" s="1309"/>
      <c r="J2" s="1309"/>
      <c r="K2" s="1310"/>
      <c r="L2" s="1310"/>
      <c r="M2" s="848"/>
      <c r="N2" s="848"/>
      <c r="O2" s="848"/>
      <c r="P2" s="848"/>
      <c r="R2" s="1311"/>
      <c r="S2" s="996" t="s">
        <v>2113</v>
      </c>
      <c r="X2" s="163"/>
      <c r="Y2" s="163"/>
      <c r="Z2" s="1310"/>
      <c r="AA2" s="1310"/>
      <c r="AB2" s="1310"/>
      <c r="AC2" s="1310"/>
      <c r="AD2" s="1310"/>
      <c r="AE2" s="1310"/>
      <c r="AF2" s="1310"/>
      <c r="AG2" s="848"/>
      <c r="AH2" s="1311"/>
      <c r="AI2" s="996" t="s">
        <v>2113</v>
      </c>
      <c r="AJ2" s="1311"/>
      <c r="AK2" s="996"/>
      <c r="AM2" s="1309"/>
      <c r="AN2" s="1309"/>
      <c r="AO2" s="900"/>
      <c r="AP2" s="1310"/>
      <c r="AQ2" s="1310"/>
      <c r="AR2" s="1310"/>
      <c r="AS2" s="1310"/>
      <c r="AT2" s="1310"/>
      <c r="AU2" s="1310"/>
      <c r="AV2" s="1310"/>
      <c r="AW2" s="848"/>
      <c r="AX2" s="848"/>
      <c r="AY2" s="1311"/>
      <c r="AZ2" s="996" t="s">
        <v>2113</v>
      </c>
      <c r="BC2" s="1309"/>
      <c r="BD2" s="1309"/>
      <c r="BE2" s="900"/>
      <c r="BF2" s="900"/>
      <c r="BG2" s="1310"/>
      <c r="BH2" s="1310"/>
      <c r="BI2" s="1310"/>
      <c r="BJ2" s="848"/>
      <c r="BK2" s="1311"/>
      <c r="BL2" s="996" t="s">
        <v>2113</v>
      </c>
    </row>
    <row r="3" s="1314" customFormat="true" ht="13.5" hidden="false" customHeight="true" outlineLevel="0" collapsed="false">
      <c r="A3" s="266" t="s">
        <v>2114</v>
      </c>
      <c r="B3" s="266"/>
      <c r="C3" s="1312" t="s">
        <v>2115</v>
      </c>
      <c r="D3" s="1312"/>
      <c r="E3" s="1312"/>
      <c r="F3" s="1312"/>
      <c r="G3" s="1312"/>
      <c r="H3" s="1312"/>
      <c r="I3" s="1313" t="s">
        <v>2116</v>
      </c>
      <c r="J3" s="1313"/>
      <c r="K3" s="1312" t="s">
        <v>2117</v>
      </c>
      <c r="L3" s="1312"/>
      <c r="M3" s="1312"/>
      <c r="N3" s="1312"/>
      <c r="O3" s="1312"/>
      <c r="P3" s="1312"/>
      <c r="Q3" s="1312"/>
      <c r="R3" s="266" t="s">
        <v>2114</v>
      </c>
      <c r="S3" s="266"/>
      <c r="T3" s="266" t="s">
        <v>2114</v>
      </c>
      <c r="U3" s="266"/>
      <c r="V3" s="1312" t="s">
        <v>2118</v>
      </c>
      <c r="W3" s="1312"/>
      <c r="X3" s="1312"/>
      <c r="Y3" s="1312"/>
      <c r="Z3" s="1312"/>
      <c r="AA3" s="1312"/>
      <c r="AB3" s="1312"/>
      <c r="AC3" s="1312"/>
      <c r="AD3" s="1312"/>
      <c r="AE3" s="1312"/>
      <c r="AF3" s="1312"/>
      <c r="AG3" s="1312"/>
      <c r="AH3" s="266" t="s">
        <v>2114</v>
      </c>
      <c r="AI3" s="266"/>
      <c r="AJ3" s="997" t="s">
        <v>2114</v>
      </c>
      <c r="AK3" s="997"/>
      <c r="AL3" s="1312" t="s">
        <v>2119</v>
      </c>
      <c r="AM3" s="1312"/>
      <c r="AN3" s="1312"/>
      <c r="AO3" s="1312"/>
      <c r="AP3" s="1312"/>
      <c r="AQ3" s="1312"/>
      <c r="AR3" s="1312"/>
      <c r="AS3" s="1312"/>
      <c r="AT3" s="1312"/>
      <c r="AU3" s="1312"/>
      <c r="AV3" s="1312"/>
      <c r="AW3" s="1312"/>
      <c r="AX3" s="1312"/>
      <c r="AY3" s="266" t="s">
        <v>2114</v>
      </c>
      <c r="AZ3" s="266"/>
      <c r="BA3" s="266" t="s">
        <v>2114</v>
      </c>
      <c r="BB3" s="266"/>
      <c r="BC3" s="1312" t="s">
        <v>2120</v>
      </c>
      <c r="BD3" s="1312"/>
      <c r="BE3" s="1312"/>
      <c r="BF3" s="1312"/>
      <c r="BG3" s="1312"/>
      <c r="BH3" s="1312"/>
      <c r="BI3" s="1312"/>
      <c r="BJ3" s="1312"/>
      <c r="BK3" s="266" t="s">
        <v>2114</v>
      </c>
      <c r="BL3" s="266"/>
    </row>
    <row r="4" s="363" customFormat="true" ht="24" hidden="false" customHeight="true" outlineLevel="0" collapsed="false">
      <c r="A4" s="266"/>
      <c r="B4" s="266"/>
      <c r="C4" s="138" t="s">
        <v>2121</v>
      </c>
      <c r="D4" s="138" t="s">
        <v>2122</v>
      </c>
      <c r="E4" s="138" t="s">
        <v>2123</v>
      </c>
      <c r="F4" s="138" t="s">
        <v>2124</v>
      </c>
      <c r="G4" s="138" t="s">
        <v>2125</v>
      </c>
      <c r="H4" s="138" t="s">
        <v>2126</v>
      </c>
      <c r="I4" s="138" t="s">
        <v>2127</v>
      </c>
      <c r="J4" s="138" t="s">
        <v>2128</v>
      </c>
      <c r="K4" s="146" t="s">
        <v>2129</v>
      </c>
      <c r="L4" s="138" t="s">
        <v>2130</v>
      </c>
      <c r="M4" s="138" t="s">
        <v>2131</v>
      </c>
      <c r="N4" s="138" t="s">
        <v>2132</v>
      </c>
      <c r="O4" s="138" t="s">
        <v>2133</v>
      </c>
      <c r="P4" s="138" t="s">
        <v>2134</v>
      </c>
      <c r="Q4" s="138" t="s">
        <v>2135</v>
      </c>
      <c r="R4" s="266"/>
      <c r="S4" s="266"/>
      <c r="T4" s="266"/>
      <c r="U4" s="266"/>
      <c r="V4" s="138" t="s">
        <v>2136</v>
      </c>
      <c r="W4" s="138" t="s">
        <v>2137</v>
      </c>
      <c r="X4" s="138" t="s">
        <v>2138</v>
      </c>
      <c r="Y4" s="138" t="s">
        <v>2139</v>
      </c>
      <c r="Z4" s="138" t="s">
        <v>2140</v>
      </c>
      <c r="AA4" s="138" t="s">
        <v>2141</v>
      </c>
      <c r="AB4" s="138" t="s">
        <v>2142</v>
      </c>
      <c r="AC4" s="138" t="s">
        <v>2143</v>
      </c>
      <c r="AD4" s="138" t="s">
        <v>2144</v>
      </c>
      <c r="AE4" s="138" t="s">
        <v>2145</v>
      </c>
      <c r="AF4" s="138" t="s">
        <v>2146</v>
      </c>
      <c r="AG4" s="138" t="s">
        <v>2147</v>
      </c>
      <c r="AH4" s="266"/>
      <c r="AI4" s="266"/>
      <c r="AJ4" s="997"/>
      <c r="AK4" s="997"/>
      <c r="AL4" s="138" t="s">
        <v>2148</v>
      </c>
      <c r="AM4" s="138" t="s">
        <v>2149</v>
      </c>
      <c r="AN4" s="138" t="s">
        <v>2150</v>
      </c>
      <c r="AO4" s="138" t="s">
        <v>2151</v>
      </c>
      <c r="AP4" s="138" t="s">
        <v>2152</v>
      </c>
      <c r="AQ4" s="138" t="s">
        <v>2153</v>
      </c>
      <c r="AR4" s="138" t="s">
        <v>2154</v>
      </c>
      <c r="AS4" s="138" t="s">
        <v>2155</v>
      </c>
      <c r="AT4" s="138" t="s">
        <v>2156</v>
      </c>
      <c r="AU4" s="138" t="s">
        <v>2157</v>
      </c>
      <c r="AV4" s="138" t="s">
        <v>2158</v>
      </c>
      <c r="AW4" s="138" t="s">
        <v>2159</v>
      </c>
      <c r="AX4" s="138" t="s">
        <v>2160</v>
      </c>
      <c r="AY4" s="266"/>
      <c r="AZ4" s="266"/>
      <c r="BA4" s="266"/>
      <c r="BB4" s="266"/>
      <c r="BC4" s="997" t="s">
        <v>2161</v>
      </c>
      <c r="BD4" s="997" t="s">
        <v>2162</v>
      </c>
      <c r="BE4" s="997" t="s">
        <v>2163</v>
      </c>
      <c r="BF4" s="1315" t="s">
        <v>2164</v>
      </c>
      <c r="BG4" s="138" t="s">
        <v>2165</v>
      </c>
      <c r="BH4" s="138" t="s">
        <v>2166</v>
      </c>
      <c r="BI4" s="138" t="s">
        <v>2167</v>
      </c>
      <c r="BJ4" s="138" t="s">
        <v>2168</v>
      </c>
      <c r="BK4" s="266"/>
      <c r="BL4" s="266"/>
    </row>
    <row r="5" s="252" customFormat="true" ht="10.5" hidden="false" customHeight="true" outlineLevel="0" collapsed="false">
      <c r="A5" s="266"/>
      <c r="B5" s="266"/>
      <c r="C5" s="997" t="n">
        <v>1</v>
      </c>
      <c r="D5" s="1316" t="n">
        <v>2</v>
      </c>
      <c r="E5" s="997" t="n">
        <v>3</v>
      </c>
      <c r="F5" s="1316" t="n">
        <v>4</v>
      </c>
      <c r="G5" s="997" t="n">
        <v>5</v>
      </c>
      <c r="H5" s="997" t="n">
        <v>6</v>
      </c>
      <c r="I5" s="997" t="n">
        <v>7</v>
      </c>
      <c r="J5" s="1316" t="n">
        <v>8</v>
      </c>
      <c r="K5" s="1317" t="n">
        <v>9</v>
      </c>
      <c r="L5" s="1316" t="n">
        <v>10</v>
      </c>
      <c r="M5" s="997" t="n">
        <v>11</v>
      </c>
      <c r="N5" s="1316" t="n">
        <v>12</v>
      </c>
      <c r="O5" s="997" t="n">
        <v>13</v>
      </c>
      <c r="P5" s="1316" t="n">
        <v>14</v>
      </c>
      <c r="Q5" s="997" t="n">
        <v>15</v>
      </c>
      <c r="R5" s="266"/>
      <c r="S5" s="266"/>
      <c r="T5" s="266"/>
      <c r="U5" s="266"/>
      <c r="V5" s="997" t="n">
        <v>16</v>
      </c>
      <c r="W5" s="1316" t="n">
        <v>17</v>
      </c>
      <c r="X5" s="997" t="n">
        <v>18</v>
      </c>
      <c r="Y5" s="997" t="n">
        <v>19</v>
      </c>
      <c r="Z5" s="997" t="n">
        <v>20</v>
      </c>
      <c r="AA5" s="997" t="n">
        <v>21</v>
      </c>
      <c r="AB5" s="1316" t="n">
        <v>22</v>
      </c>
      <c r="AC5" s="997" t="n">
        <v>23</v>
      </c>
      <c r="AD5" s="997" t="n">
        <v>24</v>
      </c>
      <c r="AE5" s="997" t="n">
        <v>25</v>
      </c>
      <c r="AF5" s="997" t="n">
        <v>26</v>
      </c>
      <c r="AG5" s="758" t="n">
        <v>27</v>
      </c>
      <c r="AH5" s="266"/>
      <c r="AI5" s="266"/>
      <c r="AJ5" s="997"/>
      <c r="AK5" s="997"/>
      <c r="AL5" s="997" t="n">
        <v>28</v>
      </c>
      <c r="AM5" s="1316" t="n">
        <v>29</v>
      </c>
      <c r="AN5" s="997" t="n">
        <v>30</v>
      </c>
      <c r="AO5" s="1316" t="n">
        <v>31</v>
      </c>
      <c r="AP5" s="997" t="n">
        <v>32</v>
      </c>
      <c r="AQ5" s="1316" t="n">
        <v>33</v>
      </c>
      <c r="AR5" s="997" t="n">
        <v>34</v>
      </c>
      <c r="AS5" s="1316" t="n">
        <v>35</v>
      </c>
      <c r="AT5" s="997" t="n">
        <v>36</v>
      </c>
      <c r="AU5" s="1316" t="n">
        <v>37</v>
      </c>
      <c r="AV5" s="997" t="n">
        <v>38</v>
      </c>
      <c r="AW5" s="997" t="n">
        <v>39</v>
      </c>
      <c r="AX5" s="1318" t="n">
        <v>40</v>
      </c>
      <c r="AY5" s="266"/>
      <c r="AZ5" s="266"/>
      <c r="BA5" s="266"/>
      <c r="BB5" s="266"/>
      <c r="BC5" s="1317" t="n">
        <v>41</v>
      </c>
      <c r="BD5" s="1316" t="n">
        <v>42</v>
      </c>
      <c r="BE5" s="997" t="n">
        <v>43</v>
      </c>
      <c r="BF5" s="1316" t="n">
        <v>44</v>
      </c>
      <c r="BG5" s="1317" t="n">
        <v>45</v>
      </c>
      <c r="BH5" s="1316" t="n">
        <v>46</v>
      </c>
      <c r="BI5" s="1317" t="n">
        <v>47</v>
      </c>
      <c r="BJ5" s="1316" t="n">
        <v>48</v>
      </c>
      <c r="BK5" s="266"/>
      <c r="BL5" s="266"/>
    </row>
    <row r="6" s="1223" customFormat="true" ht="11.85" hidden="false" customHeight="true" outlineLevel="0" collapsed="false">
      <c r="A6" s="1319" t="s">
        <v>2169</v>
      </c>
      <c r="B6" s="1319"/>
      <c r="C6" s="1320" t="s">
        <v>2170</v>
      </c>
      <c r="D6" s="1320" t="s">
        <v>2170</v>
      </c>
      <c r="E6" s="1320" t="s">
        <v>2171</v>
      </c>
      <c r="F6" s="1320" t="s">
        <v>2172</v>
      </c>
      <c r="G6" s="1320" t="s">
        <v>2173</v>
      </c>
      <c r="H6" s="1320" t="s">
        <v>2173</v>
      </c>
      <c r="I6" s="1320" t="s">
        <v>2170</v>
      </c>
      <c r="J6" s="1320" t="s">
        <v>2173</v>
      </c>
      <c r="K6" s="1320" t="n">
        <v>4</v>
      </c>
      <c r="L6" s="1320" t="s">
        <v>2174</v>
      </c>
      <c r="M6" s="1320" t="s">
        <v>2170</v>
      </c>
      <c r="N6" s="1320" t="s">
        <v>2175</v>
      </c>
      <c r="O6" s="1320" t="s">
        <v>2176</v>
      </c>
      <c r="P6" s="1320" t="n">
        <v>3</v>
      </c>
      <c r="Q6" s="1320" t="n">
        <v>2</v>
      </c>
      <c r="R6" s="1321" t="s">
        <v>2169</v>
      </c>
      <c r="S6" s="1321"/>
      <c r="T6" s="1321" t="s">
        <v>2169</v>
      </c>
      <c r="U6" s="1321"/>
      <c r="V6" s="1132" t="s">
        <v>2177</v>
      </c>
      <c r="W6" s="1320" t="n">
        <v>2</v>
      </c>
      <c r="X6" s="1320" t="n">
        <v>6</v>
      </c>
      <c r="Y6" s="1320" t="s">
        <v>2178</v>
      </c>
      <c r="Z6" s="1320" t="s">
        <v>2179</v>
      </c>
      <c r="AA6" s="1320" t="s">
        <v>2180</v>
      </c>
      <c r="AB6" s="1320" t="s">
        <v>2181</v>
      </c>
      <c r="AC6" s="1320" t="s">
        <v>2182</v>
      </c>
      <c r="AD6" s="1320" t="s">
        <v>2173</v>
      </c>
      <c r="AE6" s="1320" t="s">
        <v>2173</v>
      </c>
      <c r="AF6" s="1320" t="n">
        <v>4.5</v>
      </c>
      <c r="AG6" s="1320" t="s">
        <v>2183</v>
      </c>
      <c r="AH6" s="1321" t="s">
        <v>2169</v>
      </c>
      <c r="AI6" s="1321"/>
      <c r="AJ6" s="1321" t="s">
        <v>2169</v>
      </c>
      <c r="AK6" s="1321"/>
      <c r="AL6" s="1320" t="s">
        <v>2184</v>
      </c>
      <c r="AM6" s="1320" t="s">
        <v>2172</v>
      </c>
      <c r="AN6" s="1320" t="s">
        <v>2173</v>
      </c>
      <c r="AO6" s="1320" t="s">
        <v>2181</v>
      </c>
      <c r="AP6" s="1320" t="s">
        <v>2176</v>
      </c>
      <c r="AQ6" s="1320" t="s">
        <v>2185</v>
      </c>
      <c r="AR6" s="1320" t="s">
        <v>2186</v>
      </c>
      <c r="AS6" s="1320" t="s">
        <v>2186</v>
      </c>
      <c r="AT6" s="1320" t="s">
        <v>2187</v>
      </c>
      <c r="AU6" s="1320" t="n">
        <v>2</v>
      </c>
      <c r="AV6" s="1320" t="s">
        <v>2188</v>
      </c>
      <c r="AW6" s="1320" t="n">
        <v>2</v>
      </c>
      <c r="AX6" s="1320" t="s">
        <v>2189</v>
      </c>
      <c r="AY6" s="1321" t="s">
        <v>2169</v>
      </c>
      <c r="AZ6" s="1321"/>
      <c r="BA6" s="1321" t="s">
        <v>2169</v>
      </c>
      <c r="BB6" s="1321"/>
      <c r="BC6" s="1320" t="n">
        <v>8</v>
      </c>
      <c r="BD6" s="1320" t="s">
        <v>2190</v>
      </c>
      <c r="BE6" s="1320" t="s">
        <v>2170</v>
      </c>
      <c r="BF6" s="1320" t="n">
        <v>3.5</v>
      </c>
      <c r="BG6" s="1320" t="n">
        <v>4.5</v>
      </c>
      <c r="BH6" s="1320" t="s">
        <v>2191</v>
      </c>
      <c r="BI6" s="1320" t="s">
        <v>2170</v>
      </c>
      <c r="BJ6" s="1320" t="s">
        <v>2192</v>
      </c>
      <c r="BK6" s="1321" t="s">
        <v>2169</v>
      </c>
      <c r="BL6" s="1321"/>
    </row>
    <row r="7" customFormat="false" ht="11.85" hidden="false" customHeight="true" outlineLevel="0" collapsed="false">
      <c r="A7" s="1322" t="s">
        <v>2193</v>
      </c>
      <c r="B7" s="1322"/>
      <c r="C7" s="1126"/>
      <c r="D7" s="1126"/>
      <c r="E7" s="1126"/>
      <c r="F7" s="1323"/>
      <c r="G7" s="1323"/>
      <c r="H7" s="1323"/>
      <c r="I7" s="1323"/>
      <c r="J7" s="1323"/>
      <c r="K7" s="1323"/>
      <c r="L7" s="1323"/>
      <c r="M7" s="1323"/>
      <c r="N7" s="1323"/>
      <c r="O7" s="1323"/>
      <c r="P7" s="1323"/>
      <c r="Q7" s="1323"/>
      <c r="R7" s="1322" t="s">
        <v>2193</v>
      </c>
      <c r="S7" s="1322"/>
      <c r="T7" s="1322" t="s">
        <v>2193</v>
      </c>
      <c r="U7" s="1322"/>
      <c r="V7" s="1324"/>
      <c r="W7" s="1325"/>
      <c r="X7" s="1325"/>
      <c r="Y7" s="1325"/>
      <c r="Z7" s="1325"/>
      <c r="AA7" s="1325"/>
      <c r="AB7" s="1325"/>
      <c r="AC7" s="1325"/>
      <c r="AD7" s="1325"/>
      <c r="AE7" s="1325"/>
      <c r="AF7" s="1325"/>
      <c r="AG7" s="1325"/>
      <c r="AH7" s="1322" t="s">
        <v>2193</v>
      </c>
      <c r="AI7" s="1322"/>
      <c r="AJ7" s="1322" t="s">
        <v>2193</v>
      </c>
      <c r="AK7" s="1322"/>
      <c r="AL7" s="1323" t="s">
        <v>2194</v>
      </c>
      <c r="AM7" s="1323"/>
      <c r="AN7" s="1323"/>
      <c r="AO7" s="1323"/>
      <c r="AP7" s="1323"/>
      <c r="AQ7" s="1323"/>
      <c r="AR7" s="1323"/>
      <c r="AS7" s="1323"/>
      <c r="AT7" s="1323"/>
      <c r="AU7" s="1323"/>
      <c r="AV7" s="1323"/>
      <c r="AW7" s="1323"/>
      <c r="AX7" s="1323"/>
      <c r="AY7" s="1322" t="s">
        <v>2193</v>
      </c>
      <c r="AZ7" s="1322"/>
      <c r="BA7" s="1322" t="s">
        <v>2193</v>
      </c>
      <c r="BB7" s="1322"/>
      <c r="BC7" s="1326"/>
      <c r="BD7" s="1326"/>
      <c r="BE7" s="1323"/>
      <c r="BF7" s="1323"/>
      <c r="BG7" s="1323"/>
      <c r="BH7" s="1323"/>
      <c r="BI7" s="1323"/>
      <c r="BJ7" s="1323"/>
      <c r="BK7" s="1322" t="s">
        <v>2193</v>
      </c>
      <c r="BL7" s="1322"/>
    </row>
    <row r="8" customFormat="false" ht="11.85" hidden="false" customHeight="true" outlineLevel="0" collapsed="false">
      <c r="A8" s="1327" t="s">
        <v>2195</v>
      </c>
      <c r="B8" s="1328" t="s">
        <v>2196</v>
      </c>
      <c r="C8" s="1320" t="s">
        <v>2170</v>
      </c>
      <c r="D8" s="1320" t="s">
        <v>2170</v>
      </c>
      <c r="E8" s="1320" t="s">
        <v>2197</v>
      </c>
      <c r="F8" s="1320" t="s">
        <v>2173</v>
      </c>
      <c r="G8" s="1320" t="s">
        <v>2173</v>
      </c>
      <c r="H8" s="1320" t="s">
        <v>2170</v>
      </c>
      <c r="I8" s="1320" t="s">
        <v>2173</v>
      </c>
      <c r="J8" s="1320" t="s">
        <v>2173</v>
      </c>
      <c r="K8" s="1320" t="s">
        <v>1632</v>
      </c>
      <c r="L8" s="1320" t="s">
        <v>2198</v>
      </c>
      <c r="M8" s="1320" t="s">
        <v>2198</v>
      </c>
      <c r="N8" s="1320" t="s">
        <v>2173</v>
      </c>
      <c r="O8" s="1320" t="s">
        <v>2174</v>
      </c>
      <c r="P8" s="1320" t="s">
        <v>2170</v>
      </c>
      <c r="Q8" s="1320" t="n">
        <v>3</v>
      </c>
      <c r="R8" s="1327" t="s">
        <v>2195</v>
      </c>
      <c r="S8" s="1328" t="s">
        <v>2196</v>
      </c>
      <c r="T8" s="1327" t="s">
        <v>2195</v>
      </c>
      <c r="U8" s="1328" t="s">
        <v>2196</v>
      </c>
      <c r="V8" s="1329" t="s">
        <v>2199</v>
      </c>
      <c r="W8" s="1329" t="s">
        <v>2200</v>
      </c>
      <c r="X8" s="1329" t="s">
        <v>2176</v>
      </c>
      <c r="Y8" s="1329" t="s">
        <v>2198</v>
      </c>
      <c r="Z8" s="1329" t="s">
        <v>2198</v>
      </c>
      <c r="AA8" s="1329" t="n">
        <v>0.5</v>
      </c>
      <c r="AB8" s="1329" t="n">
        <v>1.5</v>
      </c>
      <c r="AC8" s="1329" t="n">
        <v>2</v>
      </c>
      <c r="AD8" s="1329" t="s">
        <v>2173</v>
      </c>
      <c r="AE8" s="1329" t="s">
        <v>2173</v>
      </c>
      <c r="AF8" s="1329" t="n">
        <v>4.5</v>
      </c>
      <c r="AG8" s="1329" t="s">
        <v>2198</v>
      </c>
      <c r="AH8" s="1327" t="s">
        <v>2195</v>
      </c>
      <c r="AI8" s="1328" t="s">
        <v>2196</v>
      </c>
      <c r="AJ8" s="1327" t="s">
        <v>2195</v>
      </c>
      <c r="AK8" s="1328" t="s">
        <v>2196</v>
      </c>
      <c r="AL8" s="1330" t="s">
        <v>2201</v>
      </c>
      <c r="AM8" s="1330" t="s">
        <v>2198</v>
      </c>
      <c r="AN8" s="1330" t="s">
        <v>2202</v>
      </c>
      <c r="AO8" s="1330" t="n">
        <v>0.5</v>
      </c>
      <c r="AP8" s="1330" t="s">
        <v>2173</v>
      </c>
      <c r="AQ8" s="1330" t="s">
        <v>2174</v>
      </c>
      <c r="AR8" s="1330" t="n">
        <v>3</v>
      </c>
      <c r="AS8" s="1330" t="s">
        <v>2176</v>
      </c>
      <c r="AT8" s="1330" t="s">
        <v>2200</v>
      </c>
      <c r="AU8" s="1330" t="n">
        <v>2.5</v>
      </c>
      <c r="AV8" s="1330" t="s">
        <v>2198</v>
      </c>
      <c r="AW8" s="1330" t="n">
        <v>1</v>
      </c>
      <c r="AX8" s="1330" t="n">
        <v>2</v>
      </c>
      <c r="AY8" s="1327" t="s">
        <v>2195</v>
      </c>
      <c r="AZ8" s="1328" t="s">
        <v>2196</v>
      </c>
      <c r="BA8" s="1327" t="s">
        <v>2195</v>
      </c>
      <c r="BB8" s="1328" t="s">
        <v>2196</v>
      </c>
      <c r="BC8" s="1330" t="s">
        <v>2200</v>
      </c>
      <c r="BD8" s="1330" t="s">
        <v>2203</v>
      </c>
      <c r="BE8" s="1330" t="s">
        <v>2199</v>
      </c>
      <c r="BF8" s="1330" t="n">
        <v>4.5</v>
      </c>
      <c r="BG8" s="1330" t="n">
        <v>1</v>
      </c>
      <c r="BH8" s="1330" t="s">
        <v>2204</v>
      </c>
      <c r="BI8" s="1330" t="s">
        <v>2202</v>
      </c>
      <c r="BJ8" s="1330" t="s">
        <v>2203</v>
      </c>
      <c r="BK8" s="1327" t="s">
        <v>2195</v>
      </c>
      <c r="BL8" s="1328" t="s">
        <v>2196</v>
      </c>
    </row>
    <row r="9" customFormat="false" ht="11.85" hidden="false" customHeight="true" outlineLevel="0" collapsed="false">
      <c r="A9" s="1331" t="s">
        <v>2205</v>
      </c>
      <c r="B9" s="1332" t="s">
        <v>2206</v>
      </c>
      <c r="C9" s="1126" t="s">
        <v>2170</v>
      </c>
      <c r="D9" s="1126" t="s">
        <v>2170</v>
      </c>
      <c r="E9" s="1126" t="s">
        <v>2197</v>
      </c>
      <c r="F9" s="1323" t="s">
        <v>2173</v>
      </c>
      <c r="G9" s="1323" t="s">
        <v>2173</v>
      </c>
      <c r="H9" s="1323" t="s">
        <v>2170</v>
      </c>
      <c r="I9" s="1323" t="s">
        <v>2173</v>
      </c>
      <c r="J9" s="1323" t="s">
        <v>2173</v>
      </c>
      <c r="K9" s="1323" t="s">
        <v>2176</v>
      </c>
      <c r="L9" s="1323" t="s">
        <v>2198</v>
      </c>
      <c r="M9" s="1323" t="s">
        <v>2201</v>
      </c>
      <c r="N9" s="1323" t="s">
        <v>2174</v>
      </c>
      <c r="O9" s="1323" t="s">
        <v>2174</v>
      </c>
      <c r="P9" s="1323" t="s">
        <v>2207</v>
      </c>
      <c r="Q9" s="1323" t="n">
        <v>3.5</v>
      </c>
      <c r="R9" s="1331" t="s">
        <v>2205</v>
      </c>
      <c r="S9" s="1332" t="s">
        <v>2206</v>
      </c>
      <c r="T9" s="1331" t="s">
        <v>2205</v>
      </c>
      <c r="U9" s="1332" t="s">
        <v>2206</v>
      </c>
      <c r="V9" s="1325" t="s">
        <v>2200</v>
      </c>
      <c r="W9" s="1325" t="n">
        <v>2</v>
      </c>
      <c r="X9" s="1325" t="s">
        <v>2176</v>
      </c>
      <c r="Y9" s="1325" t="s">
        <v>2208</v>
      </c>
      <c r="Z9" s="1325" t="s">
        <v>2176</v>
      </c>
      <c r="AA9" s="1325" t="n">
        <v>1.5</v>
      </c>
      <c r="AB9" s="1325" t="n">
        <v>2.5</v>
      </c>
      <c r="AC9" s="1325" t="n">
        <v>2</v>
      </c>
      <c r="AD9" s="1325" t="s">
        <v>2173</v>
      </c>
      <c r="AE9" s="1325" t="s">
        <v>2174</v>
      </c>
      <c r="AF9" s="1325" t="n">
        <v>5.5</v>
      </c>
      <c r="AG9" s="1325" t="s">
        <v>2176</v>
      </c>
      <c r="AH9" s="1331" t="s">
        <v>2205</v>
      </c>
      <c r="AI9" s="1332" t="s">
        <v>2206</v>
      </c>
      <c r="AJ9" s="1331" t="s">
        <v>2205</v>
      </c>
      <c r="AK9" s="1332" t="s">
        <v>2206</v>
      </c>
      <c r="AL9" s="1323" t="s">
        <v>2201</v>
      </c>
      <c r="AM9" s="1323" t="s">
        <v>2176</v>
      </c>
      <c r="AN9" s="1323" t="s">
        <v>2209</v>
      </c>
      <c r="AO9" s="1323" t="n">
        <v>1</v>
      </c>
      <c r="AP9" s="1323" t="s">
        <v>2210</v>
      </c>
      <c r="AQ9" s="1323" t="s">
        <v>2210</v>
      </c>
      <c r="AR9" s="1323" t="n">
        <v>4</v>
      </c>
      <c r="AS9" s="1323" t="s">
        <v>2173</v>
      </c>
      <c r="AT9" s="1323" t="n">
        <v>2.5</v>
      </c>
      <c r="AU9" s="1323" t="n">
        <v>2.75</v>
      </c>
      <c r="AV9" s="1323" t="s">
        <v>2173</v>
      </c>
      <c r="AW9" s="1323" t="n">
        <v>2</v>
      </c>
      <c r="AX9" s="1323" t="n">
        <v>2</v>
      </c>
      <c r="AY9" s="1331" t="s">
        <v>2205</v>
      </c>
      <c r="AZ9" s="1332" t="s">
        <v>2206</v>
      </c>
      <c r="BA9" s="1331" t="s">
        <v>2205</v>
      </c>
      <c r="BB9" s="1332" t="s">
        <v>2206</v>
      </c>
      <c r="BC9" s="1323" t="s">
        <v>2200</v>
      </c>
      <c r="BD9" s="1323" t="s">
        <v>2203</v>
      </c>
      <c r="BE9" s="1323" t="s">
        <v>2202</v>
      </c>
      <c r="BF9" s="1323" t="n">
        <v>4.5</v>
      </c>
      <c r="BG9" s="1323" t="n">
        <v>1.1</v>
      </c>
      <c r="BH9" s="1323" t="s">
        <v>2211</v>
      </c>
      <c r="BI9" s="1323" t="n">
        <v>2.5</v>
      </c>
      <c r="BJ9" s="1323" t="s">
        <v>2212</v>
      </c>
      <c r="BK9" s="1331" t="s">
        <v>2205</v>
      </c>
      <c r="BL9" s="1332" t="s">
        <v>2206</v>
      </c>
    </row>
    <row r="10" customFormat="false" ht="11.85" hidden="false" customHeight="true" outlineLevel="0" collapsed="false">
      <c r="A10" s="1327" t="s">
        <v>2213</v>
      </c>
      <c r="B10" s="1328" t="s">
        <v>2214</v>
      </c>
      <c r="C10" s="1320" t="s">
        <v>2170</v>
      </c>
      <c r="D10" s="1320" t="s">
        <v>2170</v>
      </c>
      <c r="E10" s="1320" t="s">
        <v>2197</v>
      </c>
      <c r="F10" s="1330" t="s">
        <v>2173</v>
      </c>
      <c r="G10" s="1330" t="s">
        <v>2173</v>
      </c>
      <c r="H10" s="1330" t="s">
        <v>2170</v>
      </c>
      <c r="I10" s="1330" t="s">
        <v>2173</v>
      </c>
      <c r="J10" s="1330" t="s">
        <v>2173</v>
      </c>
      <c r="K10" s="1330" t="s">
        <v>2173</v>
      </c>
      <c r="L10" s="1330" t="s">
        <v>2198</v>
      </c>
      <c r="M10" s="1330" t="s">
        <v>2207</v>
      </c>
      <c r="N10" s="1330" t="s">
        <v>2210</v>
      </c>
      <c r="O10" s="1330" t="s">
        <v>2174</v>
      </c>
      <c r="P10" s="1330" t="s">
        <v>2210</v>
      </c>
      <c r="Q10" s="1330" t="n">
        <v>4.5</v>
      </c>
      <c r="R10" s="1327" t="s">
        <v>2213</v>
      </c>
      <c r="S10" s="1328" t="s">
        <v>2214</v>
      </c>
      <c r="T10" s="1327" t="s">
        <v>2213</v>
      </c>
      <c r="U10" s="1328" t="s">
        <v>2214</v>
      </c>
      <c r="V10" s="1329" t="s">
        <v>2198</v>
      </c>
      <c r="W10" s="1329" t="n">
        <v>2</v>
      </c>
      <c r="X10" s="1329" t="s">
        <v>2170</v>
      </c>
      <c r="Y10" s="1329" t="n">
        <v>3</v>
      </c>
      <c r="Z10" s="1329" t="s">
        <v>2176</v>
      </c>
      <c r="AA10" s="1329" t="n">
        <v>2.5</v>
      </c>
      <c r="AB10" s="1329" t="n">
        <v>3</v>
      </c>
      <c r="AC10" s="1329" t="n">
        <v>2</v>
      </c>
      <c r="AD10" s="1329" t="s">
        <v>2173</v>
      </c>
      <c r="AE10" s="1329" t="s">
        <v>2210</v>
      </c>
      <c r="AF10" s="1329" t="n">
        <v>6</v>
      </c>
      <c r="AG10" s="1329" t="s">
        <v>2170</v>
      </c>
      <c r="AH10" s="1327" t="s">
        <v>2213</v>
      </c>
      <c r="AI10" s="1328" t="s">
        <v>2214</v>
      </c>
      <c r="AJ10" s="1327" t="s">
        <v>2213</v>
      </c>
      <c r="AK10" s="1328" t="s">
        <v>2214</v>
      </c>
      <c r="AL10" s="1330" t="s">
        <v>2197</v>
      </c>
      <c r="AM10" s="1330" t="s">
        <v>2170</v>
      </c>
      <c r="AN10" s="1330" t="s">
        <v>2215</v>
      </c>
      <c r="AO10" s="1330" t="n">
        <v>1.5</v>
      </c>
      <c r="AP10" s="1330" t="s">
        <v>2216</v>
      </c>
      <c r="AQ10" s="1330" t="s">
        <v>2216</v>
      </c>
      <c r="AR10" s="1330" t="n">
        <v>4</v>
      </c>
      <c r="AS10" s="1330" t="s">
        <v>2216</v>
      </c>
      <c r="AT10" s="1330" t="n">
        <v>2.5</v>
      </c>
      <c r="AU10" s="1330" t="n">
        <v>3.25</v>
      </c>
      <c r="AV10" s="1330" t="s">
        <v>2217</v>
      </c>
      <c r="AW10" s="1330" t="n">
        <v>2.5</v>
      </c>
      <c r="AX10" s="1330" t="n">
        <v>2</v>
      </c>
      <c r="AY10" s="1327" t="s">
        <v>2213</v>
      </c>
      <c r="AZ10" s="1328" t="s">
        <v>2214</v>
      </c>
      <c r="BA10" s="1327" t="s">
        <v>2213</v>
      </c>
      <c r="BB10" s="1328" t="s">
        <v>2214</v>
      </c>
      <c r="BC10" s="1330" t="s">
        <v>2218</v>
      </c>
      <c r="BD10" s="1330" t="s">
        <v>2219</v>
      </c>
      <c r="BE10" s="1330" t="s">
        <v>2202</v>
      </c>
      <c r="BF10" s="1330" t="n">
        <v>4.5</v>
      </c>
      <c r="BG10" s="1330" t="n">
        <v>1.2</v>
      </c>
      <c r="BH10" s="1330" t="s">
        <v>2220</v>
      </c>
      <c r="BI10" s="1330" t="n">
        <v>3.5</v>
      </c>
      <c r="BJ10" s="1330" t="s">
        <v>2199</v>
      </c>
      <c r="BK10" s="1327" t="s">
        <v>2213</v>
      </c>
      <c r="BL10" s="1328" t="s">
        <v>2214</v>
      </c>
    </row>
    <row r="11" customFormat="false" ht="11.85" hidden="false" customHeight="true" outlineLevel="0" collapsed="false">
      <c r="A11" s="1331" t="s">
        <v>2221</v>
      </c>
      <c r="B11" s="1332" t="s">
        <v>2222</v>
      </c>
      <c r="C11" s="1126" t="s">
        <v>2197</v>
      </c>
      <c r="D11" s="1126" t="s">
        <v>2197</v>
      </c>
      <c r="E11" s="1126" t="s">
        <v>2197</v>
      </c>
      <c r="F11" s="1323" t="s">
        <v>2173</v>
      </c>
      <c r="G11" s="1323" t="s">
        <v>2173</v>
      </c>
      <c r="H11" s="1323" t="s">
        <v>2170</v>
      </c>
      <c r="I11" s="1323" t="s">
        <v>2173</v>
      </c>
      <c r="J11" s="1323" t="s">
        <v>2173</v>
      </c>
      <c r="K11" s="1323" t="s">
        <v>2210</v>
      </c>
      <c r="L11" s="1323" t="s">
        <v>2170</v>
      </c>
      <c r="M11" s="1323" t="s">
        <v>2210</v>
      </c>
      <c r="N11" s="1323" t="s">
        <v>2216</v>
      </c>
      <c r="O11" s="1323" t="s">
        <v>2174</v>
      </c>
      <c r="P11" s="1323" t="s">
        <v>2217</v>
      </c>
      <c r="Q11" s="1323" t="n">
        <v>5</v>
      </c>
      <c r="R11" s="1331" t="s">
        <v>2221</v>
      </c>
      <c r="S11" s="1332" t="s">
        <v>2222</v>
      </c>
      <c r="T11" s="1331" t="s">
        <v>2221</v>
      </c>
      <c r="U11" s="1332" t="s">
        <v>2222</v>
      </c>
      <c r="V11" s="1325" t="s">
        <v>2176</v>
      </c>
      <c r="W11" s="1325" t="n">
        <v>2</v>
      </c>
      <c r="X11" s="1325" t="s">
        <v>2173</v>
      </c>
      <c r="Y11" s="1325" t="n">
        <v>3.25</v>
      </c>
      <c r="Z11" s="1325" t="s">
        <v>2176</v>
      </c>
      <c r="AA11" s="1325" t="n">
        <v>3</v>
      </c>
      <c r="AB11" s="1325" t="n">
        <v>3</v>
      </c>
      <c r="AC11" s="1325" t="n">
        <v>2</v>
      </c>
      <c r="AD11" s="1325" t="s">
        <v>2173</v>
      </c>
      <c r="AE11" s="1325" t="s">
        <v>2216</v>
      </c>
      <c r="AF11" s="1325" t="s">
        <v>2217</v>
      </c>
      <c r="AG11" s="1325" t="s">
        <v>2210</v>
      </c>
      <c r="AH11" s="1331" t="s">
        <v>2221</v>
      </c>
      <c r="AI11" s="1332" t="s">
        <v>2222</v>
      </c>
      <c r="AJ11" s="1331" t="s">
        <v>2221</v>
      </c>
      <c r="AK11" s="1332" t="s">
        <v>2222</v>
      </c>
      <c r="AL11" s="1323" t="s">
        <v>2223</v>
      </c>
      <c r="AM11" s="1323" t="s">
        <v>2170</v>
      </c>
      <c r="AN11" s="1323" t="s">
        <v>2224</v>
      </c>
      <c r="AO11" s="1323" t="n">
        <v>2</v>
      </c>
      <c r="AP11" s="1323" t="s">
        <v>2217</v>
      </c>
      <c r="AQ11" s="1323" t="s">
        <v>2225</v>
      </c>
      <c r="AR11" s="1323" t="n">
        <v>4.25</v>
      </c>
      <c r="AS11" s="1323" t="s">
        <v>2216</v>
      </c>
      <c r="AT11" s="1323" t="n">
        <v>3</v>
      </c>
      <c r="AU11" s="1323" t="n">
        <v>3.5</v>
      </c>
      <c r="AV11" s="1323" t="s">
        <v>2217</v>
      </c>
      <c r="AW11" s="1323" t="n">
        <v>3</v>
      </c>
      <c r="AX11" s="1323" t="n">
        <v>2</v>
      </c>
      <c r="AY11" s="1331" t="s">
        <v>2221</v>
      </c>
      <c r="AZ11" s="1332" t="s">
        <v>2222</v>
      </c>
      <c r="BA11" s="1331" t="s">
        <v>2221</v>
      </c>
      <c r="BB11" s="1332" t="s">
        <v>2222</v>
      </c>
      <c r="BC11" s="1323" t="s">
        <v>2198</v>
      </c>
      <c r="BD11" s="1323" t="s">
        <v>2200</v>
      </c>
      <c r="BE11" s="1323" t="s">
        <v>2202</v>
      </c>
      <c r="BF11" s="1323" t="n">
        <v>4.5</v>
      </c>
      <c r="BG11" s="1323" t="n">
        <v>1.3</v>
      </c>
      <c r="BH11" s="1323" t="s">
        <v>2199</v>
      </c>
      <c r="BI11" s="1323" t="n">
        <v>3.5</v>
      </c>
      <c r="BJ11" s="1323" t="s">
        <v>2215</v>
      </c>
      <c r="BK11" s="1331" t="s">
        <v>2221</v>
      </c>
      <c r="BL11" s="1332" t="s">
        <v>2222</v>
      </c>
    </row>
    <row r="12" customFormat="false" ht="11.85" hidden="false" customHeight="true" outlineLevel="0" collapsed="false">
      <c r="A12" s="1327" t="s">
        <v>2226</v>
      </c>
      <c r="B12" s="1328" t="s">
        <v>2227</v>
      </c>
      <c r="C12" s="1320" t="s">
        <v>2173</v>
      </c>
      <c r="D12" s="1320" t="s">
        <v>2173</v>
      </c>
      <c r="E12" s="1320" t="n">
        <v>4</v>
      </c>
      <c r="F12" s="1330" t="s">
        <v>2173</v>
      </c>
      <c r="G12" s="1330" t="s">
        <v>2173</v>
      </c>
      <c r="H12" s="1330" t="s">
        <v>2170</v>
      </c>
      <c r="I12" s="1330" t="s">
        <v>2173</v>
      </c>
      <c r="J12" s="1330" t="s">
        <v>2173</v>
      </c>
      <c r="K12" s="1330" t="s">
        <v>2210</v>
      </c>
      <c r="L12" s="1330" t="s">
        <v>2170</v>
      </c>
      <c r="M12" s="1330" t="s">
        <v>2228</v>
      </c>
      <c r="N12" s="1330" t="n">
        <v>6</v>
      </c>
      <c r="O12" s="1330" t="s">
        <v>2174</v>
      </c>
      <c r="P12" s="1330" t="s">
        <v>2217</v>
      </c>
      <c r="Q12" s="1330" t="n">
        <v>5</v>
      </c>
      <c r="R12" s="1327" t="s">
        <v>2226</v>
      </c>
      <c r="S12" s="1328" t="s">
        <v>2227</v>
      </c>
      <c r="T12" s="1327" t="s">
        <v>2226</v>
      </c>
      <c r="U12" s="1328" t="s">
        <v>2227</v>
      </c>
      <c r="V12" s="1329" t="s">
        <v>2176</v>
      </c>
      <c r="W12" s="1329" t="n">
        <v>2</v>
      </c>
      <c r="X12" s="1329" t="s">
        <v>2173</v>
      </c>
      <c r="Y12" s="1329" t="n">
        <v>3.5</v>
      </c>
      <c r="Z12" s="1329" t="s">
        <v>2176</v>
      </c>
      <c r="AA12" s="1329" t="n">
        <v>3</v>
      </c>
      <c r="AB12" s="1329" t="n">
        <v>3</v>
      </c>
      <c r="AC12" s="1329" t="n">
        <v>2</v>
      </c>
      <c r="AD12" s="1329" t="s">
        <v>2173</v>
      </c>
      <c r="AE12" s="1329" t="s">
        <v>2217</v>
      </c>
      <c r="AF12" s="1329" t="s">
        <v>2217</v>
      </c>
      <c r="AG12" s="1329" t="s">
        <v>2217</v>
      </c>
      <c r="AH12" s="1327" t="s">
        <v>2226</v>
      </c>
      <c r="AI12" s="1328" t="s">
        <v>2227</v>
      </c>
      <c r="AJ12" s="1327" t="s">
        <v>2226</v>
      </c>
      <c r="AK12" s="1328" t="s">
        <v>2227</v>
      </c>
      <c r="AL12" s="1330" t="s">
        <v>2217</v>
      </c>
      <c r="AM12" s="1330" t="s">
        <v>2173</v>
      </c>
      <c r="AN12" s="1330" t="s">
        <v>2200</v>
      </c>
      <c r="AO12" s="1330" t="n">
        <v>3</v>
      </c>
      <c r="AP12" s="1330" t="s">
        <v>2217</v>
      </c>
      <c r="AQ12" s="1330" t="s">
        <v>2217</v>
      </c>
      <c r="AR12" s="1330" t="n">
        <v>4.5</v>
      </c>
      <c r="AS12" s="1330" t="s">
        <v>2216</v>
      </c>
      <c r="AT12" s="1330" t="n">
        <v>3.25</v>
      </c>
      <c r="AU12" s="1330" t="n">
        <v>4</v>
      </c>
      <c r="AV12" s="1330" t="s">
        <v>2217</v>
      </c>
      <c r="AW12" s="1330" t="n">
        <v>6</v>
      </c>
      <c r="AX12" s="1330" t="n">
        <v>2</v>
      </c>
      <c r="AY12" s="1327" t="s">
        <v>2226</v>
      </c>
      <c r="AZ12" s="1328" t="s">
        <v>2227</v>
      </c>
      <c r="BA12" s="1327" t="s">
        <v>2226</v>
      </c>
      <c r="BB12" s="1328" t="s">
        <v>2227</v>
      </c>
      <c r="BC12" s="1330" t="s">
        <v>2173</v>
      </c>
      <c r="BD12" s="1330" t="s">
        <v>2200</v>
      </c>
      <c r="BE12" s="1330" t="s">
        <v>2202</v>
      </c>
      <c r="BF12" s="1330" t="n">
        <v>4.5</v>
      </c>
      <c r="BG12" s="1330" t="n">
        <v>1.5</v>
      </c>
      <c r="BH12" s="1330" t="s">
        <v>2203</v>
      </c>
      <c r="BI12" s="1330" t="n">
        <v>3.5</v>
      </c>
      <c r="BJ12" s="1330" t="s">
        <v>2200</v>
      </c>
      <c r="BK12" s="1327" t="s">
        <v>2226</v>
      </c>
      <c r="BL12" s="1328" t="s">
        <v>2227</v>
      </c>
    </row>
    <row r="13" customFormat="false" ht="11.85" hidden="false" customHeight="true" outlineLevel="0" collapsed="false">
      <c r="A13" s="667" t="s">
        <v>2229</v>
      </c>
      <c r="B13" s="667"/>
      <c r="C13" s="1333"/>
      <c r="D13" s="1333"/>
      <c r="E13" s="1333"/>
      <c r="F13" s="1333"/>
      <c r="G13" s="1333"/>
      <c r="H13" s="1333"/>
      <c r="I13" s="1333"/>
      <c r="J13" s="1333"/>
      <c r="K13" s="1334"/>
      <c r="L13" s="1333"/>
      <c r="M13" s="1333"/>
      <c r="N13" s="1333"/>
      <c r="O13" s="1333"/>
      <c r="P13" s="1333"/>
      <c r="Q13" s="1333"/>
      <c r="R13" s="667" t="s">
        <v>2229</v>
      </c>
      <c r="S13" s="667"/>
      <c r="T13" s="667" t="s">
        <v>2229</v>
      </c>
      <c r="U13" s="667"/>
      <c r="V13" s="1324"/>
      <c r="W13" s="1324"/>
      <c r="X13" s="1324"/>
      <c r="Y13" s="1324"/>
      <c r="Z13" s="1324"/>
      <c r="AA13" s="1324"/>
      <c r="AB13" s="1324"/>
      <c r="AC13" s="1324"/>
      <c r="AD13" s="1324"/>
      <c r="AE13" s="1324"/>
      <c r="AF13" s="1324"/>
      <c r="AG13" s="1325"/>
      <c r="AH13" s="667" t="s">
        <v>2229</v>
      </c>
      <c r="AI13" s="667"/>
      <c r="AJ13" s="667" t="s">
        <v>2229</v>
      </c>
      <c r="AK13" s="667"/>
      <c r="AL13" s="1326"/>
      <c r="AM13" s="1326"/>
      <c r="AN13" s="1326"/>
      <c r="AO13" s="1326"/>
      <c r="AP13" s="1326"/>
      <c r="AQ13" s="1326"/>
      <c r="AR13" s="1326"/>
      <c r="AS13" s="1326"/>
      <c r="AT13" s="1326"/>
      <c r="AU13" s="1326"/>
      <c r="AV13" s="1326"/>
      <c r="AW13" s="1326"/>
      <c r="AX13" s="1326"/>
      <c r="AY13" s="667" t="s">
        <v>2229</v>
      </c>
      <c r="AZ13" s="667"/>
      <c r="BA13" s="667" t="s">
        <v>2229</v>
      </c>
      <c r="BB13" s="667"/>
      <c r="BC13" s="1326"/>
      <c r="BD13" s="1326"/>
      <c r="BE13" s="1326"/>
      <c r="BF13" s="1326"/>
      <c r="BG13" s="1326"/>
      <c r="BH13" s="1326"/>
      <c r="BI13" s="1323"/>
      <c r="BJ13" s="1323"/>
      <c r="BK13" s="667" t="s">
        <v>2229</v>
      </c>
      <c r="BL13" s="667"/>
    </row>
    <row r="14" customFormat="false" ht="11.85" hidden="false" customHeight="true" outlineLevel="0" collapsed="false">
      <c r="A14" s="1327" t="s">
        <v>2195</v>
      </c>
      <c r="B14" s="1328" t="s">
        <v>2230</v>
      </c>
      <c r="C14" s="1320" t="s">
        <v>2217</v>
      </c>
      <c r="D14" s="1320" t="s">
        <v>2225</v>
      </c>
      <c r="E14" s="1335" t="s">
        <v>2231</v>
      </c>
      <c r="F14" s="1330" t="s">
        <v>2232</v>
      </c>
      <c r="G14" s="1330" t="s">
        <v>2216</v>
      </c>
      <c r="H14" s="1330" t="s">
        <v>2217</v>
      </c>
      <c r="I14" s="1330" t="s">
        <v>2225</v>
      </c>
      <c r="J14" s="1329" t="s">
        <v>2233</v>
      </c>
      <c r="K14" s="1330" t="s">
        <v>2234</v>
      </c>
      <c r="L14" s="1330" t="s">
        <v>2217</v>
      </c>
      <c r="M14" s="1330" t="s">
        <v>2228</v>
      </c>
      <c r="N14" s="1330" t="n">
        <v>7</v>
      </c>
      <c r="O14" s="1330" t="n">
        <v>6</v>
      </c>
      <c r="P14" s="1330" t="s">
        <v>2231</v>
      </c>
      <c r="Q14" s="1335" t="s">
        <v>2235</v>
      </c>
      <c r="R14" s="1327" t="s">
        <v>2195</v>
      </c>
      <c r="S14" s="1328" t="s">
        <v>2230</v>
      </c>
      <c r="T14" s="1327" t="s">
        <v>2195</v>
      </c>
      <c r="U14" s="1328" t="s">
        <v>2230</v>
      </c>
      <c r="V14" s="1329" t="s">
        <v>2183</v>
      </c>
      <c r="W14" s="1329" t="n">
        <v>6</v>
      </c>
      <c r="X14" s="1329" t="s">
        <v>2236</v>
      </c>
      <c r="Y14" s="1329" t="s">
        <v>2237</v>
      </c>
      <c r="Z14" s="1329" t="s">
        <v>2217</v>
      </c>
      <c r="AA14" s="1329" t="n">
        <v>5</v>
      </c>
      <c r="AB14" s="1329" t="s">
        <v>2172</v>
      </c>
      <c r="AC14" s="1329" t="s">
        <v>2217</v>
      </c>
      <c r="AD14" s="1329" t="s">
        <v>2238</v>
      </c>
      <c r="AE14" s="1329" t="s">
        <v>2239</v>
      </c>
      <c r="AF14" s="1329" t="n">
        <v>7</v>
      </c>
      <c r="AG14" s="1329" t="s">
        <v>2217</v>
      </c>
      <c r="AH14" s="1327" t="s">
        <v>2195</v>
      </c>
      <c r="AI14" s="1328" t="s">
        <v>2230</v>
      </c>
      <c r="AJ14" s="1327" t="s">
        <v>2195</v>
      </c>
      <c r="AK14" s="1328" t="s">
        <v>2230</v>
      </c>
      <c r="AL14" s="1330" t="s">
        <v>2217</v>
      </c>
      <c r="AM14" s="1330" t="s">
        <v>2240</v>
      </c>
      <c r="AN14" s="1330" t="s">
        <v>2182</v>
      </c>
      <c r="AO14" s="1336" t="s">
        <v>2175</v>
      </c>
      <c r="AP14" s="1330" t="s">
        <v>2231</v>
      </c>
      <c r="AQ14" s="1329" t="s">
        <v>2241</v>
      </c>
      <c r="AR14" s="1330" t="s">
        <v>2242</v>
      </c>
      <c r="AS14" s="1330" t="s">
        <v>2217</v>
      </c>
      <c r="AT14" s="1330" t="s">
        <v>2236</v>
      </c>
      <c r="AU14" s="1330" t="s">
        <v>2242</v>
      </c>
      <c r="AV14" s="1330" t="s">
        <v>2217</v>
      </c>
      <c r="AW14" s="1330" t="s">
        <v>2242</v>
      </c>
      <c r="AX14" s="1330" t="n">
        <v>4.5</v>
      </c>
      <c r="AY14" s="1327" t="s">
        <v>2195</v>
      </c>
      <c r="AZ14" s="1328" t="s">
        <v>2230</v>
      </c>
      <c r="BA14" s="1327" t="s">
        <v>2195</v>
      </c>
      <c r="BB14" s="1328" t="s">
        <v>2230</v>
      </c>
      <c r="BC14" s="1330" t="s">
        <v>2240</v>
      </c>
      <c r="BD14" s="1330" t="s">
        <v>2243</v>
      </c>
      <c r="BE14" s="1330" t="n">
        <v>6</v>
      </c>
      <c r="BF14" s="1330" t="s">
        <v>2244</v>
      </c>
      <c r="BG14" s="1330" t="n">
        <v>5.5</v>
      </c>
      <c r="BH14" s="1330" t="s">
        <v>2245</v>
      </c>
      <c r="BI14" s="1330" t="s">
        <v>2246</v>
      </c>
      <c r="BJ14" s="1330" t="s">
        <v>2192</v>
      </c>
      <c r="BK14" s="1327" t="s">
        <v>2195</v>
      </c>
      <c r="BL14" s="1328" t="s">
        <v>2230</v>
      </c>
    </row>
    <row r="15" customFormat="false" ht="11.85" hidden="false" customHeight="true" outlineLevel="0" collapsed="false">
      <c r="A15" s="1331" t="s">
        <v>2205</v>
      </c>
      <c r="B15" s="1332" t="s">
        <v>2247</v>
      </c>
      <c r="C15" s="1126" t="s">
        <v>2217</v>
      </c>
      <c r="D15" s="1323" t="s">
        <v>2248</v>
      </c>
      <c r="E15" s="1323" t="s">
        <v>2242</v>
      </c>
      <c r="F15" s="1323" t="s">
        <v>2216</v>
      </c>
      <c r="G15" s="1323" t="s">
        <v>2225</v>
      </c>
      <c r="H15" s="1323" t="s">
        <v>2217</v>
      </c>
      <c r="I15" s="1323" t="s">
        <v>2248</v>
      </c>
      <c r="J15" s="1325" t="s">
        <v>2216</v>
      </c>
      <c r="K15" s="1323" t="s">
        <v>2242</v>
      </c>
      <c r="L15" s="1323" t="s">
        <v>2217</v>
      </c>
      <c r="M15" s="1323" t="s">
        <v>2228</v>
      </c>
      <c r="N15" s="1323" t="n">
        <v>6.75</v>
      </c>
      <c r="O15" s="1323" t="n">
        <v>6</v>
      </c>
      <c r="P15" s="1323" t="s">
        <v>2242</v>
      </c>
      <c r="Q15" s="1323" t="n">
        <v>6</v>
      </c>
      <c r="R15" s="1331" t="s">
        <v>2205</v>
      </c>
      <c r="S15" s="1332" t="s">
        <v>2247</v>
      </c>
      <c r="T15" s="1331" t="s">
        <v>2205</v>
      </c>
      <c r="U15" s="1332" t="s">
        <v>2247</v>
      </c>
      <c r="V15" s="1325" t="s">
        <v>2183</v>
      </c>
      <c r="W15" s="1325" t="n">
        <v>6</v>
      </c>
      <c r="X15" s="1325" t="s">
        <v>2240</v>
      </c>
      <c r="Y15" s="1325" t="n">
        <v>5.75</v>
      </c>
      <c r="Z15" s="1325" t="n">
        <v>6</v>
      </c>
      <c r="AA15" s="1325" t="n">
        <v>5.5</v>
      </c>
      <c r="AB15" s="1325" t="s">
        <v>2249</v>
      </c>
      <c r="AC15" s="1325" t="s">
        <v>2217</v>
      </c>
      <c r="AD15" s="1325" t="s">
        <v>2238</v>
      </c>
      <c r="AE15" s="1325" t="s">
        <v>2239</v>
      </c>
      <c r="AF15" s="1325" t="n">
        <v>7.25</v>
      </c>
      <c r="AG15" s="1325" t="n">
        <v>6</v>
      </c>
      <c r="AH15" s="1331" t="s">
        <v>2205</v>
      </c>
      <c r="AI15" s="1332" t="s">
        <v>2247</v>
      </c>
      <c r="AJ15" s="1331" t="s">
        <v>2205</v>
      </c>
      <c r="AK15" s="1332" t="s">
        <v>2247</v>
      </c>
      <c r="AL15" s="1323" t="s">
        <v>2217</v>
      </c>
      <c r="AM15" s="1323" t="s">
        <v>2250</v>
      </c>
      <c r="AN15" s="1323" t="n">
        <v>5.5</v>
      </c>
      <c r="AO15" s="1326" t="s">
        <v>2251</v>
      </c>
      <c r="AP15" s="1323" t="s">
        <v>2242</v>
      </c>
      <c r="AQ15" s="1325" t="s">
        <v>2252</v>
      </c>
      <c r="AR15" s="1323" t="s">
        <v>2242</v>
      </c>
      <c r="AS15" s="1323" t="s">
        <v>2242</v>
      </c>
      <c r="AT15" s="1323" t="s">
        <v>2240</v>
      </c>
      <c r="AU15" s="1323" t="s">
        <v>2242</v>
      </c>
      <c r="AV15" s="1323" t="s">
        <v>2217</v>
      </c>
      <c r="AW15" s="1323" t="s">
        <v>2242</v>
      </c>
      <c r="AX15" s="1323" t="s">
        <v>2253</v>
      </c>
      <c r="AY15" s="1331" t="s">
        <v>2205</v>
      </c>
      <c r="AZ15" s="1332" t="s">
        <v>2247</v>
      </c>
      <c r="BA15" s="1331" t="s">
        <v>2205</v>
      </c>
      <c r="BB15" s="1332" t="s">
        <v>2247</v>
      </c>
      <c r="BC15" s="1323" t="s">
        <v>2240</v>
      </c>
      <c r="BD15" s="1323" t="s">
        <v>2254</v>
      </c>
      <c r="BE15" s="1323" t="n">
        <v>6</v>
      </c>
      <c r="BF15" s="1323" t="s">
        <v>2255</v>
      </c>
      <c r="BG15" s="1323" t="n">
        <v>6</v>
      </c>
      <c r="BH15" s="1323" t="s">
        <v>2187</v>
      </c>
      <c r="BI15" s="1323" t="s">
        <v>2246</v>
      </c>
      <c r="BJ15" s="1323" t="s">
        <v>2256</v>
      </c>
      <c r="BK15" s="1331" t="s">
        <v>2205</v>
      </c>
      <c r="BL15" s="1332" t="s">
        <v>2247</v>
      </c>
    </row>
    <row r="16" customFormat="false" ht="11.85" hidden="false" customHeight="true" outlineLevel="0" collapsed="false">
      <c r="A16" s="1327" t="s">
        <v>2213</v>
      </c>
      <c r="B16" s="1328" t="s">
        <v>2257</v>
      </c>
      <c r="C16" s="1320" t="s">
        <v>2217</v>
      </c>
      <c r="D16" s="1320" t="s">
        <v>2217</v>
      </c>
      <c r="E16" s="1330" t="s">
        <v>2217</v>
      </c>
      <c r="F16" s="1330" t="s">
        <v>2242</v>
      </c>
      <c r="G16" s="1330" t="s">
        <v>2217</v>
      </c>
      <c r="H16" s="1330" t="s">
        <v>2217</v>
      </c>
      <c r="I16" s="1330" t="s">
        <v>2217</v>
      </c>
      <c r="J16" s="1329" t="s">
        <v>2258</v>
      </c>
      <c r="K16" s="1330" t="s">
        <v>2259</v>
      </c>
      <c r="L16" s="1330" t="s">
        <v>2217</v>
      </c>
      <c r="M16" s="1330" t="s">
        <v>2260</v>
      </c>
      <c r="N16" s="1330" t="n">
        <v>6.5</v>
      </c>
      <c r="O16" s="1330" t="n">
        <v>6</v>
      </c>
      <c r="P16" s="1330" t="s">
        <v>2242</v>
      </c>
      <c r="Q16" s="1330" t="n">
        <v>6</v>
      </c>
      <c r="R16" s="1327" t="s">
        <v>2213</v>
      </c>
      <c r="S16" s="1328" t="s">
        <v>2257</v>
      </c>
      <c r="T16" s="1327" t="s">
        <v>2213</v>
      </c>
      <c r="U16" s="1328" t="s">
        <v>2257</v>
      </c>
      <c r="V16" s="1329" t="s">
        <v>2234</v>
      </c>
      <c r="W16" s="1329" t="n">
        <v>6</v>
      </c>
      <c r="X16" s="1329" t="s">
        <v>2261</v>
      </c>
      <c r="Y16" s="1329" t="s">
        <v>2259</v>
      </c>
      <c r="Z16" s="1329" t="n">
        <v>6</v>
      </c>
      <c r="AA16" s="1329" t="n">
        <v>5.75</v>
      </c>
      <c r="AB16" s="1329" t="s">
        <v>2262</v>
      </c>
      <c r="AC16" s="1329" t="s">
        <v>2217</v>
      </c>
      <c r="AD16" s="1329" t="s">
        <v>2238</v>
      </c>
      <c r="AE16" s="1329" t="s">
        <v>2239</v>
      </c>
      <c r="AF16" s="1329" t="n">
        <v>7.5</v>
      </c>
      <c r="AG16" s="1329" t="n">
        <v>6</v>
      </c>
      <c r="AH16" s="1327" t="s">
        <v>2213</v>
      </c>
      <c r="AI16" s="1328" t="s">
        <v>2257</v>
      </c>
      <c r="AJ16" s="1327" t="s">
        <v>2213</v>
      </c>
      <c r="AK16" s="1328" t="s">
        <v>2257</v>
      </c>
      <c r="AL16" s="1330" t="s">
        <v>2217</v>
      </c>
      <c r="AM16" s="1330" t="n">
        <v>7</v>
      </c>
      <c r="AN16" s="1330" t="n">
        <v>5.5</v>
      </c>
      <c r="AO16" s="1336" t="s">
        <v>2246</v>
      </c>
      <c r="AP16" s="1330" t="s">
        <v>2259</v>
      </c>
      <c r="AQ16" s="1329" t="s">
        <v>2263</v>
      </c>
      <c r="AR16" s="1330" t="s">
        <v>2242</v>
      </c>
      <c r="AS16" s="1330" t="s">
        <v>2217</v>
      </c>
      <c r="AT16" s="1330" t="s">
        <v>2240</v>
      </c>
      <c r="AU16" s="1330" t="s">
        <v>2242</v>
      </c>
      <c r="AV16" s="1330" t="s">
        <v>2217</v>
      </c>
      <c r="AW16" s="1330" t="s">
        <v>2242</v>
      </c>
      <c r="AX16" s="1330" t="n">
        <v>6</v>
      </c>
      <c r="AY16" s="1327" t="s">
        <v>2213</v>
      </c>
      <c r="AZ16" s="1328" t="s">
        <v>2257</v>
      </c>
      <c r="BA16" s="1327" t="s">
        <v>2213</v>
      </c>
      <c r="BB16" s="1328" t="s">
        <v>2257</v>
      </c>
      <c r="BC16" s="1336" t="s">
        <v>2264</v>
      </c>
      <c r="BD16" s="1336" t="s">
        <v>2265</v>
      </c>
      <c r="BE16" s="1330" t="n">
        <v>6</v>
      </c>
      <c r="BF16" s="1330" t="s">
        <v>2266</v>
      </c>
      <c r="BG16" s="1330" t="n">
        <v>9</v>
      </c>
      <c r="BH16" s="1330" t="s">
        <v>2174</v>
      </c>
      <c r="BI16" s="1330" t="n">
        <v>5.75</v>
      </c>
      <c r="BJ16" s="1330" t="s">
        <v>2192</v>
      </c>
      <c r="BK16" s="1327" t="s">
        <v>2213</v>
      </c>
      <c r="BL16" s="1328" t="s">
        <v>2257</v>
      </c>
    </row>
    <row r="17" customFormat="false" ht="11.85" hidden="false" customHeight="true" outlineLevel="0" collapsed="false">
      <c r="A17" s="1331" t="s">
        <v>2221</v>
      </c>
      <c r="B17" s="1332" t="s">
        <v>2267</v>
      </c>
      <c r="C17" s="1126" t="s">
        <v>2217</v>
      </c>
      <c r="D17" s="1337" t="s">
        <v>1632</v>
      </c>
      <c r="E17" s="1323" t="s">
        <v>1632</v>
      </c>
      <c r="F17" s="1323" t="s">
        <v>2242</v>
      </c>
      <c r="G17" s="1323" t="s">
        <v>2217</v>
      </c>
      <c r="H17" s="1323" t="s">
        <v>1632</v>
      </c>
      <c r="I17" s="1323" t="s">
        <v>1632</v>
      </c>
      <c r="J17" s="1325" t="s">
        <v>2238</v>
      </c>
      <c r="K17" s="1323" t="s">
        <v>2242</v>
      </c>
      <c r="L17" s="1323" t="s">
        <v>2217</v>
      </c>
      <c r="M17" s="1323" t="s">
        <v>2217</v>
      </c>
      <c r="N17" s="1323" t="n">
        <v>6.5</v>
      </c>
      <c r="O17" s="1323" t="n">
        <v>6</v>
      </c>
      <c r="P17" s="1323" t="s">
        <v>2242</v>
      </c>
      <c r="Q17" s="1323" t="s">
        <v>2268</v>
      </c>
      <c r="R17" s="1331" t="s">
        <v>2221</v>
      </c>
      <c r="S17" s="1332" t="s">
        <v>2267</v>
      </c>
      <c r="T17" s="1331" t="s">
        <v>2221</v>
      </c>
      <c r="U17" s="1332" t="s">
        <v>2267</v>
      </c>
      <c r="V17" s="1325" t="s">
        <v>2269</v>
      </c>
      <c r="W17" s="1325" t="n">
        <v>6</v>
      </c>
      <c r="X17" s="1325" t="s">
        <v>2217</v>
      </c>
      <c r="Y17" s="1325" t="n">
        <v>6</v>
      </c>
      <c r="Z17" s="1325" t="s">
        <v>1632</v>
      </c>
      <c r="AA17" s="1325" t="n">
        <v>6</v>
      </c>
      <c r="AB17" s="1325" t="s">
        <v>2262</v>
      </c>
      <c r="AC17" s="1325" t="s">
        <v>1632</v>
      </c>
      <c r="AD17" s="1325" t="s">
        <v>2238</v>
      </c>
      <c r="AE17" s="1325" t="s">
        <v>2239</v>
      </c>
      <c r="AF17" s="1325" t="s">
        <v>1632</v>
      </c>
      <c r="AG17" s="1325" t="n">
        <v>6</v>
      </c>
      <c r="AH17" s="1331" t="s">
        <v>2221</v>
      </c>
      <c r="AI17" s="1332" t="s">
        <v>2267</v>
      </c>
      <c r="AJ17" s="1331" t="s">
        <v>2221</v>
      </c>
      <c r="AK17" s="1332" t="s">
        <v>2267</v>
      </c>
      <c r="AL17" s="1323" t="s">
        <v>2217</v>
      </c>
      <c r="AM17" s="1323" t="n">
        <v>7</v>
      </c>
      <c r="AN17" s="1323" t="n">
        <v>5.5</v>
      </c>
      <c r="AO17" s="1323" t="n">
        <v>5.5</v>
      </c>
      <c r="AP17" s="1323" t="s">
        <v>2217</v>
      </c>
      <c r="AQ17" s="1325" t="s">
        <v>1632</v>
      </c>
      <c r="AR17" s="1323" t="s">
        <v>1632</v>
      </c>
      <c r="AS17" s="1323" t="s">
        <v>2217</v>
      </c>
      <c r="AT17" s="1323" t="s">
        <v>2240</v>
      </c>
      <c r="AU17" s="1323" t="s">
        <v>2242</v>
      </c>
      <c r="AV17" s="1323" t="s">
        <v>2217</v>
      </c>
      <c r="AW17" s="1323" t="s">
        <v>1632</v>
      </c>
      <c r="AX17" s="1323" t="s">
        <v>2259</v>
      </c>
      <c r="AY17" s="1331" t="s">
        <v>2221</v>
      </c>
      <c r="AZ17" s="1332" t="s">
        <v>2267</v>
      </c>
      <c r="BA17" s="1331" t="s">
        <v>2221</v>
      </c>
      <c r="BB17" s="1332" t="s">
        <v>2267</v>
      </c>
      <c r="BC17" s="1323" t="s">
        <v>2244</v>
      </c>
      <c r="BD17" s="1326" t="s">
        <v>2270</v>
      </c>
      <c r="BE17" s="1323" t="s">
        <v>2235</v>
      </c>
      <c r="BF17" s="1323" t="s">
        <v>2238</v>
      </c>
      <c r="BG17" s="1323" t="n">
        <v>9.5</v>
      </c>
      <c r="BH17" s="1338" t="s">
        <v>1632</v>
      </c>
      <c r="BI17" s="1323" t="n">
        <v>6</v>
      </c>
      <c r="BJ17" s="1323" t="s">
        <v>2256</v>
      </c>
      <c r="BK17" s="1331" t="s">
        <v>2221</v>
      </c>
      <c r="BL17" s="1332" t="s">
        <v>2267</v>
      </c>
    </row>
    <row r="18" customFormat="false" ht="11.85" hidden="false" customHeight="true" outlineLevel="0" collapsed="false">
      <c r="A18" s="1327" t="s">
        <v>2226</v>
      </c>
      <c r="B18" s="1328" t="s">
        <v>2271</v>
      </c>
      <c r="C18" s="1320" t="s">
        <v>1632</v>
      </c>
      <c r="D18" s="1339" t="s">
        <v>1632</v>
      </c>
      <c r="E18" s="1330" t="s">
        <v>1632</v>
      </c>
      <c r="F18" s="1330" t="s">
        <v>2242</v>
      </c>
      <c r="G18" s="1330" t="s">
        <v>2217</v>
      </c>
      <c r="H18" s="1330" t="s">
        <v>1632</v>
      </c>
      <c r="I18" s="1330" t="s">
        <v>1632</v>
      </c>
      <c r="J18" s="1329" t="s">
        <v>2272</v>
      </c>
      <c r="K18" s="1330" t="s">
        <v>2273</v>
      </c>
      <c r="L18" s="1330" t="s">
        <v>2217</v>
      </c>
      <c r="M18" s="1330" t="s">
        <v>1632</v>
      </c>
      <c r="N18" s="1330" t="n">
        <v>6.5</v>
      </c>
      <c r="O18" s="1330" t="n">
        <v>6</v>
      </c>
      <c r="P18" s="1330" t="s">
        <v>1632</v>
      </c>
      <c r="Q18" s="1340" t="s">
        <v>2268</v>
      </c>
      <c r="R18" s="1327" t="s">
        <v>2226</v>
      </c>
      <c r="S18" s="1328" t="s">
        <v>2271</v>
      </c>
      <c r="T18" s="1327" t="s">
        <v>2226</v>
      </c>
      <c r="U18" s="1328" t="s">
        <v>2271</v>
      </c>
      <c r="V18" s="1329" t="s">
        <v>2269</v>
      </c>
      <c r="W18" s="1329" t="n">
        <v>6</v>
      </c>
      <c r="X18" s="1329" t="n">
        <v>8.25</v>
      </c>
      <c r="Y18" s="1329" t="s">
        <v>1632</v>
      </c>
      <c r="Z18" s="1329" t="s">
        <v>1632</v>
      </c>
      <c r="AA18" s="1329" t="n">
        <v>6</v>
      </c>
      <c r="AB18" s="1329" t="s">
        <v>2262</v>
      </c>
      <c r="AC18" s="1329" t="s">
        <v>1632</v>
      </c>
      <c r="AD18" s="1329" t="s">
        <v>2238</v>
      </c>
      <c r="AE18" s="1329" t="s">
        <v>2239</v>
      </c>
      <c r="AF18" s="1329" t="s">
        <v>1632</v>
      </c>
      <c r="AG18" s="1329" t="s">
        <v>1632</v>
      </c>
      <c r="AH18" s="1327" t="s">
        <v>2226</v>
      </c>
      <c r="AI18" s="1328" t="s">
        <v>2271</v>
      </c>
      <c r="AJ18" s="1327" t="s">
        <v>2226</v>
      </c>
      <c r="AK18" s="1328" t="s">
        <v>2271</v>
      </c>
      <c r="AL18" s="1330" t="s">
        <v>2217</v>
      </c>
      <c r="AM18" s="1330" t="n">
        <v>5.5</v>
      </c>
      <c r="AN18" s="1330" t="n">
        <v>5.5</v>
      </c>
      <c r="AO18" s="1330" t="n">
        <v>5.5</v>
      </c>
      <c r="AP18" s="1330" t="s">
        <v>1632</v>
      </c>
      <c r="AQ18" s="1329" t="s">
        <v>1632</v>
      </c>
      <c r="AR18" s="1330" t="s">
        <v>1632</v>
      </c>
      <c r="AS18" s="1330" t="s">
        <v>1632</v>
      </c>
      <c r="AT18" s="1330" t="s">
        <v>2240</v>
      </c>
      <c r="AU18" s="1330" t="s">
        <v>2242</v>
      </c>
      <c r="AV18" s="1330" t="s">
        <v>2217</v>
      </c>
      <c r="AW18" s="1330" t="s">
        <v>1632</v>
      </c>
      <c r="AX18" s="1330" t="s">
        <v>2217</v>
      </c>
      <c r="AY18" s="1327" t="s">
        <v>2226</v>
      </c>
      <c r="AZ18" s="1328" t="s">
        <v>2271</v>
      </c>
      <c r="BA18" s="1327" t="s">
        <v>2226</v>
      </c>
      <c r="BB18" s="1328" t="s">
        <v>2271</v>
      </c>
      <c r="BC18" s="1336" t="s">
        <v>2274</v>
      </c>
      <c r="BD18" s="1330" t="s">
        <v>2235</v>
      </c>
      <c r="BE18" s="1330" t="s">
        <v>2235</v>
      </c>
      <c r="BF18" s="1330" t="s">
        <v>2238</v>
      </c>
      <c r="BG18" s="1330" t="n">
        <v>10</v>
      </c>
      <c r="BH18" s="1341" t="s">
        <v>1632</v>
      </c>
      <c r="BI18" s="1330" t="n">
        <v>6</v>
      </c>
      <c r="BJ18" s="1330" t="s">
        <v>2256</v>
      </c>
      <c r="BK18" s="1327" t="s">
        <v>2226</v>
      </c>
      <c r="BL18" s="1328" t="s">
        <v>2271</v>
      </c>
    </row>
    <row r="19" customFormat="false" ht="11.85" hidden="false" customHeight="true" outlineLevel="0" collapsed="false">
      <c r="A19" s="667" t="s">
        <v>2275</v>
      </c>
      <c r="B19" s="667"/>
      <c r="C19" s="1323"/>
      <c r="D19" s="1323"/>
      <c r="E19" s="1323"/>
      <c r="F19" s="1323"/>
      <c r="G19" s="1323"/>
      <c r="H19" s="1323"/>
      <c r="I19" s="1323"/>
      <c r="J19" s="1323"/>
      <c r="K19" s="1323"/>
      <c r="L19" s="1323"/>
      <c r="M19" s="1323"/>
      <c r="N19" s="1323"/>
      <c r="O19" s="1326" t="s">
        <v>2276</v>
      </c>
      <c r="P19" s="1323"/>
      <c r="Q19" s="1326"/>
      <c r="R19" s="667" t="s">
        <v>2275</v>
      </c>
      <c r="S19" s="667"/>
      <c r="T19" s="667" t="s">
        <v>2275</v>
      </c>
      <c r="U19" s="667"/>
      <c r="V19" s="1325"/>
      <c r="W19" s="1325"/>
      <c r="X19" s="1325"/>
      <c r="Y19" s="1325"/>
      <c r="Z19" s="1325"/>
      <c r="AA19" s="1325"/>
      <c r="AB19" s="1324"/>
      <c r="AC19" s="1324"/>
      <c r="AD19" s="1324"/>
      <c r="AE19" s="1324"/>
      <c r="AF19" s="1324"/>
      <c r="AG19" s="1325"/>
      <c r="AH19" s="667" t="s">
        <v>2275</v>
      </c>
      <c r="AI19" s="667"/>
      <c r="AJ19" s="667" t="s">
        <v>2275</v>
      </c>
      <c r="AK19" s="667"/>
      <c r="AL19" s="1326"/>
      <c r="AM19" s="1326"/>
      <c r="AN19" s="1323"/>
      <c r="AO19" s="1326"/>
      <c r="AP19" s="1323"/>
      <c r="AQ19" s="1323"/>
      <c r="AR19" s="1323"/>
      <c r="AS19" s="1323"/>
      <c r="AT19" s="1323"/>
      <c r="AU19" s="1323"/>
      <c r="AV19" s="1323"/>
      <c r="AW19" s="1323"/>
      <c r="AX19" s="1323"/>
      <c r="AY19" s="667" t="s">
        <v>2275</v>
      </c>
      <c r="AZ19" s="667"/>
      <c r="BA19" s="667" t="s">
        <v>2275</v>
      </c>
      <c r="BB19" s="667"/>
      <c r="BC19" s="1326"/>
      <c r="BD19" s="1326"/>
      <c r="BE19" s="1326"/>
      <c r="BF19" s="1326"/>
      <c r="BG19" s="1326"/>
      <c r="BH19" s="1326"/>
      <c r="BI19" s="1323"/>
      <c r="BJ19" s="1323"/>
      <c r="BK19" s="667" t="s">
        <v>2275</v>
      </c>
      <c r="BL19" s="667"/>
    </row>
    <row r="20" customFormat="false" ht="11.85" hidden="false" customHeight="true" outlineLevel="0" collapsed="false">
      <c r="A20" s="1321" t="s">
        <v>2277</v>
      </c>
      <c r="B20" s="1321"/>
      <c r="C20" s="1330"/>
      <c r="D20" s="1330"/>
      <c r="E20" s="1330"/>
      <c r="F20" s="1330"/>
      <c r="G20" s="1330"/>
      <c r="H20" s="1330"/>
      <c r="I20" s="1330"/>
      <c r="J20" s="1330"/>
      <c r="K20" s="1330"/>
      <c r="L20" s="1330"/>
      <c r="M20" s="1330"/>
      <c r="N20" s="1330"/>
      <c r="O20" s="1336"/>
      <c r="P20" s="1330"/>
      <c r="Q20" s="1336"/>
      <c r="R20" s="1321" t="s">
        <v>2277</v>
      </c>
      <c r="S20" s="1321"/>
      <c r="T20" s="1321" t="s">
        <v>2277</v>
      </c>
      <c r="U20" s="1321"/>
      <c r="V20" s="1342"/>
      <c r="W20" s="1329"/>
      <c r="X20" s="1329"/>
      <c r="Y20" s="1329"/>
      <c r="Z20" s="1329"/>
      <c r="AA20" s="1329"/>
      <c r="AB20" s="1343"/>
      <c r="AC20" s="1343"/>
      <c r="AD20" s="1343"/>
      <c r="AE20" s="1343"/>
      <c r="AF20" s="1343"/>
      <c r="AG20" s="1329"/>
      <c r="AH20" s="1321" t="s">
        <v>2277</v>
      </c>
      <c r="AI20" s="1321"/>
      <c r="AJ20" s="1321" t="s">
        <v>2277</v>
      </c>
      <c r="AK20" s="1321"/>
      <c r="AL20" s="1336"/>
      <c r="AM20" s="1336"/>
      <c r="AN20" s="1330"/>
      <c r="AO20" s="1336"/>
      <c r="AP20" s="1330"/>
      <c r="AQ20" s="1330"/>
      <c r="AR20" s="1330"/>
      <c r="AS20" s="1330"/>
      <c r="AT20" s="1330"/>
      <c r="AU20" s="1330"/>
      <c r="AV20" s="1330"/>
      <c r="AW20" s="1330"/>
      <c r="AX20" s="1330"/>
      <c r="AY20" s="1321" t="s">
        <v>2277</v>
      </c>
      <c r="AZ20" s="1321"/>
      <c r="BA20" s="1321" t="s">
        <v>2277</v>
      </c>
      <c r="BB20" s="1321"/>
      <c r="BC20" s="1336"/>
      <c r="BD20" s="1336"/>
      <c r="BE20" s="1336"/>
      <c r="BF20" s="1336"/>
      <c r="BG20" s="1336"/>
      <c r="BH20" s="1336"/>
      <c r="BI20" s="1330"/>
      <c r="BJ20" s="1330"/>
      <c r="BK20" s="1321" t="s">
        <v>2277</v>
      </c>
      <c r="BL20" s="1321"/>
    </row>
    <row r="21" customFormat="false" ht="11.85" hidden="false" customHeight="true" outlineLevel="0" collapsed="false">
      <c r="A21" s="1344"/>
      <c r="B21" s="669" t="s">
        <v>2278</v>
      </c>
      <c r="C21" s="1325" t="s">
        <v>2279</v>
      </c>
      <c r="D21" s="1323" t="n">
        <v>4</v>
      </c>
      <c r="E21" s="1325" t="s">
        <v>2279</v>
      </c>
      <c r="F21" s="1325" t="s">
        <v>2279</v>
      </c>
      <c r="G21" s="1323" t="s">
        <v>2272</v>
      </c>
      <c r="H21" s="1323" t="s">
        <v>2280</v>
      </c>
      <c r="I21" s="1325" t="s">
        <v>2280</v>
      </c>
      <c r="J21" s="1325" t="s">
        <v>2280</v>
      </c>
      <c r="K21" s="1323" t="n">
        <v>6</v>
      </c>
      <c r="L21" s="1323" t="s">
        <v>2280</v>
      </c>
      <c r="M21" s="1323" t="s">
        <v>2280</v>
      </c>
      <c r="N21" s="1325" t="s">
        <v>2279</v>
      </c>
      <c r="O21" s="1323" t="s">
        <v>2280</v>
      </c>
      <c r="P21" s="1323" t="s">
        <v>2280</v>
      </c>
      <c r="Q21" s="1323" t="s">
        <v>2279</v>
      </c>
      <c r="R21" s="389"/>
      <c r="S21" s="669" t="s">
        <v>2278</v>
      </c>
      <c r="T21" s="389"/>
      <c r="U21" s="669" t="s">
        <v>2278</v>
      </c>
      <c r="V21" s="1325" t="s">
        <v>2281</v>
      </c>
      <c r="W21" s="1325" t="s">
        <v>2280</v>
      </c>
      <c r="X21" s="1325" t="n">
        <v>9</v>
      </c>
      <c r="Y21" s="1325" t="s">
        <v>2280</v>
      </c>
      <c r="Z21" s="1325" t="s">
        <v>2280</v>
      </c>
      <c r="AA21" s="1325" t="n">
        <v>9</v>
      </c>
      <c r="AB21" s="1325" t="n">
        <v>9</v>
      </c>
      <c r="AC21" s="1325" t="s">
        <v>2280</v>
      </c>
      <c r="AD21" s="1325" t="s">
        <v>2279</v>
      </c>
      <c r="AE21" s="1325" t="s">
        <v>2280</v>
      </c>
      <c r="AF21" s="1325" t="s">
        <v>2279</v>
      </c>
      <c r="AG21" s="1325" t="s">
        <v>2280</v>
      </c>
      <c r="AH21" s="389"/>
      <c r="AI21" s="669" t="s">
        <v>2278</v>
      </c>
      <c r="AJ21" s="389"/>
      <c r="AK21" s="669" t="s">
        <v>2278</v>
      </c>
      <c r="AL21" s="1323" t="n">
        <v>9</v>
      </c>
      <c r="AM21" s="1323" t="s">
        <v>2280</v>
      </c>
      <c r="AN21" s="1323" t="s">
        <v>2280</v>
      </c>
      <c r="AO21" s="1325" t="s">
        <v>2272</v>
      </c>
      <c r="AP21" s="1323" t="s">
        <v>2280</v>
      </c>
      <c r="AQ21" s="1323" t="s">
        <v>2280</v>
      </c>
      <c r="AR21" s="1323" t="s">
        <v>2280</v>
      </c>
      <c r="AS21" s="1323" t="s">
        <v>2280</v>
      </c>
      <c r="AT21" s="1323" t="n">
        <v>9</v>
      </c>
      <c r="AU21" s="1323" t="s">
        <v>2280</v>
      </c>
      <c r="AV21" s="1323" t="s">
        <v>2280</v>
      </c>
      <c r="AW21" s="1323" t="s">
        <v>2280</v>
      </c>
      <c r="AX21" s="1323" t="s">
        <v>2280</v>
      </c>
      <c r="AY21" s="389"/>
      <c r="AZ21" s="669" t="s">
        <v>2278</v>
      </c>
      <c r="BA21" s="389"/>
      <c r="BB21" s="669" t="s">
        <v>2278</v>
      </c>
      <c r="BC21" s="1323" t="s">
        <v>2272</v>
      </c>
      <c r="BD21" s="1323" t="s">
        <v>2272</v>
      </c>
      <c r="BE21" s="1323" t="s">
        <v>2272</v>
      </c>
      <c r="BF21" s="1323" t="s">
        <v>2282</v>
      </c>
      <c r="BG21" s="1323" t="s">
        <v>2280</v>
      </c>
      <c r="BH21" s="1323" t="s">
        <v>2272</v>
      </c>
      <c r="BI21" s="1323" t="s">
        <v>2283</v>
      </c>
      <c r="BJ21" s="1323" t="s">
        <v>2280</v>
      </c>
      <c r="BK21" s="389"/>
      <c r="BL21" s="669" t="s">
        <v>2278</v>
      </c>
    </row>
    <row r="22" customFormat="false" ht="11.85" hidden="false" customHeight="true" outlineLevel="0" collapsed="false">
      <c r="A22" s="737"/>
      <c r="B22" s="898" t="s">
        <v>2284</v>
      </c>
      <c r="C22" s="1345" t="s">
        <v>1632</v>
      </c>
      <c r="D22" s="1330" t="s">
        <v>1632</v>
      </c>
      <c r="E22" s="1345" t="s">
        <v>1632</v>
      </c>
      <c r="F22" s="1330" t="s">
        <v>1632</v>
      </c>
      <c r="G22" s="1330" t="s">
        <v>1632</v>
      </c>
      <c r="H22" s="1330" t="s">
        <v>1632</v>
      </c>
      <c r="I22" s="1330" t="s">
        <v>1632</v>
      </c>
      <c r="J22" s="1329" t="s">
        <v>1632</v>
      </c>
      <c r="K22" s="1330" t="s">
        <v>1632</v>
      </c>
      <c r="L22" s="1330" t="s">
        <v>1632</v>
      </c>
      <c r="M22" s="1330" t="s">
        <v>1632</v>
      </c>
      <c r="N22" s="1058" t="s">
        <v>2280</v>
      </c>
      <c r="O22" s="1336" t="s">
        <v>1632</v>
      </c>
      <c r="P22" s="1330" t="s">
        <v>1632</v>
      </c>
      <c r="Q22" s="1330" t="s">
        <v>1632</v>
      </c>
      <c r="S22" s="898" t="s">
        <v>2284</v>
      </c>
      <c r="U22" s="898" t="s">
        <v>2284</v>
      </c>
      <c r="V22" s="1329" t="s">
        <v>1632</v>
      </c>
      <c r="W22" s="1329" t="s">
        <v>1632</v>
      </c>
      <c r="X22" s="1329" t="s">
        <v>1632</v>
      </c>
      <c r="Y22" s="1329" t="s">
        <v>1632</v>
      </c>
      <c r="Z22" s="1329" t="s">
        <v>1632</v>
      </c>
      <c r="AA22" s="1329" t="n">
        <v>9</v>
      </c>
      <c r="AB22" s="1329" t="n">
        <v>9</v>
      </c>
      <c r="AC22" s="1329" t="s">
        <v>1632</v>
      </c>
      <c r="AD22" s="1329" t="s">
        <v>1632</v>
      </c>
      <c r="AE22" s="1329" t="s">
        <v>1632</v>
      </c>
      <c r="AF22" s="1329" t="s">
        <v>2279</v>
      </c>
      <c r="AG22" s="1329" t="s">
        <v>1632</v>
      </c>
      <c r="AI22" s="898" t="s">
        <v>2284</v>
      </c>
      <c r="AK22" s="898" t="s">
        <v>2284</v>
      </c>
      <c r="AL22" s="1330" t="s">
        <v>1632</v>
      </c>
      <c r="AM22" s="1330" t="s">
        <v>1632</v>
      </c>
      <c r="AN22" s="1330" t="s">
        <v>1632</v>
      </c>
      <c r="AO22" s="1330" t="s">
        <v>1632</v>
      </c>
      <c r="AP22" s="1330" t="s">
        <v>1632</v>
      </c>
      <c r="AQ22" s="1330" t="s">
        <v>1632</v>
      </c>
      <c r="AR22" s="1330" t="s">
        <v>1632</v>
      </c>
      <c r="AS22" s="1330" t="s">
        <v>1632</v>
      </c>
      <c r="AT22" s="1330" t="s">
        <v>1632</v>
      </c>
      <c r="AU22" s="1330" t="s">
        <v>1632</v>
      </c>
      <c r="AV22" s="1330" t="s">
        <v>1632</v>
      </c>
      <c r="AW22" s="1330" t="s">
        <v>1632</v>
      </c>
      <c r="AX22" s="1330" t="s">
        <v>1632</v>
      </c>
      <c r="AZ22" s="898" t="s">
        <v>2284</v>
      </c>
      <c r="BB22" s="898" t="s">
        <v>2284</v>
      </c>
      <c r="BC22" s="1330" t="s">
        <v>1632</v>
      </c>
      <c r="BD22" s="1330" t="s">
        <v>1632</v>
      </c>
      <c r="BE22" s="1330" t="s">
        <v>1632</v>
      </c>
      <c r="BF22" s="1336" t="s">
        <v>1632</v>
      </c>
      <c r="BG22" s="1330" t="s">
        <v>1632</v>
      </c>
      <c r="BH22" s="1330" t="s">
        <v>1632</v>
      </c>
      <c r="BI22" s="1330" t="s">
        <v>1632</v>
      </c>
      <c r="BJ22" s="1330" t="s">
        <v>1632</v>
      </c>
      <c r="BL22" s="898" t="s">
        <v>2284</v>
      </c>
    </row>
    <row r="23" customFormat="false" ht="21" hidden="false" customHeight="true" outlineLevel="0" collapsed="false">
      <c r="A23" s="667" t="s">
        <v>2285</v>
      </c>
      <c r="B23" s="667"/>
      <c r="C23" s="1323"/>
      <c r="D23" s="1323"/>
      <c r="E23" s="1323"/>
      <c r="F23" s="1323"/>
      <c r="G23" s="1323"/>
      <c r="H23" s="1323"/>
      <c r="I23" s="1323"/>
      <c r="J23" s="1325"/>
      <c r="K23" s="1323"/>
      <c r="L23" s="1323"/>
      <c r="M23" s="1323"/>
      <c r="N23" s="1323"/>
      <c r="O23" s="1326"/>
      <c r="P23" s="1323"/>
      <c r="Q23" s="1326"/>
      <c r="R23" s="667" t="s">
        <v>2285</v>
      </c>
      <c r="S23" s="667"/>
      <c r="T23" s="667" t="s">
        <v>2285</v>
      </c>
      <c r="U23" s="667"/>
      <c r="V23" s="1325"/>
      <c r="W23" s="1325"/>
      <c r="X23" s="1325"/>
      <c r="Y23" s="1325"/>
      <c r="Z23" s="1325"/>
      <c r="AA23" s="1325"/>
      <c r="AB23" s="1325"/>
      <c r="AC23" s="1325"/>
      <c r="AD23" s="1325"/>
      <c r="AE23" s="1325"/>
      <c r="AF23" s="1325"/>
      <c r="AG23" s="1325"/>
      <c r="AH23" s="667" t="s">
        <v>2285</v>
      </c>
      <c r="AI23" s="667"/>
      <c r="AJ23" s="667" t="s">
        <v>2285</v>
      </c>
      <c r="AK23" s="667"/>
      <c r="AL23" s="1326"/>
      <c r="AM23" s="1326"/>
      <c r="AN23" s="1323"/>
      <c r="AO23" s="1323"/>
      <c r="AP23" s="1323"/>
      <c r="AQ23" s="1323"/>
      <c r="AR23" s="1323"/>
      <c r="AS23" s="1323"/>
      <c r="AT23" s="1323"/>
      <c r="AU23" s="1323"/>
      <c r="AV23" s="1323"/>
      <c r="AW23" s="1323"/>
      <c r="AX23" s="1323"/>
      <c r="AY23" s="667" t="s">
        <v>2285</v>
      </c>
      <c r="AZ23" s="667"/>
      <c r="BA23" s="667" t="s">
        <v>2285</v>
      </c>
      <c r="BB23" s="667"/>
      <c r="BC23" s="1326"/>
      <c r="BD23" s="1323"/>
      <c r="BE23" s="1323"/>
      <c r="BF23" s="1326"/>
      <c r="BG23" s="1323"/>
      <c r="BH23" s="1323"/>
      <c r="BI23" s="1323"/>
      <c r="BJ23" s="1323"/>
      <c r="BK23" s="667" t="s">
        <v>2285</v>
      </c>
      <c r="BL23" s="667"/>
    </row>
    <row r="24" customFormat="false" ht="11.85" hidden="false" customHeight="true" outlineLevel="0" collapsed="false">
      <c r="B24" s="898" t="s">
        <v>2278</v>
      </c>
      <c r="C24" s="1330" t="s">
        <v>2280</v>
      </c>
      <c r="D24" s="1058" t="s">
        <v>2280</v>
      </c>
      <c r="E24" s="1329" t="s">
        <v>2280</v>
      </c>
      <c r="F24" s="1330" t="s">
        <v>2280</v>
      </c>
      <c r="G24" s="1058" t="s">
        <v>2280</v>
      </c>
      <c r="H24" s="1329" t="s">
        <v>2280</v>
      </c>
      <c r="I24" s="1330" t="s">
        <v>1632</v>
      </c>
      <c r="J24" s="1329" t="s">
        <v>2280</v>
      </c>
      <c r="K24" s="1330" t="n">
        <v>9</v>
      </c>
      <c r="L24" s="1330" t="n">
        <v>9</v>
      </c>
      <c r="M24" s="1329" t="n">
        <v>9</v>
      </c>
      <c r="N24" s="1058" t="n">
        <v>9</v>
      </c>
      <c r="O24" s="1330" t="s">
        <v>2280</v>
      </c>
      <c r="P24" s="1345" t="n">
        <v>9</v>
      </c>
      <c r="Q24" s="1058" t="n">
        <v>9</v>
      </c>
      <c r="S24" s="898" t="s">
        <v>2278</v>
      </c>
      <c r="U24" s="898" t="s">
        <v>2278</v>
      </c>
      <c r="V24" s="1329" t="n">
        <v>9</v>
      </c>
      <c r="W24" s="1329" t="n">
        <v>9</v>
      </c>
      <c r="X24" s="1329" t="n">
        <v>9</v>
      </c>
      <c r="Y24" s="1329" t="s">
        <v>1632</v>
      </c>
      <c r="Z24" s="1329" t="s">
        <v>2280</v>
      </c>
      <c r="AA24" s="1329" t="n">
        <v>9</v>
      </c>
      <c r="AB24" s="1329" t="s">
        <v>2282</v>
      </c>
      <c r="AC24" s="1329" t="n">
        <v>9</v>
      </c>
      <c r="AD24" s="1329" t="s">
        <v>2280</v>
      </c>
      <c r="AE24" s="1329" t="s">
        <v>2282</v>
      </c>
      <c r="AF24" s="1345" t="s">
        <v>2280</v>
      </c>
      <c r="AG24" s="1329" t="n">
        <v>9</v>
      </c>
      <c r="AI24" s="898" t="s">
        <v>2278</v>
      </c>
      <c r="AK24" s="898" t="s">
        <v>2278</v>
      </c>
      <c r="AL24" s="1330" t="n">
        <v>9</v>
      </c>
      <c r="AM24" s="1330" t="n">
        <v>9</v>
      </c>
      <c r="AN24" s="1330" t="n">
        <v>9</v>
      </c>
      <c r="AO24" s="1330" t="s">
        <v>2272</v>
      </c>
      <c r="AP24" s="1330" t="n">
        <v>9</v>
      </c>
      <c r="AQ24" s="1330" t="n">
        <v>9</v>
      </c>
      <c r="AR24" s="1330" t="n">
        <v>9</v>
      </c>
      <c r="AS24" s="1330" t="n">
        <v>9</v>
      </c>
      <c r="AT24" s="1330" t="n">
        <v>9</v>
      </c>
      <c r="AU24" s="1330" t="n">
        <v>9</v>
      </c>
      <c r="AV24" s="1330" t="n">
        <v>9</v>
      </c>
      <c r="AW24" s="1330" t="n">
        <v>9</v>
      </c>
      <c r="AX24" s="1330" t="s">
        <v>2280</v>
      </c>
      <c r="AZ24" s="898" t="s">
        <v>2278</v>
      </c>
      <c r="BB24" s="898" t="s">
        <v>2278</v>
      </c>
      <c r="BC24" s="1330" t="n">
        <v>9</v>
      </c>
      <c r="BD24" s="1330" t="s">
        <v>2272</v>
      </c>
      <c r="BE24" s="1330" t="s">
        <v>2272</v>
      </c>
      <c r="BF24" s="1330" t="s">
        <v>2282</v>
      </c>
      <c r="BG24" s="1330" t="n">
        <v>9</v>
      </c>
      <c r="BH24" s="1330" t="s">
        <v>2272</v>
      </c>
      <c r="BI24" s="1330" t="s">
        <v>2286</v>
      </c>
      <c r="BJ24" s="1330" t="n">
        <v>9</v>
      </c>
      <c r="BL24" s="898" t="s">
        <v>2278</v>
      </c>
    </row>
    <row r="25" customFormat="false" ht="11.85" hidden="false" customHeight="true" outlineLevel="0" collapsed="false">
      <c r="A25" s="389"/>
      <c r="B25" s="669" t="s">
        <v>2284</v>
      </c>
      <c r="C25" s="1323" t="s">
        <v>1632</v>
      </c>
      <c r="D25" s="1323" t="s">
        <v>1632</v>
      </c>
      <c r="E25" s="1323" t="s">
        <v>1632</v>
      </c>
      <c r="F25" s="1323" t="s">
        <v>1632</v>
      </c>
      <c r="G25" s="1323" t="s">
        <v>1632</v>
      </c>
      <c r="H25" s="1323" t="s">
        <v>1632</v>
      </c>
      <c r="I25" s="1323" t="s">
        <v>2280</v>
      </c>
      <c r="J25" s="1325" t="s">
        <v>1632</v>
      </c>
      <c r="K25" s="1323" t="s">
        <v>1632</v>
      </c>
      <c r="L25" s="1323" t="n">
        <v>9</v>
      </c>
      <c r="M25" s="1323" t="n">
        <v>9</v>
      </c>
      <c r="N25" s="1346" t="n">
        <v>9</v>
      </c>
      <c r="O25" s="1323" t="s">
        <v>1632</v>
      </c>
      <c r="P25" s="1323" t="n">
        <v>9</v>
      </c>
      <c r="Q25" s="1326" t="s">
        <v>1632</v>
      </c>
      <c r="R25" s="389"/>
      <c r="S25" s="669" t="s">
        <v>2284</v>
      </c>
      <c r="T25" s="389"/>
      <c r="U25" s="669" t="s">
        <v>2284</v>
      </c>
      <c r="V25" s="1325" t="s">
        <v>1632</v>
      </c>
      <c r="W25" s="1325" t="s">
        <v>1632</v>
      </c>
      <c r="X25" s="1325" t="s">
        <v>1632</v>
      </c>
      <c r="Y25" s="1325" t="n">
        <v>9</v>
      </c>
      <c r="Z25" s="1325" t="s">
        <v>1632</v>
      </c>
      <c r="AA25" s="1325" t="n">
        <v>9</v>
      </c>
      <c r="AB25" s="1325" t="n">
        <v>9</v>
      </c>
      <c r="AC25" s="1325" t="n">
        <v>9</v>
      </c>
      <c r="AD25" s="1325" t="s">
        <v>1632</v>
      </c>
      <c r="AE25" s="1325" t="s">
        <v>2282</v>
      </c>
      <c r="AF25" s="1347" t="s">
        <v>1632</v>
      </c>
      <c r="AG25" s="1325" t="n">
        <v>9</v>
      </c>
      <c r="AH25" s="389"/>
      <c r="AI25" s="669" t="s">
        <v>2284</v>
      </c>
      <c r="AJ25" s="389"/>
      <c r="AK25" s="669" t="s">
        <v>2284</v>
      </c>
      <c r="AL25" s="1323" t="s">
        <v>1632</v>
      </c>
      <c r="AM25" s="1323" t="n">
        <v>9</v>
      </c>
      <c r="AN25" s="1323" t="s">
        <v>1632</v>
      </c>
      <c r="AO25" s="1323" t="s">
        <v>1632</v>
      </c>
      <c r="AP25" s="1323" t="s">
        <v>1632</v>
      </c>
      <c r="AQ25" s="1323" t="s">
        <v>1632</v>
      </c>
      <c r="AR25" s="1323" t="s">
        <v>1632</v>
      </c>
      <c r="AS25" s="1323" t="s">
        <v>1632</v>
      </c>
      <c r="AT25" s="1323" t="s">
        <v>1632</v>
      </c>
      <c r="AU25" s="1323" t="s">
        <v>1632</v>
      </c>
      <c r="AV25" s="1323" t="s">
        <v>1632</v>
      </c>
      <c r="AW25" s="1323" t="s">
        <v>1632</v>
      </c>
      <c r="AX25" s="1323" t="s">
        <v>1632</v>
      </c>
      <c r="AY25" s="389"/>
      <c r="AZ25" s="669" t="s">
        <v>2284</v>
      </c>
      <c r="BA25" s="389"/>
      <c r="BB25" s="669" t="s">
        <v>2284</v>
      </c>
      <c r="BC25" s="1323" t="s">
        <v>1632</v>
      </c>
      <c r="BD25" s="1323" t="s">
        <v>2272</v>
      </c>
      <c r="BE25" s="1323" t="s">
        <v>1632</v>
      </c>
      <c r="BF25" s="1326" t="s">
        <v>1632</v>
      </c>
      <c r="BG25" s="1323" t="s">
        <v>1632</v>
      </c>
      <c r="BH25" s="1323" t="s">
        <v>1632</v>
      </c>
      <c r="BI25" s="1323" t="s">
        <v>1632</v>
      </c>
      <c r="BJ25" s="1323" t="s">
        <v>1632</v>
      </c>
      <c r="BK25" s="389"/>
      <c r="BL25" s="669" t="s">
        <v>2284</v>
      </c>
    </row>
    <row r="26" customFormat="false" ht="11.85" hidden="false" customHeight="true" outlineLevel="0" collapsed="false">
      <c r="A26" s="1321" t="s">
        <v>2287</v>
      </c>
      <c r="B26" s="1321"/>
      <c r="C26" s="1330"/>
      <c r="D26" s="1330"/>
      <c r="E26" s="1330"/>
      <c r="F26" s="1330"/>
      <c r="G26" s="1330"/>
      <c r="H26" s="1330"/>
      <c r="I26" s="1330"/>
      <c r="J26" s="1329"/>
      <c r="K26" s="1330"/>
      <c r="L26" s="1330"/>
      <c r="M26" s="1330"/>
      <c r="N26" s="1330"/>
      <c r="O26" s="1330"/>
      <c r="P26" s="1336"/>
      <c r="Q26" s="1336"/>
      <c r="R26" s="1321" t="s">
        <v>2287</v>
      </c>
      <c r="S26" s="1321"/>
      <c r="T26" s="1321" t="s">
        <v>2287</v>
      </c>
      <c r="U26" s="1321"/>
      <c r="V26" s="1329"/>
      <c r="W26" s="1329"/>
      <c r="X26" s="1329"/>
      <c r="Y26" s="1329"/>
      <c r="Z26" s="1329"/>
      <c r="AA26" s="1329"/>
      <c r="AB26" s="1329"/>
      <c r="AC26" s="1329"/>
      <c r="AD26" s="1329"/>
      <c r="AE26" s="1329"/>
      <c r="AF26" s="1329"/>
      <c r="AG26" s="1329"/>
      <c r="AH26" s="1321" t="s">
        <v>2287</v>
      </c>
      <c r="AI26" s="1321"/>
      <c r="AJ26" s="1321" t="s">
        <v>2287</v>
      </c>
      <c r="AK26" s="1321"/>
      <c r="AL26" s="1330"/>
      <c r="AM26" s="1330"/>
      <c r="AN26" s="1330"/>
      <c r="AO26" s="1330"/>
      <c r="AP26" s="1330"/>
      <c r="AQ26" s="1330"/>
      <c r="AR26" s="1330"/>
      <c r="AS26" s="1330"/>
      <c r="AT26" s="1330"/>
      <c r="AU26" s="1330"/>
      <c r="AV26" s="1330"/>
      <c r="AW26" s="1330"/>
      <c r="AX26" s="1330"/>
      <c r="AY26" s="1321" t="s">
        <v>2287</v>
      </c>
      <c r="AZ26" s="1321"/>
      <c r="BA26" s="1321" t="s">
        <v>2287</v>
      </c>
      <c r="BB26" s="1321"/>
      <c r="BC26" s="1330"/>
      <c r="BD26" s="1330"/>
      <c r="BE26" s="1330"/>
      <c r="BF26" s="1336"/>
      <c r="BG26" s="1330"/>
      <c r="BH26" s="1330"/>
      <c r="BI26" s="1330"/>
      <c r="BJ26" s="1330"/>
      <c r="BK26" s="1321" t="s">
        <v>2287</v>
      </c>
      <c r="BL26" s="1321"/>
    </row>
    <row r="27" customFormat="false" ht="11.85" hidden="false" customHeight="true" outlineLevel="0" collapsed="false">
      <c r="A27" s="389"/>
      <c r="B27" s="669" t="s">
        <v>2278</v>
      </c>
      <c r="C27" s="1325" t="s">
        <v>2280</v>
      </c>
      <c r="D27" s="1346" t="s">
        <v>2280</v>
      </c>
      <c r="E27" s="1325" t="s">
        <v>2280</v>
      </c>
      <c r="F27" s="1323" t="s">
        <v>2280</v>
      </c>
      <c r="G27" s="1346" t="s">
        <v>2280</v>
      </c>
      <c r="H27" s="1346" t="s">
        <v>2280</v>
      </c>
      <c r="I27" s="1325" t="s">
        <v>1632</v>
      </c>
      <c r="J27" s="1325" t="s">
        <v>2280</v>
      </c>
      <c r="K27" s="1323" t="n">
        <v>9</v>
      </c>
      <c r="L27" s="1323" t="n">
        <v>9</v>
      </c>
      <c r="M27" s="1325" t="n">
        <v>9</v>
      </c>
      <c r="N27" s="1346" t="n">
        <v>9</v>
      </c>
      <c r="O27" s="1323" t="n">
        <v>9</v>
      </c>
      <c r="P27" s="1325" t="n">
        <v>9</v>
      </c>
      <c r="Q27" s="1346" t="n">
        <v>9</v>
      </c>
      <c r="R27" s="389"/>
      <c r="S27" s="669" t="s">
        <v>2278</v>
      </c>
      <c r="T27" s="389"/>
      <c r="U27" s="669" t="s">
        <v>2278</v>
      </c>
      <c r="V27" s="1325" t="n">
        <v>9</v>
      </c>
      <c r="W27" s="1325" t="n">
        <v>9</v>
      </c>
      <c r="X27" s="1325" t="n">
        <v>9</v>
      </c>
      <c r="Y27" s="1325" t="n">
        <v>9</v>
      </c>
      <c r="Z27" s="1325" t="s">
        <v>2280</v>
      </c>
      <c r="AA27" s="1325" t="n">
        <v>9</v>
      </c>
      <c r="AB27" s="1325" t="n">
        <v>9</v>
      </c>
      <c r="AC27" s="1325" t="n">
        <v>9</v>
      </c>
      <c r="AD27" s="1325" t="s">
        <v>2280</v>
      </c>
      <c r="AE27" s="1325" t="s">
        <v>2282</v>
      </c>
      <c r="AF27" s="1325" t="s">
        <v>2280</v>
      </c>
      <c r="AG27" s="1325" t="n">
        <v>9</v>
      </c>
      <c r="AH27" s="389"/>
      <c r="AI27" s="669" t="s">
        <v>2278</v>
      </c>
      <c r="AJ27" s="389"/>
      <c r="AK27" s="669" t="s">
        <v>2278</v>
      </c>
      <c r="AL27" s="1323" t="n">
        <v>9</v>
      </c>
      <c r="AM27" s="1323" t="n">
        <v>9</v>
      </c>
      <c r="AN27" s="1323" t="n">
        <v>9</v>
      </c>
      <c r="AO27" s="1325" t="n">
        <v>9</v>
      </c>
      <c r="AP27" s="1323" t="n">
        <v>9</v>
      </c>
      <c r="AQ27" s="1323" t="n">
        <v>9</v>
      </c>
      <c r="AR27" s="1323" t="n">
        <v>9</v>
      </c>
      <c r="AS27" s="1323" t="n">
        <v>9</v>
      </c>
      <c r="AT27" s="1323" t="n">
        <v>9</v>
      </c>
      <c r="AU27" s="1323" t="n">
        <v>9</v>
      </c>
      <c r="AV27" s="1323" t="n">
        <v>9</v>
      </c>
      <c r="AW27" s="1323" t="n">
        <v>9</v>
      </c>
      <c r="AX27" s="1323" t="s">
        <v>1632</v>
      </c>
      <c r="AY27" s="389"/>
      <c r="AZ27" s="669" t="s">
        <v>2278</v>
      </c>
      <c r="BA27" s="389"/>
      <c r="BB27" s="669" t="s">
        <v>2278</v>
      </c>
      <c r="BC27" s="1323" t="n">
        <v>9</v>
      </c>
      <c r="BD27" s="1323" t="s">
        <v>2272</v>
      </c>
      <c r="BE27" s="1323" t="s">
        <v>2272</v>
      </c>
      <c r="BF27" s="1323" t="s">
        <v>2282</v>
      </c>
      <c r="BG27" s="1323" t="n">
        <v>9</v>
      </c>
      <c r="BH27" s="1323" t="s">
        <v>1632</v>
      </c>
      <c r="BI27" s="1323" t="s">
        <v>2282</v>
      </c>
      <c r="BJ27" s="1323" t="n">
        <v>9</v>
      </c>
      <c r="BK27" s="389"/>
      <c r="BL27" s="669" t="s">
        <v>2278</v>
      </c>
    </row>
    <row r="28" customFormat="false" ht="11.85" hidden="false" customHeight="true" outlineLevel="0" collapsed="false">
      <c r="B28" s="898" t="s">
        <v>2284</v>
      </c>
      <c r="C28" s="1330" t="s">
        <v>1632</v>
      </c>
      <c r="D28" s="1330" t="s">
        <v>1632</v>
      </c>
      <c r="E28" s="1330" t="s">
        <v>1632</v>
      </c>
      <c r="F28" s="1341" t="s">
        <v>1632</v>
      </c>
      <c r="G28" s="1330" t="s">
        <v>1632</v>
      </c>
      <c r="H28" s="1330" t="s">
        <v>1632</v>
      </c>
      <c r="I28" s="1330" t="s">
        <v>2280</v>
      </c>
      <c r="J28" s="1329" t="s">
        <v>1632</v>
      </c>
      <c r="K28" s="1341" t="s">
        <v>1632</v>
      </c>
      <c r="L28" s="1330" t="n">
        <v>9</v>
      </c>
      <c r="M28" s="1330" t="n">
        <v>9</v>
      </c>
      <c r="N28" s="1330" t="s">
        <v>1632</v>
      </c>
      <c r="O28" s="1330" t="s">
        <v>1632</v>
      </c>
      <c r="P28" s="1330" t="n">
        <v>9</v>
      </c>
      <c r="Q28" s="1336" t="s">
        <v>1632</v>
      </c>
      <c r="S28" s="898" t="s">
        <v>2284</v>
      </c>
      <c r="U28" s="898" t="s">
        <v>2284</v>
      </c>
      <c r="V28" s="1329" t="s">
        <v>1632</v>
      </c>
      <c r="W28" s="1329" t="s">
        <v>1632</v>
      </c>
      <c r="X28" s="1329" t="s">
        <v>1632</v>
      </c>
      <c r="Y28" s="1329" t="s">
        <v>1632</v>
      </c>
      <c r="Z28" s="1329" t="s">
        <v>1632</v>
      </c>
      <c r="AA28" s="1329" t="n">
        <v>9</v>
      </c>
      <c r="AB28" s="1329" t="s">
        <v>1632</v>
      </c>
      <c r="AC28" s="1329" t="s">
        <v>1632</v>
      </c>
      <c r="AD28" s="1329" t="s">
        <v>1632</v>
      </c>
      <c r="AE28" s="1329" t="s">
        <v>2282</v>
      </c>
      <c r="AF28" s="1329" t="s">
        <v>1632</v>
      </c>
      <c r="AG28" s="1329" t="n">
        <v>9</v>
      </c>
      <c r="AI28" s="898" t="s">
        <v>2284</v>
      </c>
      <c r="AK28" s="898" t="s">
        <v>2284</v>
      </c>
      <c r="AL28" s="1330" t="s">
        <v>1632</v>
      </c>
      <c r="AM28" s="1330" t="n">
        <v>9</v>
      </c>
      <c r="AN28" s="1330" t="s">
        <v>1632</v>
      </c>
      <c r="AO28" s="1329" t="s">
        <v>1632</v>
      </c>
      <c r="AP28" s="1330" t="s">
        <v>1632</v>
      </c>
      <c r="AQ28" s="1330" t="s">
        <v>1632</v>
      </c>
      <c r="AR28" s="1330" t="s">
        <v>1632</v>
      </c>
      <c r="AS28" s="1330" t="s">
        <v>1632</v>
      </c>
      <c r="AT28" s="1330" t="s">
        <v>1632</v>
      </c>
      <c r="AU28" s="1330" t="s">
        <v>1632</v>
      </c>
      <c r="AV28" s="1330" t="s">
        <v>1632</v>
      </c>
      <c r="AW28" s="1330" t="s">
        <v>1632</v>
      </c>
      <c r="AX28" s="1330" t="s">
        <v>1632</v>
      </c>
      <c r="AZ28" s="898" t="s">
        <v>2284</v>
      </c>
      <c r="BB28" s="898" t="s">
        <v>2284</v>
      </c>
      <c r="BC28" s="1330" t="s">
        <v>1632</v>
      </c>
      <c r="BD28" s="1330" t="s">
        <v>2272</v>
      </c>
      <c r="BE28" s="1330" t="s">
        <v>1632</v>
      </c>
      <c r="BF28" s="1336" t="s">
        <v>1632</v>
      </c>
      <c r="BG28" s="1330" t="s">
        <v>1632</v>
      </c>
      <c r="BH28" s="1330" t="s">
        <v>1632</v>
      </c>
      <c r="BI28" s="1330" t="s">
        <v>1632</v>
      </c>
      <c r="BJ28" s="1330" t="s">
        <v>1632</v>
      </c>
      <c r="BL28" s="898" t="s">
        <v>2284</v>
      </c>
    </row>
    <row r="29" customFormat="false" ht="11.25" hidden="false" customHeight="true" outlineLevel="0" collapsed="false">
      <c r="A29" s="510" t="s">
        <v>2288</v>
      </c>
      <c r="B29" s="510"/>
      <c r="C29" s="1323"/>
      <c r="D29" s="1323"/>
      <c r="E29" s="1323"/>
      <c r="F29" s="1323"/>
      <c r="G29" s="1323"/>
      <c r="H29" s="1323"/>
      <c r="I29" s="1323"/>
      <c r="J29" s="1325"/>
      <c r="K29" s="1323"/>
      <c r="L29" s="1323"/>
      <c r="M29" s="1323"/>
      <c r="N29" s="1323"/>
      <c r="O29" s="1323"/>
      <c r="P29" s="1326"/>
      <c r="Q29" s="1326"/>
      <c r="R29" s="667" t="s">
        <v>2288</v>
      </c>
      <c r="S29" s="667"/>
      <c r="T29" s="667" t="s">
        <v>2288</v>
      </c>
      <c r="U29" s="667"/>
      <c r="V29" s="1325"/>
      <c r="W29" s="1325"/>
      <c r="X29" s="1325"/>
      <c r="Y29" s="1325"/>
      <c r="Z29" s="1325"/>
      <c r="AA29" s="1325"/>
      <c r="AB29" s="1325"/>
      <c r="AC29" s="1325"/>
      <c r="AD29" s="1325"/>
      <c r="AE29" s="1325"/>
      <c r="AF29" s="1325"/>
      <c r="AG29" s="1325"/>
      <c r="AH29" s="667" t="s">
        <v>2288</v>
      </c>
      <c r="AI29" s="667"/>
      <c r="AJ29" s="667" t="s">
        <v>2288</v>
      </c>
      <c r="AK29" s="667"/>
      <c r="AL29" s="1326"/>
      <c r="AM29" s="1326"/>
      <c r="AN29" s="1323"/>
      <c r="AO29" s="1348"/>
      <c r="AP29" s="1323"/>
      <c r="AQ29" s="1323"/>
      <c r="AR29" s="1323"/>
      <c r="AS29" s="1323"/>
      <c r="AT29" s="1323"/>
      <c r="AU29" s="1323"/>
      <c r="AV29" s="1323"/>
      <c r="AW29" s="1323"/>
      <c r="AX29" s="1323"/>
      <c r="AY29" s="667" t="s">
        <v>2288</v>
      </c>
      <c r="AZ29" s="667"/>
      <c r="BA29" s="667" t="s">
        <v>2288</v>
      </c>
      <c r="BB29" s="667"/>
      <c r="BC29" s="1323"/>
      <c r="BD29" s="1323"/>
      <c r="BE29" s="1323"/>
      <c r="BF29" s="1326"/>
      <c r="BG29" s="1323"/>
      <c r="BH29" s="1323"/>
      <c r="BI29" s="1323"/>
      <c r="BJ29" s="1323"/>
      <c r="BK29" s="667" t="s">
        <v>2288</v>
      </c>
      <c r="BL29" s="667"/>
    </row>
    <row r="30" s="1352" customFormat="true" ht="18" hidden="false" customHeight="true" outlineLevel="0" collapsed="false">
      <c r="A30" s="1349" t="s">
        <v>2195</v>
      </c>
      <c r="B30" s="1350" t="s">
        <v>2289</v>
      </c>
      <c r="C30" s="1329"/>
      <c r="D30" s="1329"/>
      <c r="E30" s="1329"/>
      <c r="F30" s="1329"/>
      <c r="G30" s="1329"/>
      <c r="H30" s="1329"/>
      <c r="I30" s="1329"/>
      <c r="J30" s="1329"/>
      <c r="K30" s="1342"/>
      <c r="L30" s="1329"/>
      <c r="M30" s="1329"/>
      <c r="N30" s="1329"/>
      <c r="O30" s="1345"/>
      <c r="P30" s="1343"/>
      <c r="Q30" s="1343"/>
      <c r="R30" s="1349" t="s">
        <v>2195</v>
      </c>
      <c r="S30" s="1351" t="s">
        <v>2289</v>
      </c>
      <c r="T30" s="1349" t="s">
        <v>2195</v>
      </c>
      <c r="U30" s="1351" t="s">
        <v>2289</v>
      </c>
      <c r="V30" s="1329"/>
      <c r="W30" s="1329"/>
      <c r="X30" s="1329"/>
      <c r="Y30" s="1329"/>
      <c r="Z30" s="1329"/>
      <c r="AA30" s="1329"/>
      <c r="AB30" s="1329"/>
      <c r="AC30" s="1329"/>
      <c r="AD30" s="1329"/>
      <c r="AE30" s="1329"/>
      <c r="AF30" s="1329"/>
      <c r="AG30" s="1329"/>
      <c r="AH30" s="1349" t="s">
        <v>2195</v>
      </c>
      <c r="AI30" s="1351" t="s">
        <v>2289</v>
      </c>
      <c r="AJ30" s="1349" t="s">
        <v>2195</v>
      </c>
      <c r="AK30" s="1351" t="s">
        <v>2289</v>
      </c>
      <c r="AL30" s="1343"/>
      <c r="AM30" s="1343"/>
      <c r="AN30" s="1329"/>
      <c r="AO30" s="1329"/>
      <c r="AP30" s="1329"/>
      <c r="AQ30" s="1329"/>
      <c r="AR30" s="1329"/>
      <c r="AS30" s="1329"/>
      <c r="AT30" s="1329"/>
      <c r="AU30" s="1329"/>
      <c r="AV30" s="1329"/>
      <c r="AW30" s="1329"/>
      <c r="AX30" s="1329"/>
      <c r="AY30" s="1349" t="s">
        <v>2195</v>
      </c>
      <c r="AZ30" s="1351" t="s">
        <v>2289</v>
      </c>
      <c r="BA30" s="1349" t="s">
        <v>2195</v>
      </c>
      <c r="BB30" s="1351" t="s">
        <v>2289</v>
      </c>
      <c r="BC30" s="1329"/>
      <c r="BD30" s="1329"/>
      <c r="BE30" s="1329"/>
      <c r="BF30" s="1343"/>
      <c r="BG30" s="1329"/>
      <c r="BH30" s="1329"/>
      <c r="BI30" s="1329"/>
      <c r="BJ30" s="1329"/>
      <c r="BK30" s="1349" t="s">
        <v>2195</v>
      </c>
      <c r="BL30" s="1351" t="s">
        <v>2289</v>
      </c>
    </row>
    <row r="31" customFormat="false" ht="11.85" hidden="false" customHeight="true" outlineLevel="0" collapsed="false">
      <c r="A31" s="1353"/>
      <c r="B31" s="669" t="s">
        <v>2290</v>
      </c>
      <c r="C31" s="1325" t="s">
        <v>2280</v>
      </c>
      <c r="D31" s="1346" t="s">
        <v>2280</v>
      </c>
      <c r="E31" s="1325" t="s">
        <v>2280</v>
      </c>
      <c r="F31" s="1323" t="s">
        <v>2280</v>
      </c>
      <c r="G31" s="1346" t="s">
        <v>2280</v>
      </c>
      <c r="H31" s="1325" t="s">
        <v>2280</v>
      </c>
      <c r="I31" s="1323" t="s">
        <v>1632</v>
      </c>
      <c r="J31" s="1346" t="s">
        <v>2280</v>
      </c>
      <c r="K31" s="1323" t="n">
        <v>9</v>
      </c>
      <c r="L31" s="1323" t="n">
        <v>9</v>
      </c>
      <c r="M31" s="1325" t="n">
        <v>9</v>
      </c>
      <c r="N31" s="1346" t="n">
        <v>9</v>
      </c>
      <c r="O31" s="1323" t="s">
        <v>2280</v>
      </c>
      <c r="P31" s="1325" t="s">
        <v>2280</v>
      </c>
      <c r="Q31" s="1325" t="s">
        <v>2280</v>
      </c>
      <c r="R31" s="1353"/>
      <c r="S31" s="669" t="s">
        <v>2278</v>
      </c>
      <c r="T31" s="1353"/>
      <c r="U31" s="669" t="s">
        <v>2278</v>
      </c>
      <c r="V31" s="1325" t="n">
        <v>9</v>
      </c>
      <c r="W31" s="1325" t="n">
        <v>9</v>
      </c>
      <c r="X31" s="1325" t="n">
        <v>9</v>
      </c>
      <c r="Y31" s="1325" t="n">
        <v>9</v>
      </c>
      <c r="Z31" s="1325" t="s">
        <v>2280</v>
      </c>
      <c r="AA31" s="1325" t="n">
        <v>9</v>
      </c>
      <c r="AB31" s="1325" t="s">
        <v>2282</v>
      </c>
      <c r="AC31" s="1325" t="n">
        <v>9</v>
      </c>
      <c r="AD31" s="1325" t="s">
        <v>2280</v>
      </c>
      <c r="AE31" s="1325" t="s">
        <v>2282</v>
      </c>
      <c r="AF31" s="1325" t="s">
        <v>2280</v>
      </c>
      <c r="AG31" s="1325" t="n">
        <v>9</v>
      </c>
      <c r="AH31" s="1353"/>
      <c r="AI31" s="669" t="s">
        <v>2278</v>
      </c>
      <c r="AJ31" s="1353"/>
      <c r="AK31" s="669" t="s">
        <v>2278</v>
      </c>
      <c r="AL31" s="1323" t="n">
        <v>9</v>
      </c>
      <c r="AM31" s="1323" t="n">
        <v>9</v>
      </c>
      <c r="AN31" s="1323" t="n">
        <v>9</v>
      </c>
      <c r="AO31" s="1325" t="s">
        <v>2272</v>
      </c>
      <c r="AP31" s="1323" t="n">
        <v>9</v>
      </c>
      <c r="AQ31" s="1323" t="n">
        <v>9</v>
      </c>
      <c r="AR31" s="1323" t="n">
        <v>9</v>
      </c>
      <c r="AS31" s="1323" t="n">
        <v>9</v>
      </c>
      <c r="AT31" s="1323" t="n">
        <v>9</v>
      </c>
      <c r="AU31" s="1323" t="n">
        <v>9</v>
      </c>
      <c r="AV31" s="1323" t="n">
        <v>9</v>
      </c>
      <c r="AW31" s="1323" t="n">
        <v>9</v>
      </c>
      <c r="AX31" s="1323" t="s">
        <v>1632</v>
      </c>
      <c r="AY31" s="1353"/>
      <c r="AZ31" s="669" t="s">
        <v>2278</v>
      </c>
      <c r="BA31" s="1353"/>
      <c r="BB31" s="669" t="s">
        <v>2278</v>
      </c>
      <c r="BC31" s="1323" t="n">
        <v>9</v>
      </c>
      <c r="BD31" s="1323" t="s">
        <v>2272</v>
      </c>
      <c r="BE31" s="1323" t="s">
        <v>2272</v>
      </c>
      <c r="BF31" s="1323" t="s">
        <v>2282</v>
      </c>
      <c r="BG31" s="1323" t="n">
        <v>9</v>
      </c>
      <c r="BH31" s="1323" t="s">
        <v>2272</v>
      </c>
      <c r="BI31" s="1323" t="s">
        <v>2283</v>
      </c>
      <c r="BJ31" s="1323" t="n">
        <v>9</v>
      </c>
      <c r="BK31" s="1353"/>
      <c r="BL31" s="669" t="s">
        <v>2278</v>
      </c>
    </row>
    <row r="32" customFormat="false" ht="11.85" hidden="false" customHeight="true" outlineLevel="0" collapsed="false">
      <c r="A32" s="1349"/>
      <c r="B32" s="898" t="s">
        <v>2291</v>
      </c>
      <c r="C32" s="1330" t="s">
        <v>1632</v>
      </c>
      <c r="D32" s="1330" t="s">
        <v>1632</v>
      </c>
      <c r="E32" s="1330" t="s">
        <v>1632</v>
      </c>
      <c r="F32" s="1330" t="s">
        <v>1632</v>
      </c>
      <c r="G32" s="1330" t="s">
        <v>1632</v>
      </c>
      <c r="H32" s="1330" t="s">
        <v>1632</v>
      </c>
      <c r="I32" s="1330" t="s">
        <v>2280</v>
      </c>
      <c r="J32" s="1329" t="s">
        <v>1632</v>
      </c>
      <c r="K32" s="1330" t="s">
        <v>1632</v>
      </c>
      <c r="L32" s="1330" t="n">
        <v>9</v>
      </c>
      <c r="M32" s="1330" t="n">
        <v>9</v>
      </c>
      <c r="N32" s="1058" t="n">
        <v>9</v>
      </c>
      <c r="O32" s="1330" t="s">
        <v>1632</v>
      </c>
      <c r="P32" s="1330" t="n">
        <v>9</v>
      </c>
      <c r="Q32" s="1336" t="s">
        <v>1632</v>
      </c>
      <c r="R32" s="1349"/>
      <c r="S32" s="898" t="s">
        <v>2284</v>
      </c>
      <c r="T32" s="1349"/>
      <c r="U32" s="898" t="s">
        <v>2284</v>
      </c>
      <c r="V32" s="1329" t="s">
        <v>1632</v>
      </c>
      <c r="W32" s="1329" t="s">
        <v>1632</v>
      </c>
      <c r="X32" s="1329" t="s">
        <v>1632</v>
      </c>
      <c r="Y32" s="1329" t="s">
        <v>1632</v>
      </c>
      <c r="Z32" s="1329" t="s">
        <v>1632</v>
      </c>
      <c r="AA32" s="1329" t="n">
        <v>9</v>
      </c>
      <c r="AB32" s="1329" t="n">
        <v>9</v>
      </c>
      <c r="AC32" s="1329" t="s">
        <v>1632</v>
      </c>
      <c r="AD32" s="1329" t="s">
        <v>1632</v>
      </c>
      <c r="AE32" s="1329" t="s">
        <v>2282</v>
      </c>
      <c r="AF32" s="1329" t="s">
        <v>1632</v>
      </c>
      <c r="AG32" s="1329" t="s">
        <v>1632</v>
      </c>
      <c r="AH32" s="1349"/>
      <c r="AI32" s="898" t="s">
        <v>2284</v>
      </c>
      <c r="AJ32" s="1349"/>
      <c r="AK32" s="898" t="s">
        <v>2284</v>
      </c>
      <c r="AL32" s="1330" t="s">
        <v>1632</v>
      </c>
      <c r="AM32" s="1330" t="s">
        <v>1632</v>
      </c>
      <c r="AN32" s="1336" t="s">
        <v>1632</v>
      </c>
      <c r="AO32" s="1329" t="s">
        <v>1632</v>
      </c>
      <c r="AP32" s="1330" t="s">
        <v>1632</v>
      </c>
      <c r="AQ32" s="1330" t="s">
        <v>1632</v>
      </c>
      <c r="AR32" s="1330" t="s">
        <v>1632</v>
      </c>
      <c r="AS32" s="1330" t="s">
        <v>1632</v>
      </c>
      <c r="AT32" s="1330" t="s">
        <v>1632</v>
      </c>
      <c r="AU32" s="1330" t="s">
        <v>1632</v>
      </c>
      <c r="AV32" s="1330" t="s">
        <v>1632</v>
      </c>
      <c r="AW32" s="1330" t="s">
        <v>1632</v>
      </c>
      <c r="AX32" s="1330" t="s">
        <v>1632</v>
      </c>
      <c r="AY32" s="1349"/>
      <c r="AZ32" s="898" t="s">
        <v>2284</v>
      </c>
      <c r="BA32" s="1349"/>
      <c r="BB32" s="898" t="s">
        <v>2284</v>
      </c>
      <c r="BC32" s="1330" t="s">
        <v>1632</v>
      </c>
      <c r="BD32" s="1330" t="s">
        <v>2272</v>
      </c>
      <c r="BE32" s="1330" t="s">
        <v>1632</v>
      </c>
      <c r="BF32" s="1336" t="s">
        <v>1632</v>
      </c>
      <c r="BG32" s="1330" t="s">
        <v>1632</v>
      </c>
      <c r="BH32" s="1330" t="s">
        <v>2272</v>
      </c>
      <c r="BI32" s="1330" t="s">
        <v>1632</v>
      </c>
      <c r="BJ32" s="1330" t="s">
        <v>1632</v>
      </c>
      <c r="BK32" s="1349"/>
      <c r="BL32" s="898" t="s">
        <v>2284</v>
      </c>
    </row>
    <row r="33" customFormat="false" ht="20.25" hidden="false" customHeight="true" outlineLevel="0" collapsed="false">
      <c r="A33" s="1353" t="s">
        <v>2205</v>
      </c>
      <c r="B33" s="667" t="s">
        <v>2292</v>
      </c>
      <c r="C33" s="1323"/>
      <c r="D33" s="1323"/>
      <c r="E33" s="1323"/>
      <c r="F33" s="1323"/>
      <c r="G33" s="1323"/>
      <c r="H33" s="1323"/>
      <c r="I33" s="1323"/>
      <c r="J33" s="1325"/>
      <c r="K33" s="1323"/>
      <c r="L33" s="1323"/>
      <c r="M33" s="1323"/>
      <c r="N33" s="1323"/>
      <c r="O33" s="1323"/>
      <c r="P33" s="1326"/>
      <c r="Q33" s="1326"/>
      <c r="R33" s="1353" t="s">
        <v>2205</v>
      </c>
      <c r="S33" s="667" t="s">
        <v>2292</v>
      </c>
      <c r="T33" s="1353" t="s">
        <v>2205</v>
      </c>
      <c r="U33" s="667" t="s">
        <v>2292</v>
      </c>
      <c r="V33" s="1325"/>
      <c r="W33" s="1325"/>
      <c r="X33" s="1325"/>
      <c r="Y33" s="1325"/>
      <c r="Z33" s="1325"/>
      <c r="AA33" s="1325"/>
      <c r="AB33" s="1325"/>
      <c r="AC33" s="1325"/>
      <c r="AD33" s="1325"/>
      <c r="AE33" s="1325"/>
      <c r="AF33" s="1325"/>
      <c r="AG33" s="1325"/>
      <c r="AH33" s="1353" t="s">
        <v>2205</v>
      </c>
      <c r="AI33" s="667" t="s">
        <v>2292</v>
      </c>
      <c r="AJ33" s="1353" t="s">
        <v>2205</v>
      </c>
      <c r="AK33" s="667" t="s">
        <v>2292</v>
      </c>
      <c r="AL33" s="1323"/>
      <c r="AM33" s="1323"/>
      <c r="AN33" s="1326"/>
      <c r="AO33" s="1323"/>
      <c r="AP33" s="1323"/>
      <c r="AQ33" s="1323"/>
      <c r="AR33" s="1323"/>
      <c r="AS33" s="1323"/>
      <c r="AT33" s="1323"/>
      <c r="AU33" s="1323"/>
      <c r="AV33" s="1323"/>
      <c r="AW33" s="1323"/>
      <c r="AX33" s="1323"/>
      <c r="AY33" s="1353" t="s">
        <v>2205</v>
      </c>
      <c r="AZ33" s="667" t="s">
        <v>2292</v>
      </c>
      <c r="BA33" s="1353" t="s">
        <v>2205</v>
      </c>
      <c r="BB33" s="667" t="s">
        <v>2292</v>
      </c>
      <c r="BC33" s="1323"/>
      <c r="BD33" s="1323"/>
      <c r="BE33" s="1323"/>
      <c r="BF33" s="1326"/>
      <c r="BG33" s="1323"/>
      <c r="BH33" s="1323"/>
      <c r="BI33" s="1323"/>
      <c r="BJ33" s="1323"/>
      <c r="BK33" s="1353" t="s">
        <v>2205</v>
      </c>
      <c r="BL33" s="667" t="s">
        <v>2292</v>
      </c>
    </row>
    <row r="34" customFormat="false" ht="11.85" hidden="false" customHeight="true" outlineLevel="0" collapsed="false">
      <c r="B34" s="898" t="s">
        <v>2290</v>
      </c>
      <c r="C34" s="1345" t="s">
        <v>2280</v>
      </c>
      <c r="D34" s="1058" t="s">
        <v>2280</v>
      </c>
      <c r="E34" s="1329" t="s">
        <v>2280</v>
      </c>
      <c r="F34" s="1330" t="s">
        <v>2280</v>
      </c>
      <c r="G34" s="1058" t="n">
        <v>9</v>
      </c>
      <c r="H34" s="1330" t="s">
        <v>2280</v>
      </c>
      <c r="I34" s="1330" t="s">
        <v>1632</v>
      </c>
      <c r="J34" s="1058" t="s">
        <v>2280</v>
      </c>
      <c r="K34" s="1329" t="n">
        <v>9</v>
      </c>
      <c r="L34" s="1329" t="n">
        <v>9</v>
      </c>
      <c r="M34" s="1329" t="n">
        <v>9</v>
      </c>
      <c r="N34" s="1058" t="n">
        <v>9</v>
      </c>
      <c r="O34" s="1330" t="n">
        <v>9</v>
      </c>
      <c r="P34" s="1329" t="s">
        <v>2280</v>
      </c>
      <c r="Q34" s="1329" t="s">
        <v>2280</v>
      </c>
      <c r="S34" s="898" t="s">
        <v>2278</v>
      </c>
      <c r="U34" s="898" t="s">
        <v>2278</v>
      </c>
      <c r="V34" s="1329" t="n">
        <v>9</v>
      </c>
      <c r="W34" s="1329" t="n">
        <v>9</v>
      </c>
      <c r="X34" s="1329" t="n">
        <v>9</v>
      </c>
      <c r="Y34" s="1329" t="n">
        <v>9</v>
      </c>
      <c r="Z34" s="1345" t="s">
        <v>2280</v>
      </c>
      <c r="AA34" s="1329" t="n">
        <v>9</v>
      </c>
      <c r="AB34" s="1329" t="n">
        <v>9</v>
      </c>
      <c r="AC34" s="1329" t="n">
        <v>9</v>
      </c>
      <c r="AD34" s="1329" t="s">
        <v>2280</v>
      </c>
      <c r="AE34" s="1329" t="s">
        <v>2282</v>
      </c>
      <c r="AF34" s="1329" t="s">
        <v>2280</v>
      </c>
      <c r="AG34" s="1329" t="n">
        <v>9</v>
      </c>
      <c r="AI34" s="898" t="s">
        <v>2278</v>
      </c>
      <c r="AK34" s="898" t="s">
        <v>2278</v>
      </c>
      <c r="AL34" s="1330" t="n">
        <v>9</v>
      </c>
      <c r="AM34" s="1330" t="n">
        <v>9</v>
      </c>
      <c r="AN34" s="1330" t="n">
        <v>9</v>
      </c>
      <c r="AO34" s="1329" t="n">
        <v>9</v>
      </c>
      <c r="AP34" s="1330" t="n">
        <v>9</v>
      </c>
      <c r="AQ34" s="1330" t="n">
        <v>9</v>
      </c>
      <c r="AR34" s="1330" t="n">
        <v>9</v>
      </c>
      <c r="AS34" s="1330" t="n">
        <v>9</v>
      </c>
      <c r="AT34" s="1330" t="n">
        <v>9</v>
      </c>
      <c r="AU34" s="1330" t="n">
        <v>9</v>
      </c>
      <c r="AV34" s="1330" t="n">
        <v>9</v>
      </c>
      <c r="AW34" s="1330" t="n">
        <v>9</v>
      </c>
      <c r="AX34" s="1330" t="s">
        <v>2280</v>
      </c>
      <c r="AZ34" s="898" t="s">
        <v>2278</v>
      </c>
      <c r="BB34" s="898" t="s">
        <v>2278</v>
      </c>
      <c r="BC34" s="1330" t="n">
        <v>9</v>
      </c>
      <c r="BD34" s="1330" t="s">
        <v>2272</v>
      </c>
      <c r="BE34" s="1330" t="s">
        <v>2272</v>
      </c>
      <c r="BF34" s="1330" t="s">
        <v>2282</v>
      </c>
      <c r="BG34" s="1330" t="n">
        <v>9</v>
      </c>
      <c r="BH34" s="1330" t="s">
        <v>1632</v>
      </c>
      <c r="BI34" s="1330" t="s">
        <v>2282</v>
      </c>
      <c r="BJ34" s="1330" t="n">
        <v>9</v>
      </c>
      <c r="BL34" s="898" t="s">
        <v>2278</v>
      </c>
    </row>
    <row r="35" customFormat="false" ht="11.85" hidden="false" customHeight="true" outlineLevel="0" collapsed="false">
      <c r="A35" s="389"/>
      <c r="B35" s="669" t="s">
        <v>2291</v>
      </c>
      <c r="C35" s="1323" t="s">
        <v>1632</v>
      </c>
      <c r="D35" s="1323" t="s">
        <v>1632</v>
      </c>
      <c r="E35" s="1323" t="s">
        <v>1632</v>
      </c>
      <c r="F35" s="1323" t="s">
        <v>1632</v>
      </c>
      <c r="G35" s="1323" t="s">
        <v>1632</v>
      </c>
      <c r="H35" s="1323" t="s">
        <v>1632</v>
      </c>
      <c r="I35" s="1323" t="s">
        <v>2280</v>
      </c>
      <c r="J35" s="1325" t="s">
        <v>1632</v>
      </c>
      <c r="K35" s="1323" t="s">
        <v>1632</v>
      </c>
      <c r="L35" s="1325" t="n">
        <v>9</v>
      </c>
      <c r="M35" s="1323" t="n">
        <v>9</v>
      </c>
      <c r="N35" s="1323" t="s">
        <v>1632</v>
      </c>
      <c r="O35" s="1323" t="s">
        <v>1632</v>
      </c>
      <c r="P35" s="1323" t="n">
        <v>9</v>
      </c>
      <c r="Q35" s="1323" t="s">
        <v>1632</v>
      </c>
      <c r="R35" s="389"/>
      <c r="S35" s="669" t="s">
        <v>2284</v>
      </c>
      <c r="T35" s="389"/>
      <c r="U35" s="669" t="s">
        <v>2284</v>
      </c>
      <c r="V35" s="1325" t="s">
        <v>1632</v>
      </c>
      <c r="W35" s="1325" t="s">
        <v>1632</v>
      </c>
      <c r="X35" s="1325" t="s">
        <v>1632</v>
      </c>
      <c r="Y35" s="1325" t="s">
        <v>1632</v>
      </c>
      <c r="Z35" s="1325" t="s">
        <v>1632</v>
      </c>
      <c r="AA35" s="1325" t="s">
        <v>1632</v>
      </c>
      <c r="AB35" s="1325" t="s">
        <v>1632</v>
      </c>
      <c r="AC35" s="1325" t="s">
        <v>1632</v>
      </c>
      <c r="AD35" s="1325" t="s">
        <v>1632</v>
      </c>
      <c r="AE35" s="1325" t="s">
        <v>2282</v>
      </c>
      <c r="AF35" s="1325" t="s">
        <v>1632</v>
      </c>
      <c r="AG35" s="1325" t="n">
        <v>9</v>
      </c>
      <c r="AH35" s="389"/>
      <c r="AI35" s="669" t="s">
        <v>2284</v>
      </c>
      <c r="AJ35" s="389"/>
      <c r="AK35" s="669" t="s">
        <v>2284</v>
      </c>
      <c r="AL35" s="1323" t="s">
        <v>1632</v>
      </c>
      <c r="AM35" s="1323" t="s">
        <v>1632</v>
      </c>
      <c r="AN35" s="1323" t="s">
        <v>1632</v>
      </c>
      <c r="AO35" s="1325" t="s">
        <v>1632</v>
      </c>
      <c r="AP35" s="1323" t="s">
        <v>1632</v>
      </c>
      <c r="AQ35" s="1323" t="s">
        <v>1632</v>
      </c>
      <c r="AR35" s="1323" t="s">
        <v>1632</v>
      </c>
      <c r="AS35" s="1323" t="s">
        <v>1632</v>
      </c>
      <c r="AT35" s="1323" t="s">
        <v>1632</v>
      </c>
      <c r="AU35" s="1323" t="s">
        <v>1632</v>
      </c>
      <c r="AV35" s="1323" t="s">
        <v>1632</v>
      </c>
      <c r="AW35" s="1323" t="s">
        <v>1632</v>
      </c>
      <c r="AX35" s="1323" t="s">
        <v>1632</v>
      </c>
      <c r="AY35" s="389"/>
      <c r="AZ35" s="669" t="s">
        <v>2284</v>
      </c>
      <c r="BA35" s="389"/>
      <c r="BB35" s="669" t="s">
        <v>2284</v>
      </c>
      <c r="BC35" s="1323" t="s">
        <v>1632</v>
      </c>
      <c r="BD35" s="1323" t="s">
        <v>2272</v>
      </c>
      <c r="BE35" s="1323" t="s">
        <v>1632</v>
      </c>
      <c r="BF35" s="1323" t="s">
        <v>1632</v>
      </c>
      <c r="BG35" s="1323" t="s">
        <v>1632</v>
      </c>
      <c r="BH35" s="1323" t="s">
        <v>1632</v>
      </c>
      <c r="BI35" s="1323" t="s">
        <v>1632</v>
      </c>
      <c r="BJ35" s="1323" t="s">
        <v>1632</v>
      </c>
      <c r="BK35" s="389"/>
      <c r="BL35" s="669" t="s">
        <v>2284</v>
      </c>
    </row>
    <row r="36" customFormat="false" ht="11.85" hidden="false" customHeight="true" outlineLevel="0" collapsed="false">
      <c r="A36" s="1321" t="s">
        <v>2293</v>
      </c>
      <c r="B36" s="1321"/>
      <c r="C36" s="1330" t="s">
        <v>2228</v>
      </c>
      <c r="D36" s="1330" t="s">
        <v>2228</v>
      </c>
      <c r="E36" s="1330" t="s">
        <v>2228</v>
      </c>
      <c r="F36" s="1330" t="s">
        <v>2228</v>
      </c>
      <c r="G36" s="1330" t="s">
        <v>2228</v>
      </c>
      <c r="H36" s="1330" t="s">
        <v>2228</v>
      </c>
      <c r="I36" s="1330" t="n">
        <v>7</v>
      </c>
      <c r="J36" s="1329" t="s">
        <v>2228</v>
      </c>
      <c r="K36" s="1330" t="n">
        <v>5.5</v>
      </c>
      <c r="L36" s="1330" t="s">
        <v>2228</v>
      </c>
      <c r="M36" s="1330" t="s">
        <v>2228</v>
      </c>
      <c r="N36" s="1330" t="s">
        <v>2228</v>
      </c>
      <c r="O36" s="1330" t="s">
        <v>2228</v>
      </c>
      <c r="P36" s="1330" t="s">
        <v>2228</v>
      </c>
      <c r="Q36" s="1330" t="s">
        <v>2228</v>
      </c>
      <c r="R36" s="1321" t="s">
        <v>2293</v>
      </c>
      <c r="S36" s="1321"/>
      <c r="T36" s="1321" t="s">
        <v>2293</v>
      </c>
      <c r="U36" s="1321"/>
      <c r="V36" s="1329" t="s">
        <v>2228</v>
      </c>
      <c r="W36" s="1329" t="s">
        <v>2228</v>
      </c>
      <c r="X36" s="1329" t="s">
        <v>2228</v>
      </c>
      <c r="Y36" s="1329" t="s">
        <v>2228</v>
      </c>
      <c r="Z36" s="1329" t="s">
        <v>2228</v>
      </c>
      <c r="AA36" s="1329" t="s">
        <v>2228</v>
      </c>
      <c r="AB36" s="1329" t="s">
        <v>2228</v>
      </c>
      <c r="AC36" s="1329" t="s">
        <v>2228</v>
      </c>
      <c r="AD36" s="1329" t="s">
        <v>2228</v>
      </c>
      <c r="AE36" s="1329" t="s">
        <v>2228</v>
      </c>
      <c r="AF36" s="1329" t="s">
        <v>2228</v>
      </c>
      <c r="AG36" s="1329" t="s">
        <v>2228</v>
      </c>
      <c r="AH36" s="1321" t="s">
        <v>2293</v>
      </c>
      <c r="AI36" s="1321"/>
      <c r="AJ36" s="1321" t="s">
        <v>2293</v>
      </c>
      <c r="AK36" s="1321"/>
      <c r="AL36" s="1330" t="s">
        <v>2228</v>
      </c>
      <c r="AM36" s="1330" t="s">
        <v>2228</v>
      </c>
      <c r="AN36" s="1330" t="s">
        <v>2228</v>
      </c>
      <c r="AO36" s="1330" t="s">
        <v>2228</v>
      </c>
      <c r="AP36" s="1330" t="s">
        <v>2228</v>
      </c>
      <c r="AQ36" s="1330" t="s">
        <v>2228</v>
      </c>
      <c r="AR36" s="1330" t="s">
        <v>2228</v>
      </c>
      <c r="AS36" s="1330" t="s">
        <v>2228</v>
      </c>
      <c r="AT36" s="1330" t="s">
        <v>2228</v>
      </c>
      <c r="AU36" s="1330" t="s">
        <v>2228</v>
      </c>
      <c r="AV36" s="1330" t="s">
        <v>2228</v>
      </c>
      <c r="AW36" s="1330" t="s">
        <v>2228</v>
      </c>
      <c r="AX36" s="1330" t="s">
        <v>1632</v>
      </c>
      <c r="AY36" s="1321" t="s">
        <v>2293</v>
      </c>
      <c r="AZ36" s="1321"/>
      <c r="BA36" s="1321" t="s">
        <v>2293</v>
      </c>
      <c r="BB36" s="1321"/>
      <c r="BC36" s="1330" t="s">
        <v>2228</v>
      </c>
      <c r="BD36" s="1330" t="s">
        <v>2228</v>
      </c>
      <c r="BE36" s="1330" t="s">
        <v>2294</v>
      </c>
      <c r="BF36" s="1330" t="s">
        <v>2228</v>
      </c>
      <c r="BG36" s="1330" t="s">
        <v>2295</v>
      </c>
      <c r="BH36" s="1330" t="s">
        <v>1632</v>
      </c>
      <c r="BI36" s="1330" t="s">
        <v>2228</v>
      </c>
      <c r="BJ36" s="1330" t="s">
        <v>1632</v>
      </c>
      <c r="BK36" s="1321" t="s">
        <v>2293</v>
      </c>
      <c r="BL36" s="1321"/>
    </row>
    <row r="37" customFormat="false" ht="11.85" hidden="false" customHeight="true" outlineLevel="0" collapsed="false">
      <c r="A37" s="667" t="s">
        <v>2296</v>
      </c>
      <c r="B37" s="667"/>
      <c r="C37" s="1323"/>
      <c r="D37" s="1323"/>
      <c r="E37" s="1323"/>
      <c r="F37" s="1323"/>
      <c r="G37" s="1323"/>
      <c r="H37" s="1323"/>
      <c r="I37" s="1323"/>
      <c r="J37" s="1325"/>
      <c r="K37" s="1323"/>
      <c r="L37" s="1323"/>
      <c r="M37" s="1323"/>
      <c r="N37" s="1323"/>
      <c r="O37" s="1323"/>
      <c r="P37" s="1326"/>
      <c r="Q37" s="1326"/>
      <c r="R37" s="667" t="s">
        <v>2296</v>
      </c>
      <c r="S37" s="667"/>
      <c r="T37" s="667" t="s">
        <v>2296</v>
      </c>
      <c r="U37" s="667"/>
      <c r="V37" s="1325"/>
      <c r="W37" s="1325"/>
      <c r="X37" s="1325"/>
      <c r="Y37" s="1325"/>
      <c r="Z37" s="1325"/>
      <c r="AA37" s="1324"/>
      <c r="AB37" s="1324"/>
      <c r="AC37" s="1324"/>
      <c r="AD37" s="1324"/>
      <c r="AE37" s="1324"/>
      <c r="AF37" s="1324"/>
      <c r="AG37" s="1325"/>
      <c r="AH37" s="667" t="s">
        <v>2296</v>
      </c>
      <c r="AI37" s="667"/>
      <c r="AJ37" s="667" t="s">
        <v>2296</v>
      </c>
      <c r="AK37" s="667"/>
      <c r="AL37" s="1326"/>
      <c r="AM37" s="1326"/>
      <c r="AN37" s="1326"/>
      <c r="AO37" s="1326"/>
      <c r="AP37" s="1323"/>
      <c r="AQ37" s="1323"/>
      <c r="AR37" s="1323"/>
      <c r="AS37" s="1323"/>
      <c r="AT37" s="1323"/>
      <c r="AU37" s="1323"/>
      <c r="AV37" s="1323"/>
      <c r="AW37" s="1323"/>
      <c r="AX37" s="1323"/>
      <c r="AY37" s="667" t="s">
        <v>2296</v>
      </c>
      <c r="AZ37" s="667"/>
      <c r="BA37" s="667" t="s">
        <v>2296</v>
      </c>
      <c r="BB37" s="667"/>
      <c r="BC37" s="1323"/>
      <c r="BD37" s="1323"/>
      <c r="BE37" s="1323"/>
      <c r="BF37" s="1326"/>
      <c r="BG37" s="1323"/>
      <c r="BH37" s="1323"/>
      <c r="BI37" s="1323"/>
      <c r="BJ37" s="1323"/>
      <c r="BK37" s="667" t="s">
        <v>2296</v>
      </c>
      <c r="BL37" s="667"/>
    </row>
    <row r="38" customFormat="false" ht="11.85" hidden="false" customHeight="true" outlineLevel="0" collapsed="false">
      <c r="B38" s="898" t="s">
        <v>2278</v>
      </c>
      <c r="C38" s="1058" t="s">
        <v>2280</v>
      </c>
      <c r="D38" s="1330" t="s">
        <v>2280</v>
      </c>
      <c r="E38" s="1329" t="s">
        <v>2280</v>
      </c>
      <c r="F38" s="1330" t="n">
        <v>9</v>
      </c>
      <c r="G38" s="1058" t="n">
        <v>9</v>
      </c>
      <c r="H38" s="1058" t="s">
        <v>2280</v>
      </c>
      <c r="I38" s="1330" t="s">
        <v>2280</v>
      </c>
      <c r="J38" s="1329" t="s">
        <v>2280</v>
      </c>
      <c r="K38" s="1330" t="n">
        <v>9</v>
      </c>
      <c r="L38" s="1330" t="n">
        <v>9</v>
      </c>
      <c r="M38" s="1329" t="n">
        <v>9</v>
      </c>
      <c r="N38" s="1058" t="n">
        <v>9</v>
      </c>
      <c r="O38" s="1330" t="n">
        <v>9</v>
      </c>
      <c r="P38" s="1329" t="n">
        <v>9</v>
      </c>
      <c r="Q38" s="1329" t="n">
        <v>9</v>
      </c>
      <c r="S38" s="898" t="s">
        <v>2278</v>
      </c>
      <c r="U38" s="898" t="s">
        <v>2278</v>
      </c>
      <c r="V38" s="1329" t="n">
        <v>9</v>
      </c>
      <c r="W38" s="1329" t="n">
        <v>9</v>
      </c>
      <c r="X38" s="1329" t="n">
        <v>9</v>
      </c>
      <c r="Y38" s="1329" t="s">
        <v>1632</v>
      </c>
      <c r="Z38" s="1329" t="s">
        <v>2280</v>
      </c>
      <c r="AA38" s="1329" t="n">
        <v>9</v>
      </c>
      <c r="AB38" s="1329" t="n">
        <v>9</v>
      </c>
      <c r="AC38" s="1329" t="n">
        <v>9</v>
      </c>
      <c r="AD38" s="1329" t="s">
        <v>2280</v>
      </c>
      <c r="AE38" s="1329" t="s">
        <v>2282</v>
      </c>
      <c r="AF38" s="1329" t="n">
        <v>9</v>
      </c>
      <c r="AG38" s="1329" t="n">
        <v>9</v>
      </c>
      <c r="AI38" s="898" t="s">
        <v>2278</v>
      </c>
      <c r="AK38" s="898" t="s">
        <v>2278</v>
      </c>
      <c r="AL38" s="1330" t="n">
        <v>9</v>
      </c>
      <c r="AM38" s="1330" t="n">
        <v>9</v>
      </c>
      <c r="AN38" s="1330" t="n">
        <v>9</v>
      </c>
      <c r="AO38" s="1329" t="s">
        <v>2272</v>
      </c>
      <c r="AP38" s="1330" t="n">
        <v>9</v>
      </c>
      <c r="AQ38" s="1330" t="n">
        <v>9</v>
      </c>
      <c r="AR38" s="1330" t="n">
        <v>9</v>
      </c>
      <c r="AS38" s="1330" t="n">
        <v>9</v>
      </c>
      <c r="AT38" s="1330" t="n">
        <v>9</v>
      </c>
      <c r="AU38" s="1330" t="n">
        <v>9</v>
      </c>
      <c r="AV38" s="1330" t="n">
        <v>9</v>
      </c>
      <c r="AW38" s="1330" t="n">
        <v>9</v>
      </c>
      <c r="AX38" s="1330" t="s">
        <v>1632</v>
      </c>
      <c r="AZ38" s="898" t="s">
        <v>2278</v>
      </c>
      <c r="BB38" s="898" t="s">
        <v>2278</v>
      </c>
      <c r="BC38" s="1330" t="n">
        <v>9</v>
      </c>
      <c r="BD38" s="1330" t="s">
        <v>2272</v>
      </c>
      <c r="BE38" s="1330" t="s">
        <v>2272</v>
      </c>
      <c r="BF38" s="1330" t="s">
        <v>2282</v>
      </c>
      <c r="BG38" s="1330" t="n">
        <v>9</v>
      </c>
      <c r="BH38" s="1330" t="s">
        <v>2272</v>
      </c>
      <c r="BI38" s="1330" t="s">
        <v>2283</v>
      </c>
      <c r="BJ38" s="1330" t="s">
        <v>1632</v>
      </c>
      <c r="BL38" s="898" t="s">
        <v>2278</v>
      </c>
    </row>
    <row r="39" customFormat="false" ht="11.85" hidden="false" customHeight="true" outlineLevel="0" collapsed="false">
      <c r="A39" s="389"/>
      <c r="B39" s="669" t="s">
        <v>2284</v>
      </c>
      <c r="C39" s="1323" t="s">
        <v>1632</v>
      </c>
      <c r="D39" s="1323" t="s">
        <v>1632</v>
      </c>
      <c r="E39" s="1323" t="s">
        <v>1632</v>
      </c>
      <c r="F39" s="1323" t="s">
        <v>1632</v>
      </c>
      <c r="G39" s="1323" t="s">
        <v>1632</v>
      </c>
      <c r="H39" s="1323" t="s">
        <v>1632</v>
      </c>
      <c r="I39" s="1323" t="s">
        <v>1632</v>
      </c>
      <c r="J39" s="1325" t="s">
        <v>1632</v>
      </c>
      <c r="K39" s="1323" t="n">
        <v>9</v>
      </c>
      <c r="L39" s="1323" t="n">
        <v>9</v>
      </c>
      <c r="M39" s="1325" t="n">
        <v>9</v>
      </c>
      <c r="N39" s="1346" t="n">
        <v>9</v>
      </c>
      <c r="O39" s="1323" t="s">
        <v>1632</v>
      </c>
      <c r="P39" s="1323" t="n">
        <v>9</v>
      </c>
      <c r="Q39" s="1326" t="s">
        <v>1632</v>
      </c>
      <c r="R39" s="389"/>
      <c r="S39" s="669" t="s">
        <v>2284</v>
      </c>
      <c r="T39" s="389"/>
      <c r="U39" s="669" t="s">
        <v>2284</v>
      </c>
      <c r="V39" s="1325" t="s">
        <v>1632</v>
      </c>
      <c r="W39" s="1325" t="s">
        <v>1632</v>
      </c>
      <c r="X39" s="1325" t="s">
        <v>1632</v>
      </c>
      <c r="Y39" s="1325" t="n">
        <v>9</v>
      </c>
      <c r="Z39" s="1325" t="s">
        <v>1632</v>
      </c>
      <c r="AA39" s="1325" t="n">
        <v>9</v>
      </c>
      <c r="AB39" s="1325" t="s">
        <v>1632</v>
      </c>
      <c r="AC39" s="1324" t="s">
        <v>1632</v>
      </c>
      <c r="AD39" s="1324" t="s">
        <v>1632</v>
      </c>
      <c r="AE39" s="1324" t="s">
        <v>1632</v>
      </c>
      <c r="AF39" s="1324" t="s">
        <v>1632</v>
      </c>
      <c r="AG39" s="1325" t="n">
        <v>9</v>
      </c>
      <c r="AH39" s="389"/>
      <c r="AI39" s="669" t="s">
        <v>2284</v>
      </c>
      <c r="AJ39" s="389"/>
      <c r="AK39" s="669" t="s">
        <v>2284</v>
      </c>
      <c r="AL39" s="1323" t="s">
        <v>1632</v>
      </c>
      <c r="AM39" s="1323" t="s">
        <v>1632</v>
      </c>
      <c r="AN39" s="1326" t="s">
        <v>1632</v>
      </c>
      <c r="AO39" s="1325" t="s">
        <v>1632</v>
      </c>
      <c r="AP39" s="1323" t="s">
        <v>1632</v>
      </c>
      <c r="AQ39" s="1323" t="s">
        <v>1632</v>
      </c>
      <c r="AR39" s="1323" t="s">
        <v>1632</v>
      </c>
      <c r="AS39" s="1323" t="n">
        <v>9</v>
      </c>
      <c r="AT39" s="1323" t="s">
        <v>1632</v>
      </c>
      <c r="AU39" s="1323" t="s">
        <v>1632</v>
      </c>
      <c r="AV39" s="1323" t="s">
        <v>1632</v>
      </c>
      <c r="AW39" s="1323" t="s">
        <v>1632</v>
      </c>
      <c r="AX39" s="1323" t="s">
        <v>1632</v>
      </c>
      <c r="AY39" s="389"/>
      <c r="AZ39" s="669" t="s">
        <v>2284</v>
      </c>
      <c r="BA39" s="389"/>
      <c r="BB39" s="669" t="s">
        <v>2284</v>
      </c>
      <c r="BC39" s="1323" t="s">
        <v>1632</v>
      </c>
      <c r="BD39" s="1323" t="s">
        <v>2272</v>
      </c>
      <c r="BE39" s="1323" t="s">
        <v>1632</v>
      </c>
      <c r="BF39" s="1326" t="s">
        <v>1632</v>
      </c>
      <c r="BG39" s="1323" t="s">
        <v>1632</v>
      </c>
      <c r="BH39" s="1323" t="s">
        <v>2272</v>
      </c>
      <c r="BI39" s="1323" t="s">
        <v>1632</v>
      </c>
      <c r="BJ39" s="1323" t="s">
        <v>1632</v>
      </c>
      <c r="BK39" s="389"/>
      <c r="BL39" s="669" t="s">
        <v>2284</v>
      </c>
    </row>
    <row r="40" customFormat="false" ht="11.85" hidden="false" customHeight="true" outlineLevel="0" collapsed="false">
      <c r="A40" s="1321" t="s">
        <v>2297</v>
      </c>
      <c r="B40" s="1321"/>
      <c r="C40" s="1330"/>
      <c r="D40" s="1330"/>
      <c r="E40" s="1330"/>
      <c r="F40" s="1330"/>
      <c r="G40" s="1330"/>
      <c r="H40" s="1341"/>
      <c r="I40" s="1330"/>
      <c r="J40" s="1329"/>
      <c r="K40" s="1330"/>
      <c r="L40" s="1330"/>
      <c r="M40" s="1330"/>
      <c r="N40" s="1330"/>
      <c r="O40" s="1330"/>
      <c r="P40" s="1336"/>
      <c r="Q40" s="1336"/>
      <c r="R40" s="1321" t="s">
        <v>2297</v>
      </c>
      <c r="S40" s="1321"/>
      <c r="T40" s="1321" t="s">
        <v>2297</v>
      </c>
      <c r="U40" s="1321"/>
      <c r="V40" s="1329"/>
      <c r="W40" s="1329"/>
      <c r="X40" s="1329"/>
      <c r="Y40" s="1329"/>
      <c r="Z40" s="1329"/>
      <c r="AA40" s="1343"/>
      <c r="AB40" s="1343"/>
      <c r="AC40" s="1343"/>
      <c r="AD40" s="1343"/>
      <c r="AE40" s="1343"/>
      <c r="AF40" s="1343"/>
      <c r="AG40" s="1343"/>
      <c r="AH40" s="1321" t="s">
        <v>2297</v>
      </c>
      <c r="AI40" s="1321"/>
      <c r="AJ40" s="1321" t="s">
        <v>2297</v>
      </c>
      <c r="AK40" s="1321"/>
      <c r="AL40" s="1330"/>
      <c r="AM40" s="1330"/>
      <c r="AN40" s="1336"/>
      <c r="AO40" s="1330"/>
      <c r="AP40" s="1330"/>
      <c r="AQ40" s="1330"/>
      <c r="AR40" s="1330"/>
      <c r="AS40" s="1330"/>
      <c r="AT40" s="1330"/>
      <c r="AU40" s="1330"/>
      <c r="AV40" s="1330"/>
      <c r="AW40" s="1330"/>
      <c r="AX40" s="1330"/>
      <c r="AY40" s="1321" t="s">
        <v>2297</v>
      </c>
      <c r="AZ40" s="1321"/>
      <c r="BA40" s="1321" t="s">
        <v>2297</v>
      </c>
      <c r="BB40" s="1321"/>
      <c r="BC40" s="1330"/>
      <c r="BD40" s="1330"/>
      <c r="BE40" s="1330"/>
      <c r="BF40" s="1336" t="s">
        <v>565</v>
      </c>
      <c r="BG40" s="1330"/>
      <c r="BH40" s="1330"/>
      <c r="BI40" s="1330"/>
      <c r="BJ40" s="1330"/>
      <c r="BK40" s="1321" t="s">
        <v>2297</v>
      </c>
      <c r="BL40" s="1321"/>
    </row>
    <row r="41" customFormat="false" ht="11.85" hidden="false" customHeight="true" outlineLevel="0" collapsed="false">
      <c r="A41" s="389"/>
      <c r="B41" s="669" t="s">
        <v>2278</v>
      </c>
      <c r="C41" s="1346" t="s">
        <v>2280</v>
      </c>
      <c r="D41" s="1346" t="s">
        <v>2280</v>
      </c>
      <c r="E41" s="1325" t="s">
        <v>2280</v>
      </c>
      <c r="F41" s="1325" t="s">
        <v>2279</v>
      </c>
      <c r="G41" s="1323" t="n">
        <v>9</v>
      </c>
      <c r="H41" s="1325" t="s">
        <v>2280</v>
      </c>
      <c r="I41" s="1323" t="s">
        <v>1632</v>
      </c>
      <c r="J41" s="1325" t="s">
        <v>1632</v>
      </c>
      <c r="K41" s="1323" t="n">
        <v>9</v>
      </c>
      <c r="L41" s="1323" t="n">
        <v>9</v>
      </c>
      <c r="M41" s="1325" t="n">
        <v>9</v>
      </c>
      <c r="N41" s="1325" t="n">
        <v>9</v>
      </c>
      <c r="O41" s="1323" t="n">
        <v>9</v>
      </c>
      <c r="P41" s="1346" t="n">
        <v>9</v>
      </c>
      <c r="Q41" s="1325" t="n">
        <v>9</v>
      </c>
      <c r="R41" s="389"/>
      <c r="S41" s="669" t="s">
        <v>2278</v>
      </c>
      <c r="T41" s="389"/>
      <c r="U41" s="669" t="s">
        <v>2278</v>
      </c>
      <c r="V41" s="1325" t="n">
        <v>9</v>
      </c>
      <c r="W41" s="1325" t="n">
        <v>9</v>
      </c>
      <c r="X41" s="1325" t="n">
        <v>9</v>
      </c>
      <c r="Y41" s="1325" t="n">
        <v>9</v>
      </c>
      <c r="Z41" s="1325" t="s">
        <v>2280</v>
      </c>
      <c r="AA41" s="1325" t="n">
        <v>9</v>
      </c>
      <c r="AB41" s="1325" t="n">
        <v>9</v>
      </c>
      <c r="AC41" s="1325" t="n">
        <v>9</v>
      </c>
      <c r="AD41" s="1325" t="s">
        <v>2280</v>
      </c>
      <c r="AE41" s="1325" t="s">
        <v>2282</v>
      </c>
      <c r="AF41" s="1325" t="n">
        <v>9</v>
      </c>
      <c r="AG41" s="1325" t="n">
        <v>9</v>
      </c>
      <c r="AH41" s="389"/>
      <c r="AI41" s="669" t="s">
        <v>2278</v>
      </c>
      <c r="AJ41" s="389"/>
      <c r="AK41" s="669" t="s">
        <v>2278</v>
      </c>
      <c r="AL41" s="1323" t="n">
        <v>9</v>
      </c>
      <c r="AM41" s="1323" t="n">
        <v>9</v>
      </c>
      <c r="AN41" s="1323" t="n">
        <v>9</v>
      </c>
      <c r="AO41" s="1323" t="n">
        <v>9</v>
      </c>
      <c r="AP41" s="1323" t="n">
        <v>9</v>
      </c>
      <c r="AQ41" s="1323" t="n">
        <v>9</v>
      </c>
      <c r="AR41" s="1323" t="n">
        <v>9</v>
      </c>
      <c r="AS41" s="1323" t="n">
        <v>9</v>
      </c>
      <c r="AT41" s="1323" t="n">
        <v>9</v>
      </c>
      <c r="AU41" s="1323" t="n">
        <v>9</v>
      </c>
      <c r="AV41" s="1323" t="n">
        <v>9</v>
      </c>
      <c r="AW41" s="1323" t="n">
        <v>9</v>
      </c>
      <c r="AX41" s="1323" t="s">
        <v>2298</v>
      </c>
      <c r="AY41" s="389"/>
      <c r="AZ41" s="669" t="s">
        <v>2278</v>
      </c>
      <c r="BA41" s="389"/>
      <c r="BB41" s="669" t="s">
        <v>2278</v>
      </c>
      <c r="BC41" s="1323" t="n">
        <v>9</v>
      </c>
      <c r="BD41" s="1323" t="s">
        <v>2272</v>
      </c>
      <c r="BE41" s="1323" t="s">
        <v>2272</v>
      </c>
      <c r="BF41" s="1338" t="s">
        <v>1632</v>
      </c>
      <c r="BG41" s="1323" t="n">
        <v>9</v>
      </c>
      <c r="BH41" s="1323" t="s">
        <v>1632</v>
      </c>
      <c r="BI41" s="1323" t="s">
        <v>2299</v>
      </c>
      <c r="BJ41" s="1323" t="n">
        <v>9</v>
      </c>
      <c r="BK41" s="389"/>
      <c r="BL41" s="669" t="s">
        <v>2278</v>
      </c>
    </row>
    <row r="42" customFormat="false" ht="11.85" hidden="false" customHeight="true" outlineLevel="0" collapsed="false">
      <c r="B42" s="898" t="s">
        <v>2284</v>
      </c>
      <c r="C42" s="1058" t="s">
        <v>1632</v>
      </c>
      <c r="D42" s="1354" t="s">
        <v>2280</v>
      </c>
      <c r="E42" s="1330" t="s">
        <v>1632</v>
      </c>
      <c r="F42" s="1330" t="s">
        <v>1632</v>
      </c>
      <c r="G42" s="1330" t="n">
        <v>9</v>
      </c>
      <c r="H42" s="1341" t="s">
        <v>1632</v>
      </c>
      <c r="I42" s="1330" t="s">
        <v>1632</v>
      </c>
      <c r="J42" s="1329" t="s">
        <v>1632</v>
      </c>
      <c r="K42" s="1330" t="n">
        <v>9</v>
      </c>
      <c r="L42" s="1330" t="s">
        <v>1632</v>
      </c>
      <c r="M42" s="1330" t="s">
        <v>1632</v>
      </c>
      <c r="N42" s="1330" t="n">
        <v>9</v>
      </c>
      <c r="O42" s="1336" t="s">
        <v>1632</v>
      </c>
      <c r="P42" s="1330" t="s">
        <v>1632</v>
      </c>
      <c r="Q42" s="1330" t="s">
        <v>1632</v>
      </c>
      <c r="S42" s="898" t="s">
        <v>2284</v>
      </c>
      <c r="U42" s="898" t="s">
        <v>2284</v>
      </c>
      <c r="V42" s="1329" t="s">
        <v>1632</v>
      </c>
      <c r="W42" s="1329" t="s">
        <v>1632</v>
      </c>
      <c r="X42" s="1329" t="s">
        <v>1632</v>
      </c>
      <c r="Y42" s="1329" t="s">
        <v>1632</v>
      </c>
      <c r="Z42" s="1329" t="s">
        <v>1632</v>
      </c>
      <c r="AA42" s="1329" t="n">
        <v>9</v>
      </c>
      <c r="AB42" s="1329" t="s">
        <v>1632</v>
      </c>
      <c r="AC42" s="1329" t="s">
        <v>1632</v>
      </c>
      <c r="AD42" s="1329" t="s">
        <v>1632</v>
      </c>
      <c r="AE42" s="1329" t="s">
        <v>1632</v>
      </c>
      <c r="AF42" s="1329" t="s">
        <v>1632</v>
      </c>
      <c r="AG42" s="1329" t="n">
        <v>9</v>
      </c>
      <c r="AI42" s="898" t="s">
        <v>2284</v>
      </c>
      <c r="AK42" s="898" t="s">
        <v>2284</v>
      </c>
      <c r="AL42" s="1330" t="s">
        <v>1632</v>
      </c>
      <c r="AM42" s="1330" t="n">
        <v>9</v>
      </c>
      <c r="AN42" s="1330" t="n">
        <v>9</v>
      </c>
      <c r="AO42" s="1329" t="s">
        <v>1632</v>
      </c>
      <c r="AP42" s="1330" t="s">
        <v>1632</v>
      </c>
      <c r="AQ42" s="1330" t="s">
        <v>1632</v>
      </c>
      <c r="AR42" s="1330" t="s">
        <v>1632</v>
      </c>
      <c r="AS42" s="1330" t="s">
        <v>1632</v>
      </c>
      <c r="AT42" s="1330" t="s">
        <v>1632</v>
      </c>
      <c r="AU42" s="1330" t="s">
        <v>1632</v>
      </c>
      <c r="AV42" s="1330" t="s">
        <v>1632</v>
      </c>
      <c r="AW42" s="1330" t="s">
        <v>1632</v>
      </c>
      <c r="AX42" s="1330" t="s">
        <v>1632</v>
      </c>
      <c r="AZ42" s="898" t="s">
        <v>2284</v>
      </c>
      <c r="BB42" s="898" t="s">
        <v>2284</v>
      </c>
      <c r="BC42" s="1330" t="s">
        <v>1632</v>
      </c>
      <c r="BD42" s="1341" t="s">
        <v>1632</v>
      </c>
      <c r="BE42" s="1330" t="s">
        <v>1632</v>
      </c>
      <c r="BF42" s="1336" t="s">
        <v>1632</v>
      </c>
      <c r="BG42" s="1330" t="s">
        <v>1632</v>
      </c>
      <c r="BH42" s="1330" t="s">
        <v>1632</v>
      </c>
      <c r="BI42" s="1330" t="s">
        <v>1632</v>
      </c>
      <c r="BJ42" s="1330" t="s">
        <v>1632</v>
      </c>
      <c r="BL42" s="898" t="s">
        <v>2284</v>
      </c>
    </row>
    <row r="43" customFormat="false" ht="11.85" hidden="false" customHeight="true" outlineLevel="0" collapsed="false">
      <c r="A43" s="667" t="s">
        <v>2300</v>
      </c>
      <c r="B43" s="667"/>
      <c r="C43" s="1323"/>
      <c r="D43" s="1323"/>
      <c r="E43" s="1323"/>
      <c r="F43" s="1323"/>
      <c r="G43" s="1323"/>
      <c r="H43" s="1323"/>
      <c r="I43" s="1323"/>
      <c r="J43" s="1325"/>
      <c r="K43" s="1323"/>
      <c r="L43" s="1323"/>
      <c r="M43" s="1323"/>
      <c r="N43" s="1323"/>
      <c r="O43" s="1326"/>
      <c r="P43" s="1323"/>
      <c r="Q43" s="1326"/>
      <c r="R43" s="667" t="s">
        <v>2300</v>
      </c>
      <c r="S43" s="667"/>
      <c r="T43" s="667" t="s">
        <v>2300</v>
      </c>
      <c r="U43" s="667"/>
      <c r="V43" s="1325"/>
      <c r="W43" s="1325"/>
      <c r="X43" s="1325"/>
      <c r="Y43" s="1325"/>
      <c r="Z43" s="1325"/>
      <c r="AA43" s="1325"/>
      <c r="AB43" s="1325"/>
      <c r="AC43" s="1325"/>
      <c r="AD43" s="1325"/>
      <c r="AE43" s="1325"/>
      <c r="AF43" s="1325"/>
      <c r="AG43" s="1325"/>
      <c r="AH43" s="667" t="s">
        <v>2300</v>
      </c>
      <c r="AI43" s="667"/>
      <c r="AJ43" s="667" t="s">
        <v>2300</v>
      </c>
      <c r="AK43" s="667"/>
      <c r="AL43" s="1323"/>
      <c r="AM43" s="1323"/>
      <c r="AN43" s="1326"/>
      <c r="AO43" s="1326"/>
      <c r="AP43" s="1323"/>
      <c r="AQ43" s="1323"/>
      <c r="AR43" s="1323"/>
      <c r="AS43" s="1323"/>
      <c r="AT43" s="1323"/>
      <c r="AU43" s="1323"/>
      <c r="AV43" s="1323"/>
      <c r="AW43" s="1323"/>
      <c r="AX43" s="1323"/>
      <c r="AY43" s="667" t="s">
        <v>2300</v>
      </c>
      <c r="AZ43" s="667"/>
      <c r="BA43" s="667" t="s">
        <v>2300</v>
      </c>
      <c r="BB43" s="667"/>
      <c r="BC43" s="1323"/>
      <c r="BD43" s="1323"/>
      <c r="BE43" s="1323"/>
      <c r="BF43" s="1326"/>
      <c r="BG43" s="1323"/>
      <c r="BH43" s="1323"/>
      <c r="BI43" s="1323"/>
      <c r="BJ43" s="1323"/>
      <c r="BK43" s="667" t="s">
        <v>2300</v>
      </c>
      <c r="BL43" s="667"/>
    </row>
    <row r="44" s="735" customFormat="true" ht="11.85" hidden="false" customHeight="true" outlineLevel="0" collapsed="false">
      <c r="A44" s="107"/>
      <c r="B44" s="898" t="s">
        <v>2278</v>
      </c>
      <c r="C44" s="1330" t="s">
        <v>2301</v>
      </c>
      <c r="D44" s="1330" t="n">
        <v>9</v>
      </c>
      <c r="E44" s="1329" t="s">
        <v>2280</v>
      </c>
      <c r="F44" s="1330" t="n">
        <v>9</v>
      </c>
      <c r="G44" s="1329" t="n">
        <v>9</v>
      </c>
      <c r="H44" s="1330" t="s">
        <v>1632</v>
      </c>
      <c r="I44" s="1330" t="s">
        <v>2280</v>
      </c>
      <c r="J44" s="1329" t="n">
        <v>9</v>
      </c>
      <c r="K44" s="1330" t="n">
        <v>9</v>
      </c>
      <c r="L44" s="1330" t="n">
        <v>9</v>
      </c>
      <c r="M44" s="1329" t="n">
        <v>9</v>
      </c>
      <c r="N44" s="1058" t="n">
        <v>9</v>
      </c>
      <c r="O44" s="1330" t="n">
        <v>9</v>
      </c>
      <c r="P44" s="1329" t="n">
        <v>9</v>
      </c>
      <c r="Q44" s="1058" t="n">
        <v>9</v>
      </c>
      <c r="R44" s="107"/>
      <c r="S44" s="898" t="s">
        <v>2278</v>
      </c>
      <c r="T44" s="107"/>
      <c r="U44" s="898" t="s">
        <v>2278</v>
      </c>
      <c r="V44" s="1329" t="n">
        <v>9</v>
      </c>
      <c r="W44" s="1329" t="n">
        <v>9</v>
      </c>
      <c r="X44" s="1329" t="n">
        <v>9</v>
      </c>
      <c r="Y44" s="1329" t="n">
        <v>9</v>
      </c>
      <c r="Z44" s="1329" t="n">
        <v>9</v>
      </c>
      <c r="AA44" s="1329" t="n">
        <v>9</v>
      </c>
      <c r="AB44" s="1329" t="n">
        <v>9</v>
      </c>
      <c r="AC44" s="1329" t="n">
        <v>9</v>
      </c>
      <c r="AD44" s="1329" t="s">
        <v>2280</v>
      </c>
      <c r="AE44" s="1329" t="s">
        <v>2282</v>
      </c>
      <c r="AF44" s="1329" t="n">
        <v>9</v>
      </c>
      <c r="AG44" s="1329" t="n">
        <v>9</v>
      </c>
      <c r="AH44" s="107"/>
      <c r="AI44" s="898" t="s">
        <v>2278</v>
      </c>
      <c r="AJ44" s="107"/>
      <c r="AK44" s="898" t="s">
        <v>2278</v>
      </c>
      <c r="AL44" s="1330" t="n">
        <v>9</v>
      </c>
      <c r="AM44" s="1330" t="n">
        <v>9</v>
      </c>
      <c r="AN44" s="1330" t="n">
        <v>9</v>
      </c>
      <c r="AO44" s="1329" t="n">
        <v>9</v>
      </c>
      <c r="AP44" s="1330" t="n">
        <v>9</v>
      </c>
      <c r="AQ44" s="1330" t="n">
        <v>9</v>
      </c>
      <c r="AR44" s="1330" t="n">
        <v>9</v>
      </c>
      <c r="AS44" s="1330" t="n">
        <v>9</v>
      </c>
      <c r="AT44" s="1330" t="n">
        <v>9</v>
      </c>
      <c r="AU44" s="1330" t="n">
        <v>9</v>
      </c>
      <c r="AV44" s="1330" t="n">
        <v>9</v>
      </c>
      <c r="AW44" s="1330" t="n">
        <v>9</v>
      </c>
      <c r="AX44" s="1330" t="n">
        <v>9</v>
      </c>
      <c r="AY44" s="107"/>
      <c r="AZ44" s="898" t="s">
        <v>2278</v>
      </c>
      <c r="BA44" s="107"/>
      <c r="BB44" s="898" t="s">
        <v>2278</v>
      </c>
      <c r="BC44" s="1330" t="n">
        <v>9</v>
      </c>
      <c r="BD44" s="1330" t="s">
        <v>2272</v>
      </c>
      <c r="BE44" s="1330" t="s">
        <v>2272</v>
      </c>
      <c r="BF44" s="1330" t="s">
        <v>1632</v>
      </c>
      <c r="BG44" s="1330" t="s">
        <v>1632</v>
      </c>
      <c r="BH44" s="1330" t="s">
        <v>1632</v>
      </c>
      <c r="BI44" s="1330" t="s">
        <v>2299</v>
      </c>
      <c r="BJ44" s="1330" t="n">
        <v>9</v>
      </c>
      <c r="BK44" s="107"/>
      <c r="BL44" s="898" t="s">
        <v>2278</v>
      </c>
    </row>
    <row r="45" customFormat="false" ht="11.85" hidden="false" customHeight="true" outlineLevel="0" collapsed="false">
      <c r="A45" s="389"/>
      <c r="B45" s="669" t="s">
        <v>2284</v>
      </c>
      <c r="C45" s="1323" t="s">
        <v>1632</v>
      </c>
      <c r="D45" s="1323" t="s">
        <v>1632</v>
      </c>
      <c r="E45" s="1323" t="s">
        <v>1632</v>
      </c>
      <c r="F45" s="1323" t="s">
        <v>1632</v>
      </c>
      <c r="G45" s="1323" t="s">
        <v>1632</v>
      </c>
      <c r="H45" s="1325" t="n">
        <v>9</v>
      </c>
      <c r="I45" s="1323" t="s">
        <v>1632</v>
      </c>
      <c r="J45" s="1323" t="s">
        <v>1632</v>
      </c>
      <c r="K45" s="1323" t="n">
        <v>9</v>
      </c>
      <c r="L45" s="1323" t="n">
        <v>9</v>
      </c>
      <c r="M45" s="1323" t="s">
        <v>1632</v>
      </c>
      <c r="N45" s="1346" t="n">
        <v>9</v>
      </c>
      <c r="O45" s="1326" t="s">
        <v>1632</v>
      </c>
      <c r="P45" s="1326" t="s">
        <v>1632</v>
      </c>
      <c r="Q45" s="1326" t="s">
        <v>1632</v>
      </c>
      <c r="R45" s="389"/>
      <c r="S45" s="669" t="s">
        <v>2284</v>
      </c>
      <c r="T45" s="389"/>
      <c r="U45" s="669" t="s">
        <v>2284</v>
      </c>
      <c r="V45" s="1325" t="s">
        <v>1632</v>
      </c>
      <c r="W45" s="1325" t="s">
        <v>1632</v>
      </c>
      <c r="X45" s="1325" t="s">
        <v>1632</v>
      </c>
      <c r="Y45" s="1325" t="s">
        <v>1632</v>
      </c>
      <c r="Z45" s="1325" t="s">
        <v>1632</v>
      </c>
      <c r="AA45" s="1325" t="n">
        <v>9</v>
      </c>
      <c r="AB45" s="1325" t="s">
        <v>1632</v>
      </c>
      <c r="AC45" s="1325" t="s">
        <v>1632</v>
      </c>
      <c r="AD45" s="1325" t="s">
        <v>1632</v>
      </c>
      <c r="AE45" s="1325" t="s">
        <v>1632</v>
      </c>
      <c r="AF45" s="1325" t="s">
        <v>1632</v>
      </c>
      <c r="AG45" s="1325" t="n">
        <v>9</v>
      </c>
      <c r="AH45" s="389"/>
      <c r="AI45" s="669" t="s">
        <v>2284</v>
      </c>
      <c r="AJ45" s="389"/>
      <c r="AK45" s="669" t="s">
        <v>2284</v>
      </c>
      <c r="AL45" s="1323" t="s">
        <v>1632</v>
      </c>
      <c r="AM45" s="1323" t="s">
        <v>1632</v>
      </c>
      <c r="AN45" s="1323" t="s">
        <v>1632</v>
      </c>
      <c r="AO45" s="1325" t="s">
        <v>1632</v>
      </c>
      <c r="AP45" s="1323" t="s">
        <v>1632</v>
      </c>
      <c r="AQ45" s="1323" t="s">
        <v>1632</v>
      </c>
      <c r="AR45" s="1323" t="s">
        <v>1632</v>
      </c>
      <c r="AS45" s="1323" t="s">
        <v>1632</v>
      </c>
      <c r="AT45" s="1323" t="s">
        <v>1632</v>
      </c>
      <c r="AU45" s="1323" t="s">
        <v>1632</v>
      </c>
      <c r="AV45" s="1323" t="s">
        <v>1632</v>
      </c>
      <c r="AW45" s="1323" t="s">
        <v>1632</v>
      </c>
      <c r="AX45" s="1323" t="s">
        <v>1632</v>
      </c>
      <c r="AY45" s="389"/>
      <c r="AZ45" s="669" t="s">
        <v>2284</v>
      </c>
      <c r="BA45" s="389"/>
      <c r="BB45" s="669" t="s">
        <v>2284</v>
      </c>
      <c r="BC45" s="1323" t="s">
        <v>1632</v>
      </c>
      <c r="BD45" s="1323" t="s">
        <v>2272</v>
      </c>
      <c r="BE45" s="1323" t="s">
        <v>1632</v>
      </c>
      <c r="BF45" s="1326" t="s">
        <v>1632</v>
      </c>
      <c r="BG45" s="1323" t="s">
        <v>1632</v>
      </c>
      <c r="BH45" s="1323" t="s">
        <v>1632</v>
      </c>
      <c r="BI45" s="1323" t="s">
        <v>1632</v>
      </c>
      <c r="BJ45" s="1323" t="s">
        <v>1632</v>
      </c>
      <c r="BK45" s="389"/>
      <c r="BL45" s="669" t="s">
        <v>2284</v>
      </c>
    </row>
    <row r="46" customFormat="false" ht="11.85" hidden="false" customHeight="true" outlineLevel="0" collapsed="false">
      <c r="A46" s="1321" t="s">
        <v>2302</v>
      </c>
      <c r="B46" s="1321"/>
      <c r="N46" s="1330"/>
      <c r="O46" s="1336"/>
      <c r="P46" s="1336"/>
      <c r="Q46" s="1336"/>
      <c r="R46" s="1321" t="s">
        <v>2302</v>
      </c>
      <c r="S46" s="1321"/>
      <c r="T46" s="1321" t="s">
        <v>2302</v>
      </c>
      <c r="U46" s="1321"/>
      <c r="V46" s="1329"/>
      <c r="W46" s="1329"/>
      <c r="X46" s="1329"/>
      <c r="Y46" s="1329"/>
      <c r="Z46" s="1329"/>
      <c r="AA46" s="1329"/>
      <c r="AB46" s="1329"/>
      <c r="AC46" s="1329"/>
      <c r="AD46" s="1329"/>
      <c r="AE46" s="1329"/>
      <c r="AF46" s="1329"/>
      <c r="AG46" s="1329"/>
      <c r="AH46" s="1321" t="s">
        <v>2302</v>
      </c>
      <c r="AI46" s="1321"/>
      <c r="AJ46" s="1321" t="s">
        <v>2302</v>
      </c>
      <c r="AK46" s="1321"/>
      <c r="AL46" s="1330"/>
      <c r="AM46" s="1330"/>
      <c r="AN46" s="1330"/>
      <c r="AO46" s="1330"/>
      <c r="AP46" s="1330"/>
      <c r="AQ46" s="1330"/>
      <c r="AR46" s="1330"/>
      <c r="AS46" s="1330"/>
      <c r="AT46" s="1330"/>
      <c r="AU46" s="1330"/>
      <c r="AV46" s="1330"/>
      <c r="AW46" s="1330"/>
      <c r="AX46" s="1330"/>
      <c r="AY46" s="1321" t="s">
        <v>2302</v>
      </c>
      <c r="AZ46" s="1321"/>
      <c r="BA46" s="1321" t="s">
        <v>2302</v>
      </c>
      <c r="BB46" s="1321"/>
      <c r="BC46" s="1330"/>
      <c r="BD46" s="1330"/>
      <c r="BE46" s="1330"/>
      <c r="BF46" s="1336"/>
      <c r="BG46" s="1330"/>
      <c r="BH46" s="1330"/>
      <c r="BI46" s="1330"/>
      <c r="BJ46" s="1330"/>
      <c r="BK46" s="1321" t="s">
        <v>2302</v>
      </c>
      <c r="BL46" s="1321"/>
    </row>
    <row r="47" s="221" customFormat="true" ht="11.85" hidden="false" customHeight="true" outlineLevel="0" collapsed="false">
      <c r="A47" s="215"/>
      <c r="B47" s="669" t="s">
        <v>2278</v>
      </c>
      <c r="C47" s="1325" t="s">
        <v>1632</v>
      </c>
      <c r="D47" s="1346" t="s">
        <v>2303</v>
      </c>
      <c r="E47" s="1346" t="s">
        <v>2304</v>
      </c>
      <c r="F47" s="1325" t="s">
        <v>2304</v>
      </c>
      <c r="G47" s="1325" t="n">
        <v>9</v>
      </c>
      <c r="H47" s="1325" t="s">
        <v>2305</v>
      </c>
      <c r="I47" s="1323" t="s">
        <v>1632</v>
      </c>
      <c r="J47" s="1325" t="s">
        <v>2280</v>
      </c>
      <c r="K47" s="1323" t="n">
        <v>9</v>
      </c>
      <c r="L47" s="1126" t="n">
        <v>9</v>
      </c>
      <c r="M47" s="1126" t="n">
        <v>9</v>
      </c>
      <c r="N47" s="1346" t="n">
        <v>9</v>
      </c>
      <c r="O47" s="1323" t="n">
        <v>9</v>
      </c>
      <c r="P47" s="1325" t="n">
        <v>9</v>
      </c>
      <c r="Q47" s="1323" t="n">
        <v>9</v>
      </c>
      <c r="R47" s="215"/>
      <c r="S47" s="669" t="s">
        <v>2278</v>
      </c>
      <c r="T47" s="215"/>
      <c r="U47" s="669" t="s">
        <v>2278</v>
      </c>
      <c r="V47" s="1325" t="n">
        <v>9</v>
      </c>
      <c r="W47" s="1325" t="n">
        <v>9</v>
      </c>
      <c r="X47" s="1325" t="n">
        <v>9</v>
      </c>
      <c r="Y47" s="1325" t="n">
        <v>9</v>
      </c>
      <c r="Z47" s="1324" t="s">
        <v>2306</v>
      </c>
      <c r="AA47" s="1325" t="s">
        <v>2307</v>
      </c>
      <c r="AB47" s="1325" t="n">
        <v>9</v>
      </c>
      <c r="AC47" s="1325" t="s">
        <v>2280</v>
      </c>
      <c r="AD47" s="1325" t="s">
        <v>1632</v>
      </c>
      <c r="AE47" s="1325" t="s">
        <v>2282</v>
      </c>
      <c r="AF47" s="1325" t="n">
        <v>9</v>
      </c>
      <c r="AG47" s="1325" t="n">
        <v>9</v>
      </c>
      <c r="AH47" s="215"/>
      <c r="AI47" s="669" t="s">
        <v>2278</v>
      </c>
      <c r="AJ47" s="215"/>
      <c r="AK47" s="669" t="s">
        <v>2278</v>
      </c>
      <c r="AL47" s="1323" t="n">
        <v>9</v>
      </c>
      <c r="AM47" s="1323" t="n">
        <v>9</v>
      </c>
      <c r="AN47" s="1323" t="s">
        <v>2298</v>
      </c>
      <c r="AO47" s="1323" t="s">
        <v>2272</v>
      </c>
      <c r="AP47" s="1323" t="s">
        <v>2308</v>
      </c>
      <c r="AQ47" s="1323" t="n">
        <v>9</v>
      </c>
      <c r="AR47" s="1323" t="n">
        <v>9</v>
      </c>
      <c r="AS47" s="1323" t="s">
        <v>2280</v>
      </c>
      <c r="AT47" s="1323" t="n">
        <v>9</v>
      </c>
      <c r="AU47" s="1323" t="n">
        <v>9</v>
      </c>
      <c r="AV47" s="1323" t="n">
        <v>9</v>
      </c>
      <c r="AW47" s="1323" t="n">
        <v>9</v>
      </c>
      <c r="AX47" s="1323" t="s">
        <v>2298</v>
      </c>
      <c r="AY47" s="215"/>
      <c r="AZ47" s="669" t="s">
        <v>2278</v>
      </c>
      <c r="BA47" s="215"/>
      <c r="BB47" s="669" t="s">
        <v>2278</v>
      </c>
      <c r="BC47" s="1323" t="s">
        <v>1632</v>
      </c>
      <c r="BD47" s="1323" t="s">
        <v>2272</v>
      </c>
      <c r="BE47" s="1323" t="s">
        <v>2272</v>
      </c>
      <c r="BF47" s="1323" t="s">
        <v>2282</v>
      </c>
      <c r="BG47" s="1323" t="s">
        <v>2309</v>
      </c>
      <c r="BH47" s="1323" t="s">
        <v>1632</v>
      </c>
      <c r="BI47" s="1323" t="s">
        <v>1632</v>
      </c>
      <c r="BJ47" s="1323" t="n">
        <v>9</v>
      </c>
      <c r="BK47" s="215"/>
      <c r="BL47" s="669" t="s">
        <v>2278</v>
      </c>
    </row>
    <row r="48" s="363" customFormat="true" ht="11.85" hidden="false" customHeight="true" outlineLevel="0" collapsed="false">
      <c r="A48" s="485"/>
      <c r="B48" s="811" t="s">
        <v>2284</v>
      </c>
      <c r="C48" s="1355" t="s">
        <v>2280</v>
      </c>
      <c r="D48" s="1356" t="s">
        <v>1632</v>
      </c>
      <c r="E48" s="1357" t="s">
        <v>1632</v>
      </c>
      <c r="F48" s="860" t="s">
        <v>1632</v>
      </c>
      <c r="G48" s="1357" t="s">
        <v>1632</v>
      </c>
      <c r="H48" s="1357" t="s">
        <v>1632</v>
      </c>
      <c r="I48" s="1358" t="s">
        <v>2279</v>
      </c>
      <c r="J48" s="1357" t="s">
        <v>1632</v>
      </c>
      <c r="K48" s="1355" t="n">
        <v>9</v>
      </c>
      <c r="L48" s="1355" t="n">
        <v>9</v>
      </c>
      <c r="M48" s="1358" t="n">
        <v>9</v>
      </c>
      <c r="N48" s="1359" t="s">
        <v>1632</v>
      </c>
      <c r="O48" s="1360" t="s">
        <v>1632</v>
      </c>
      <c r="P48" s="1360" t="s">
        <v>1632</v>
      </c>
      <c r="Q48" s="1361" t="s">
        <v>1632</v>
      </c>
      <c r="R48" s="485"/>
      <c r="S48" s="811" t="s">
        <v>2284</v>
      </c>
      <c r="T48" s="485"/>
      <c r="U48" s="811" t="s">
        <v>2284</v>
      </c>
      <c r="V48" s="1358" t="s">
        <v>1632</v>
      </c>
      <c r="W48" s="1358" t="s">
        <v>1632</v>
      </c>
      <c r="X48" s="1362" t="s">
        <v>1632</v>
      </c>
      <c r="Y48" s="1358" t="s">
        <v>1632</v>
      </c>
      <c r="Z48" s="1362" t="s">
        <v>1632</v>
      </c>
      <c r="AA48" s="1362" t="s">
        <v>1632</v>
      </c>
      <c r="AB48" s="1362" t="s">
        <v>2281</v>
      </c>
      <c r="AC48" s="1362" t="s">
        <v>2310</v>
      </c>
      <c r="AD48" s="1362" t="s">
        <v>1632</v>
      </c>
      <c r="AE48" s="1362" t="s">
        <v>1632</v>
      </c>
      <c r="AF48" s="1362" t="s">
        <v>1632</v>
      </c>
      <c r="AG48" s="1358" t="n">
        <v>9</v>
      </c>
      <c r="AH48" s="485"/>
      <c r="AI48" s="811" t="s">
        <v>2284</v>
      </c>
      <c r="AJ48" s="485"/>
      <c r="AK48" s="811" t="s">
        <v>2284</v>
      </c>
      <c r="AL48" s="1355" t="s">
        <v>1632</v>
      </c>
      <c r="AM48" s="1355" t="s">
        <v>1632</v>
      </c>
      <c r="AN48" s="1360" t="s">
        <v>1632</v>
      </c>
      <c r="AO48" s="1360" t="s">
        <v>1632</v>
      </c>
      <c r="AP48" s="1360" t="s">
        <v>1632</v>
      </c>
      <c r="AQ48" s="1360" t="s">
        <v>1632</v>
      </c>
      <c r="AR48" s="1360" t="s">
        <v>1632</v>
      </c>
      <c r="AS48" s="1355" t="n">
        <v>9</v>
      </c>
      <c r="AT48" s="1360" t="s">
        <v>1632</v>
      </c>
      <c r="AU48" s="1360" t="s">
        <v>1632</v>
      </c>
      <c r="AV48" s="1355" t="s">
        <v>1632</v>
      </c>
      <c r="AW48" s="1355" t="n">
        <v>9</v>
      </c>
      <c r="AX48" s="1360" t="s">
        <v>1632</v>
      </c>
      <c r="AY48" s="485"/>
      <c r="AZ48" s="811" t="s">
        <v>2284</v>
      </c>
      <c r="BA48" s="485"/>
      <c r="BB48" s="811" t="s">
        <v>2284</v>
      </c>
      <c r="BC48" s="1355" t="s">
        <v>1632</v>
      </c>
      <c r="BD48" s="1355" t="s">
        <v>2272</v>
      </c>
      <c r="BE48" s="1355" t="s">
        <v>1632</v>
      </c>
      <c r="BF48" s="1360" t="s">
        <v>1632</v>
      </c>
      <c r="BG48" s="1360" t="s">
        <v>1632</v>
      </c>
      <c r="BH48" s="1355" t="s">
        <v>1632</v>
      </c>
      <c r="BI48" s="1355" t="s">
        <v>1632</v>
      </c>
      <c r="BJ48" s="1355" t="s">
        <v>1632</v>
      </c>
      <c r="BK48" s="485"/>
      <c r="BL48" s="811" t="s">
        <v>2284</v>
      </c>
    </row>
    <row r="49" customFormat="false" ht="10.5" hidden="false" customHeight="true" outlineLevel="0" collapsed="false">
      <c r="A49" s="1363" t="s">
        <v>2311</v>
      </c>
      <c r="B49" s="1363"/>
      <c r="C49" s="1363"/>
      <c r="D49" s="1363"/>
      <c r="E49" s="1363"/>
      <c r="F49" s="1363"/>
      <c r="G49" s="1363"/>
      <c r="H49" s="1363"/>
      <c r="I49" s="1363"/>
      <c r="J49" s="1363"/>
      <c r="K49" s="1364"/>
      <c r="L49" s="1364"/>
      <c r="M49" s="1364"/>
      <c r="N49" s="1364"/>
      <c r="O49" s="1364"/>
      <c r="P49" s="1364"/>
      <c r="Q49" s="1364"/>
      <c r="R49" s="1364"/>
      <c r="S49" s="1364"/>
      <c r="T49" s="1365" t="s">
        <v>2311</v>
      </c>
      <c r="U49" s="1365"/>
      <c r="V49" s="1365"/>
      <c r="W49" s="1365"/>
      <c r="X49" s="1365"/>
      <c r="Y49" s="1366"/>
      <c r="Z49" s="1367"/>
      <c r="AA49" s="1367"/>
      <c r="AB49" s="1367"/>
      <c r="AC49" s="1367"/>
      <c r="AD49" s="1367"/>
      <c r="AE49" s="1367"/>
      <c r="AF49" s="1367"/>
      <c r="AG49" s="1367"/>
      <c r="AJ49" s="1365" t="s">
        <v>2311</v>
      </c>
      <c r="AK49" s="1365"/>
      <c r="AL49" s="1365"/>
      <c r="AM49" s="1365"/>
      <c r="AN49" s="1365"/>
      <c r="BA49" s="1365" t="s">
        <v>2312</v>
      </c>
      <c r="BB49" s="1365"/>
      <c r="BC49" s="1365"/>
      <c r="BD49" s="1365"/>
      <c r="BE49" s="1365"/>
    </row>
    <row r="50" customFormat="false" ht="9" hidden="false" customHeight="true" outlineLevel="0" collapsed="false">
      <c r="B50" s="735" t="s">
        <v>2313</v>
      </c>
      <c r="U50" s="735" t="s">
        <v>2313</v>
      </c>
      <c r="V50" s="152"/>
      <c r="W50" s="152"/>
      <c r="X50" s="152"/>
      <c r="Y50" s="152"/>
      <c r="AA50" s="152"/>
      <c r="AB50" s="152"/>
      <c r="AC50" s="152"/>
      <c r="AD50" s="152"/>
      <c r="AE50" s="152"/>
      <c r="AF50" s="152"/>
      <c r="AG50" s="152"/>
      <c r="AK50" s="735" t="s">
        <v>2313</v>
      </c>
      <c r="AL50" s="152"/>
      <c r="AM50" s="152"/>
      <c r="AN50" s="152"/>
      <c r="BB50" s="735" t="s">
        <v>2313</v>
      </c>
      <c r="BC50" s="152"/>
      <c r="BD50" s="152"/>
      <c r="BE50" s="152"/>
    </row>
  </sheetData>
  <mergeCells count="138">
    <mergeCell ref="B1:J1"/>
    <mergeCell ref="K1:Q1"/>
    <mergeCell ref="R1:S1"/>
    <mergeCell ref="T1:AA1"/>
    <mergeCell ref="AB1:AG1"/>
    <mergeCell ref="AH1:AI1"/>
    <mergeCell ref="AJ1:AQ1"/>
    <mergeCell ref="AR1:AW1"/>
    <mergeCell ref="AY1:AZ1"/>
    <mergeCell ref="BC1:BF1"/>
    <mergeCell ref="BG1:BJ1"/>
    <mergeCell ref="BK1:BL1"/>
    <mergeCell ref="K2:L2"/>
    <mergeCell ref="X2:Y2"/>
    <mergeCell ref="BE2:BF2"/>
    <mergeCell ref="BG2:BI2"/>
    <mergeCell ref="A3:B5"/>
    <mergeCell ref="C3:H3"/>
    <mergeCell ref="I3:J3"/>
    <mergeCell ref="K3:Q3"/>
    <mergeCell ref="R3:S5"/>
    <mergeCell ref="T3:U5"/>
    <mergeCell ref="V3:AG3"/>
    <mergeCell ref="AH3:AI5"/>
    <mergeCell ref="AJ3:AK5"/>
    <mergeCell ref="AL3:AX3"/>
    <mergeCell ref="AY3:AZ5"/>
    <mergeCell ref="BA3:BB5"/>
    <mergeCell ref="BC3:BJ3"/>
    <mergeCell ref="BK3:BL5"/>
    <mergeCell ref="A6:B6"/>
    <mergeCell ref="R6:S6"/>
    <mergeCell ref="T6:U6"/>
    <mergeCell ref="AH6:AI6"/>
    <mergeCell ref="AJ6:AK6"/>
    <mergeCell ref="AY6:AZ6"/>
    <mergeCell ref="BA6:BB6"/>
    <mergeCell ref="BK6:BL6"/>
    <mergeCell ref="A7:B7"/>
    <mergeCell ref="R7:S7"/>
    <mergeCell ref="T7:U7"/>
    <mergeCell ref="AH7:AI7"/>
    <mergeCell ref="AJ7:AK7"/>
    <mergeCell ref="AY7:AZ7"/>
    <mergeCell ref="BA7:BB7"/>
    <mergeCell ref="BK7:BL7"/>
    <mergeCell ref="A13:B13"/>
    <mergeCell ref="R13:S13"/>
    <mergeCell ref="T13:U13"/>
    <mergeCell ref="AH13:AI13"/>
    <mergeCell ref="AJ13:AK13"/>
    <mergeCell ref="AY13:AZ13"/>
    <mergeCell ref="BA13:BB13"/>
    <mergeCell ref="BK13:BL13"/>
    <mergeCell ref="A19:B19"/>
    <mergeCell ref="R19:S19"/>
    <mergeCell ref="T19:U19"/>
    <mergeCell ref="AH19:AI19"/>
    <mergeCell ref="AJ19:AK19"/>
    <mergeCell ref="AY19:AZ19"/>
    <mergeCell ref="BA19:BB19"/>
    <mergeCell ref="BK19:BL19"/>
    <mergeCell ref="A20:B20"/>
    <mergeCell ref="R20:S20"/>
    <mergeCell ref="T20:U20"/>
    <mergeCell ref="AH20:AI20"/>
    <mergeCell ref="AJ20:AK20"/>
    <mergeCell ref="AY20:AZ20"/>
    <mergeCell ref="BA20:BB20"/>
    <mergeCell ref="BK20:BL20"/>
    <mergeCell ref="A23:B23"/>
    <mergeCell ref="R23:S23"/>
    <mergeCell ref="T23:U23"/>
    <mergeCell ref="AH23:AI23"/>
    <mergeCell ref="AJ23:AK23"/>
    <mergeCell ref="AY23:AZ23"/>
    <mergeCell ref="BA23:BB23"/>
    <mergeCell ref="BK23:BL23"/>
    <mergeCell ref="A26:B26"/>
    <mergeCell ref="R26:S26"/>
    <mergeCell ref="T26:U26"/>
    <mergeCell ref="AH26:AI26"/>
    <mergeCell ref="AJ26:AK26"/>
    <mergeCell ref="AY26:AZ26"/>
    <mergeCell ref="BA26:BB26"/>
    <mergeCell ref="BK26:BL26"/>
    <mergeCell ref="A29:B29"/>
    <mergeCell ref="R29:S29"/>
    <mergeCell ref="T29:U29"/>
    <mergeCell ref="AH29:AI29"/>
    <mergeCell ref="AJ29:AK29"/>
    <mergeCell ref="AY29:AZ29"/>
    <mergeCell ref="BA29:BB29"/>
    <mergeCell ref="BK29:BL29"/>
    <mergeCell ref="A36:B36"/>
    <mergeCell ref="R36:S36"/>
    <mergeCell ref="T36:U36"/>
    <mergeCell ref="AH36:AI36"/>
    <mergeCell ref="AJ36:AK36"/>
    <mergeCell ref="AY36:AZ36"/>
    <mergeCell ref="BA36:BB36"/>
    <mergeCell ref="BK36:BL36"/>
    <mergeCell ref="A37:B37"/>
    <mergeCell ref="R37:S37"/>
    <mergeCell ref="T37:U37"/>
    <mergeCell ref="AH37:AI37"/>
    <mergeCell ref="AJ37:AK37"/>
    <mergeCell ref="AY37:AZ37"/>
    <mergeCell ref="BA37:BB37"/>
    <mergeCell ref="BK37:BL37"/>
    <mergeCell ref="A40:B40"/>
    <mergeCell ref="R40:S40"/>
    <mergeCell ref="T40:U40"/>
    <mergeCell ref="AH40:AI40"/>
    <mergeCell ref="AJ40:AK40"/>
    <mergeCell ref="AY40:AZ40"/>
    <mergeCell ref="BA40:BB40"/>
    <mergeCell ref="BK40:BL40"/>
    <mergeCell ref="A43:B43"/>
    <mergeCell ref="R43:S43"/>
    <mergeCell ref="T43:U43"/>
    <mergeCell ref="AH43:AI43"/>
    <mergeCell ref="AJ43:AK43"/>
    <mergeCell ref="AY43:AZ43"/>
    <mergeCell ref="BA43:BB43"/>
    <mergeCell ref="BK43:BL43"/>
    <mergeCell ref="A46:B46"/>
    <mergeCell ref="R46:S46"/>
    <mergeCell ref="T46:U46"/>
    <mergeCell ref="AH46:AI46"/>
    <mergeCell ref="AJ46:AK46"/>
    <mergeCell ref="AY46:AZ46"/>
    <mergeCell ref="BA46:BB46"/>
    <mergeCell ref="BK46:BL46"/>
    <mergeCell ref="A49:J49"/>
    <mergeCell ref="T49:X49"/>
    <mergeCell ref="AJ49:AN49"/>
    <mergeCell ref="BA49:BE49"/>
  </mergeCells>
  <printOptions headings="false" gridLines="false" gridLinesSet="true" horizontalCentered="false" verticalCentered="false"/>
  <pageMargins left="0.511805555555555" right="0.511805555555555" top="0.511805555555555" bottom="0.511805555555556" header="0.511805555555555" footer="0.433333333333333"/>
  <pageSetup paperSize="1" scale="100" firstPageNumber="66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>&amp;C&amp;"Times New Roman,Regular"&amp;8&amp;P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5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3" ySplit="3" topLeftCell="D49" activePane="bottomRight" state="frozen"/>
      <selection pane="topLeft" activeCell="A1" activeCellId="0" sqref="A1"/>
      <selection pane="topRight" activeCell="D1" activeCellId="0" sqref="D1"/>
      <selection pane="bottomLeft" activeCell="A49" activeCellId="0" sqref="A49"/>
      <selection pane="bottomRight" activeCell="C59" activeCellId="0" sqref="C59"/>
    </sheetView>
  </sheetViews>
  <sheetFormatPr defaultColWidth="9.15625" defaultRowHeight="12.75" zeroHeight="false" outlineLevelRow="0" outlineLevelCol="0"/>
  <cols>
    <col collapsed="false" customWidth="true" hidden="false" outlineLevel="0" max="1" min="1" style="264" width="1.85"/>
    <col collapsed="false" customWidth="true" hidden="false" outlineLevel="0" max="2" min="2" style="264" width="2.57"/>
    <col collapsed="false" customWidth="true" hidden="false" outlineLevel="0" max="3" min="3" style="264" width="27.14"/>
    <col collapsed="false" customWidth="true" hidden="false" outlineLevel="0" max="4" min="4" style="264" width="6.57"/>
    <col collapsed="false" customWidth="true" hidden="false" outlineLevel="0" max="5" min="5" style="264" width="5.57"/>
    <col collapsed="false" customWidth="true" hidden="false" outlineLevel="0" max="6" min="6" style="264" width="5.14"/>
    <col collapsed="false" customWidth="true" hidden="false" outlineLevel="0" max="7" min="7" style="264" width="5.57"/>
    <col collapsed="false" customWidth="true" hidden="false" outlineLevel="0" max="8" min="8" style="264" width="6.86"/>
    <col collapsed="false" customWidth="true" hidden="false" outlineLevel="0" max="9" min="9" style="264" width="5.28"/>
    <col collapsed="false" customWidth="true" hidden="false" outlineLevel="0" max="10" min="10" style="264" width="6.01"/>
    <col collapsed="false" customWidth="true" hidden="false" outlineLevel="0" max="11" min="11" style="264" width="5.86"/>
    <col collapsed="false" customWidth="true" hidden="false" outlineLevel="0" max="12" min="12" style="264" width="7.57"/>
    <col collapsed="false" customWidth="false" hidden="false" outlineLevel="0" max="1024" min="13" style="264" width="9.14"/>
  </cols>
  <sheetData>
    <row r="1" s="730" customFormat="true" ht="15" hidden="false" customHeight="true" outlineLevel="0" collapsed="false">
      <c r="B1" s="1368" t="s">
        <v>2314</v>
      </c>
      <c r="C1" s="1368"/>
      <c r="D1" s="1368"/>
      <c r="E1" s="1368"/>
      <c r="F1" s="1368"/>
      <c r="G1" s="1368"/>
      <c r="H1" s="1368"/>
      <c r="I1" s="1368"/>
      <c r="J1" s="1368"/>
      <c r="K1" s="1368" t="s">
        <v>2315</v>
      </c>
      <c r="L1" s="1368"/>
    </row>
    <row r="2" s="1032" customFormat="true" ht="11.25" hidden="false" customHeight="true" outlineLevel="0" collapsed="false">
      <c r="B2" s="1369"/>
      <c r="C2" s="1369"/>
      <c r="D2" s="1369"/>
      <c r="E2" s="1369"/>
      <c r="F2" s="1369"/>
      <c r="G2" s="1369"/>
      <c r="H2" s="873"/>
      <c r="I2" s="873"/>
      <c r="J2" s="873" t="s">
        <v>2113</v>
      </c>
      <c r="K2" s="873"/>
      <c r="L2" s="873"/>
    </row>
    <row r="3" s="410" customFormat="true" ht="60" hidden="false" customHeight="true" outlineLevel="0" collapsed="false">
      <c r="A3" s="131" t="s">
        <v>2316</v>
      </c>
      <c r="B3" s="131"/>
      <c r="C3" s="131"/>
      <c r="D3" s="138" t="s">
        <v>2317</v>
      </c>
      <c r="E3" s="138" t="s">
        <v>2318</v>
      </c>
      <c r="F3" s="138" t="s">
        <v>2319</v>
      </c>
      <c r="G3" s="138" t="s">
        <v>2320</v>
      </c>
      <c r="H3" s="138" t="s">
        <v>2321</v>
      </c>
      <c r="I3" s="138" t="s">
        <v>2322</v>
      </c>
      <c r="J3" s="138" t="s">
        <v>2323</v>
      </c>
      <c r="K3" s="138" t="s">
        <v>2324</v>
      </c>
      <c r="L3" s="131" t="s">
        <v>2325</v>
      </c>
      <c r="P3" s="270"/>
    </row>
    <row r="4" s="376" customFormat="true" ht="14.25" hidden="false" customHeight="true" outlineLevel="0" collapsed="false">
      <c r="A4" s="894" t="s">
        <v>2326</v>
      </c>
      <c r="B4" s="849" t="s">
        <v>2327</v>
      </c>
      <c r="C4" s="849"/>
      <c r="D4" s="1370" t="n">
        <v>3.98</v>
      </c>
      <c r="E4" s="1370" t="n">
        <v>3.28</v>
      </c>
      <c r="F4" s="1370" t="n">
        <v>4</v>
      </c>
      <c r="G4" s="1370" t="n">
        <v>3.25</v>
      </c>
      <c r="H4" s="1370" t="n">
        <v>2.99</v>
      </c>
      <c r="I4" s="1370" t="n">
        <v>5.44</v>
      </c>
      <c r="J4" s="158" t="n">
        <v>4</v>
      </c>
      <c r="K4" s="1370" t="n">
        <v>3.98</v>
      </c>
      <c r="L4" s="164" t="n">
        <v>4.93</v>
      </c>
    </row>
    <row r="5" s="737" customFormat="true" ht="10.5" hidden="false" customHeight="true" outlineLevel="0" collapsed="false">
      <c r="A5" s="1371" t="s">
        <v>2328</v>
      </c>
      <c r="B5" s="1372" t="s">
        <v>2329</v>
      </c>
      <c r="C5" s="1372"/>
      <c r="D5" s="1043"/>
      <c r="E5" s="1043"/>
      <c r="F5" s="1043"/>
      <c r="G5" s="1373"/>
      <c r="H5" s="1373"/>
      <c r="I5" s="1373"/>
      <c r="J5" s="1043"/>
      <c r="K5" s="1043"/>
      <c r="L5" s="1347"/>
    </row>
    <row r="6" s="737" customFormat="true" ht="10.5" hidden="false" customHeight="true" outlineLevel="0" collapsed="false">
      <c r="A6" s="894"/>
      <c r="B6" s="1374" t="s">
        <v>1129</v>
      </c>
      <c r="C6" s="850" t="s">
        <v>2330</v>
      </c>
      <c r="D6" s="1370" t="n">
        <v>7.06</v>
      </c>
      <c r="E6" s="1370" t="n">
        <v>7.55</v>
      </c>
      <c r="F6" s="1375" t="n">
        <v>8</v>
      </c>
      <c r="G6" s="1370" t="n">
        <v>8</v>
      </c>
      <c r="H6" s="1370" t="s">
        <v>204</v>
      </c>
      <c r="I6" s="1370" t="n">
        <v>8.54</v>
      </c>
      <c r="J6" s="1370" t="n">
        <v>6</v>
      </c>
      <c r="K6" s="1370" t="n">
        <v>6.06</v>
      </c>
      <c r="L6" s="164" t="n">
        <v>8.4</v>
      </c>
    </row>
    <row r="7" s="737" customFormat="true" ht="10.5" hidden="false" customHeight="true" outlineLevel="0" collapsed="false">
      <c r="A7" s="1371"/>
      <c r="B7" s="1376" t="s">
        <v>1562</v>
      </c>
      <c r="C7" s="464" t="s">
        <v>2331</v>
      </c>
      <c r="D7" s="1043" t="n">
        <v>6.87</v>
      </c>
      <c r="E7" s="1043" t="n">
        <v>7.22</v>
      </c>
      <c r="F7" s="1373" t="n">
        <v>8</v>
      </c>
      <c r="G7" s="1043" t="n">
        <v>8</v>
      </c>
      <c r="H7" s="1043" t="s">
        <v>204</v>
      </c>
      <c r="I7" s="1043" t="n">
        <v>8.53</v>
      </c>
      <c r="J7" s="1043" t="n">
        <v>6</v>
      </c>
      <c r="K7" s="1043" t="n">
        <v>6.06</v>
      </c>
      <c r="L7" s="1259" t="n">
        <v>8.4</v>
      </c>
    </row>
    <row r="8" s="737" customFormat="true" ht="10.5" hidden="false" customHeight="true" outlineLevel="0" collapsed="false">
      <c r="A8" s="894"/>
      <c r="B8" s="1374" t="s">
        <v>1527</v>
      </c>
      <c r="C8" s="850" t="s">
        <v>2332</v>
      </c>
      <c r="D8" s="1370" t="n">
        <v>6.74</v>
      </c>
      <c r="E8" s="1370" t="n">
        <v>6.57</v>
      </c>
      <c r="F8" s="1375" t="n">
        <v>8</v>
      </c>
      <c r="G8" s="1370" t="n">
        <v>7.75</v>
      </c>
      <c r="H8" s="1370" t="n">
        <v>5.98</v>
      </c>
      <c r="I8" s="1370" t="n">
        <v>8.45</v>
      </c>
      <c r="J8" s="1370" t="n">
        <v>6.5</v>
      </c>
      <c r="K8" s="1370" t="n">
        <v>6.06</v>
      </c>
      <c r="L8" s="164" t="n">
        <v>8.41</v>
      </c>
    </row>
    <row r="9" s="737" customFormat="true" ht="10.5" hidden="false" customHeight="true" outlineLevel="0" collapsed="false">
      <c r="A9" s="1371"/>
      <c r="B9" s="1376" t="s">
        <v>1332</v>
      </c>
      <c r="C9" s="464" t="s">
        <v>2333</v>
      </c>
      <c r="D9" s="1043" t="n">
        <v>6.61</v>
      </c>
      <c r="E9" s="1043" t="n">
        <v>6.24</v>
      </c>
      <c r="F9" s="1373" t="n">
        <v>7</v>
      </c>
      <c r="G9" s="1043" t="n">
        <v>7</v>
      </c>
      <c r="H9" s="1043" t="n">
        <v>5.98</v>
      </c>
      <c r="I9" s="1043" t="n">
        <v>8.36</v>
      </c>
      <c r="J9" s="1043" t="n">
        <v>5.25</v>
      </c>
      <c r="K9" s="1043" t="n">
        <v>5.81</v>
      </c>
      <c r="L9" s="1259" t="n">
        <v>6.73</v>
      </c>
    </row>
    <row r="10" s="737" customFormat="true" ht="10.5" hidden="false" customHeight="true" outlineLevel="0" collapsed="false">
      <c r="A10" s="894"/>
      <c r="B10" s="1374" t="s">
        <v>1605</v>
      </c>
      <c r="C10" s="850" t="s">
        <v>2334</v>
      </c>
      <c r="D10" s="1370" t="n">
        <v>6.42</v>
      </c>
      <c r="E10" s="1370" t="n">
        <v>5.91</v>
      </c>
      <c r="F10" s="1370" t="n">
        <v>6</v>
      </c>
      <c r="G10" s="1370" t="n">
        <v>6.5</v>
      </c>
      <c r="H10" s="1370" t="n">
        <v>5.89</v>
      </c>
      <c r="I10" s="1370" t="n">
        <v>8.08</v>
      </c>
      <c r="J10" s="1370" t="n">
        <v>5</v>
      </c>
      <c r="K10" s="1370" t="n">
        <v>5.56</v>
      </c>
      <c r="L10" s="164" t="n">
        <v>7.4</v>
      </c>
    </row>
    <row r="11" s="737" customFormat="true" ht="10.5" hidden="false" customHeight="true" outlineLevel="0" collapsed="false">
      <c r="A11" s="1371"/>
      <c r="B11" s="1376" t="s">
        <v>2335</v>
      </c>
      <c r="C11" s="464" t="s">
        <v>2336</v>
      </c>
      <c r="D11" s="1043" t="n">
        <v>5.26</v>
      </c>
      <c r="E11" s="1043" t="n">
        <v>4.6</v>
      </c>
      <c r="F11" s="1043" t="n">
        <v>5</v>
      </c>
      <c r="G11" s="1043" t="n">
        <v>5</v>
      </c>
      <c r="H11" s="1043" t="n">
        <v>2.72</v>
      </c>
      <c r="I11" s="1043" t="n">
        <v>7.97</v>
      </c>
      <c r="J11" s="1043" t="n">
        <v>4</v>
      </c>
      <c r="K11" s="1043" t="n">
        <v>5.24</v>
      </c>
      <c r="L11" s="1259" t="n">
        <v>3.92</v>
      </c>
    </row>
    <row r="12" s="1380" customFormat="true" ht="10.5" hidden="false" customHeight="true" outlineLevel="0" collapsed="false">
      <c r="A12" s="1377" t="s">
        <v>2337</v>
      </c>
      <c r="B12" s="1378" t="s">
        <v>2338</v>
      </c>
      <c r="C12" s="1378"/>
      <c r="D12" s="1379"/>
      <c r="E12" s="1379"/>
      <c r="F12" s="1379"/>
      <c r="G12" s="1379"/>
      <c r="H12" s="1379"/>
      <c r="I12" s="1379"/>
      <c r="J12" s="1379"/>
      <c r="K12" s="1379"/>
      <c r="L12" s="166"/>
    </row>
    <row r="13" s="737" customFormat="true" ht="10.5" hidden="false" customHeight="true" outlineLevel="0" collapsed="false">
      <c r="A13" s="1381"/>
      <c r="B13" s="1376" t="s">
        <v>1129</v>
      </c>
      <c r="C13" s="464" t="s">
        <v>2339</v>
      </c>
      <c r="D13" s="1043" t="s">
        <v>204</v>
      </c>
      <c r="E13" s="1043" t="n">
        <v>7.55</v>
      </c>
      <c r="F13" s="1043" t="s">
        <v>204</v>
      </c>
      <c r="G13" s="1373" t="s">
        <v>204</v>
      </c>
      <c r="H13" s="1373" t="s">
        <v>204</v>
      </c>
      <c r="I13" s="1373" t="n">
        <v>9.22</v>
      </c>
      <c r="J13" s="1373" t="n">
        <v>1.75</v>
      </c>
      <c r="K13" s="1373" t="s">
        <v>204</v>
      </c>
      <c r="L13" s="1259" t="s">
        <v>204</v>
      </c>
    </row>
    <row r="14" s="737" customFormat="true" ht="10.5" hidden="false" customHeight="true" outlineLevel="0" collapsed="false">
      <c r="A14" s="960"/>
      <c r="B14" s="1374" t="s">
        <v>1562</v>
      </c>
      <c r="C14" s="850" t="s">
        <v>2340</v>
      </c>
      <c r="D14" s="1370" t="s">
        <v>204</v>
      </c>
      <c r="E14" s="1370" t="n">
        <v>7.55</v>
      </c>
      <c r="F14" s="1370" t="s">
        <v>204</v>
      </c>
      <c r="G14" s="1370" t="s">
        <v>204</v>
      </c>
      <c r="H14" s="1370" t="s">
        <v>204</v>
      </c>
      <c r="I14" s="1370"/>
      <c r="J14" s="1375" t="s">
        <v>204</v>
      </c>
      <c r="K14" s="1375" t="s">
        <v>204</v>
      </c>
      <c r="L14" s="164" t="s">
        <v>204</v>
      </c>
    </row>
    <row r="15" s="737" customFormat="true" ht="10.5" hidden="false" customHeight="true" outlineLevel="0" collapsed="false">
      <c r="A15" s="1381"/>
      <c r="B15" s="464" t="s">
        <v>1527</v>
      </c>
      <c r="C15" s="464" t="s">
        <v>2341</v>
      </c>
      <c r="D15" s="1043" t="s">
        <v>204</v>
      </c>
      <c r="E15" s="1043" t="n">
        <v>7.55</v>
      </c>
      <c r="F15" s="1043" t="n">
        <v>8.5</v>
      </c>
      <c r="G15" s="1373" t="n">
        <v>6.5</v>
      </c>
      <c r="H15" s="1043" t="s">
        <v>204</v>
      </c>
      <c r="I15" s="1373" t="s">
        <v>204</v>
      </c>
      <c r="J15" s="1373" t="s">
        <v>204</v>
      </c>
      <c r="K15" s="1373" t="s">
        <v>204</v>
      </c>
      <c r="L15" s="1259" t="n">
        <v>5.52</v>
      </c>
    </row>
    <row r="16" s="737" customFormat="true" ht="10.5" hidden="false" customHeight="true" outlineLevel="0" collapsed="false">
      <c r="A16" s="960"/>
      <c r="B16" s="850" t="s">
        <v>2342</v>
      </c>
      <c r="C16" s="850"/>
      <c r="D16" s="1370"/>
      <c r="E16" s="1370"/>
      <c r="F16" s="1370"/>
      <c r="G16" s="1375"/>
      <c r="H16" s="1370"/>
      <c r="I16" s="1370"/>
      <c r="J16" s="1375"/>
      <c r="K16" s="1375"/>
      <c r="L16" s="152"/>
    </row>
    <row r="17" s="737" customFormat="true" ht="10.5" hidden="false" customHeight="true" outlineLevel="0" collapsed="false">
      <c r="A17" s="1381"/>
      <c r="B17" s="466" t="s">
        <v>2195</v>
      </c>
      <c r="C17" s="464" t="s">
        <v>2330</v>
      </c>
      <c r="D17" s="1043" t="s">
        <v>204</v>
      </c>
      <c r="E17" s="1043" t="n">
        <v>7.55</v>
      </c>
      <c r="F17" s="1043" t="s">
        <v>204</v>
      </c>
      <c r="G17" s="1373" t="s">
        <v>204</v>
      </c>
      <c r="H17" s="1373" t="s">
        <v>204</v>
      </c>
      <c r="I17" s="1373" t="s">
        <v>204</v>
      </c>
      <c r="J17" s="1373" t="s">
        <v>204</v>
      </c>
      <c r="K17" s="1373" t="s">
        <v>204</v>
      </c>
      <c r="L17" s="1347" t="s">
        <v>204</v>
      </c>
    </row>
    <row r="18" s="737" customFormat="true" ht="10.5" hidden="false" customHeight="true" outlineLevel="0" collapsed="false">
      <c r="A18" s="960"/>
      <c r="B18" s="777" t="s">
        <v>2205</v>
      </c>
      <c r="C18" s="850" t="s">
        <v>2343</v>
      </c>
      <c r="D18" s="1370" t="n">
        <v>7.19</v>
      </c>
      <c r="E18" s="1370" t="n">
        <v>7.55</v>
      </c>
      <c r="F18" s="1370" t="s">
        <v>204</v>
      </c>
      <c r="G18" s="1375" t="s">
        <v>204</v>
      </c>
      <c r="H18" s="1375" t="s">
        <v>204</v>
      </c>
      <c r="I18" s="1375" t="s">
        <v>204</v>
      </c>
      <c r="J18" s="1375" t="s">
        <v>204</v>
      </c>
      <c r="K18" s="1375" t="s">
        <v>204</v>
      </c>
      <c r="L18" s="152" t="s">
        <v>204</v>
      </c>
    </row>
    <row r="19" s="737" customFormat="true" ht="10.5" hidden="false" customHeight="true" outlineLevel="0" collapsed="false">
      <c r="A19" s="1381"/>
      <c r="B19" s="466" t="s">
        <v>2213</v>
      </c>
      <c r="C19" s="464" t="s">
        <v>2344</v>
      </c>
      <c r="D19" s="1043" t="n">
        <v>8.02</v>
      </c>
      <c r="E19" s="1043" t="n">
        <v>7.55</v>
      </c>
      <c r="F19" s="1043" t="s">
        <v>204</v>
      </c>
      <c r="G19" s="1373" t="s">
        <v>204</v>
      </c>
      <c r="H19" s="1373" t="s">
        <v>204</v>
      </c>
      <c r="I19" s="1373" t="s">
        <v>204</v>
      </c>
      <c r="J19" s="1373" t="s">
        <v>204</v>
      </c>
      <c r="K19" s="1373" t="s">
        <v>204</v>
      </c>
      <c r="L19" s="1347" t="s">
        <v>204</v>
      </c>
    </row>
    <row r="20" s="737" customFormat="true" ht="10.5" hidden="false" customHeight="true" outlineLevel="0" collapsed="false">
      <c r="A20" s="960"/>
      <c r="B20" s="839" t="s">
        <v>2345</v>
      </c>
      <c r="C20" s="839" t="s">
        <v>2346</v>
      </c>
      <c r="D20" s="1370"/>
      <c r="E20" s="1370"/>
      <c r="F20" s="1370"/>
      <c r="G20" s="1375"/>
      <c r="H20" s="107"/>
      <c r="I20" s="107"/>
      <c r="J20" s="1375"/>
      <c r="K20" s="1375"/>
      <c r="L20" s="152"/>
    </row>
    <row r="21" s="737" customFormat="true" ht="10.5" hidden="false" customHeight="true" outlineLevel="0" collapsed="false">
      <c r="A21" s="1381"/>
      <c r="B21" s="466" t="s">
        <v>2195</v>
      </c>
      <c r="C21" s="464" t="s">
        <v>2347</v>
      </c>
      <c r="D21" s="1043" t="s">
        <v>204</v>
      </c>
      <c r="E21" s="1043" t="n">
        <v>7.55</v>
      </c>
      <c r="F21" s="1043" t="n">
        <v>8</v>
      </c>
      <c r="G21" s="1373" t="n">
        <v>10.5</v>
      </c>
      <c r="H21" s="1373" t="n">
        <v>7.25</v>
      </c>
      <c r="I21" s="1373" t="n">
        <v>11.64</v>
      </c>
      <c r="J21" s="1373" t="s">
        <v>204</v>
      </c>
      <c r="K21" s="1373" t="s">
        <v>204</v>
      </c>
      <c r="L21" s="1259" t="n">
        <v>12.13</v>
      </c>
    </row>
    <row r="22" s="737" customFormat="true" ht="10.5" hidden="false" customHeight="true" outlineLevel="0" collapsed="false">
      <c r="A22" s="960"/>
      <c r="B22" s="777" t="s">
        <v>2205</v>
      </c>
      <c r="C22" s="850" t="s">
        <v>2348</v>
      </c>
      <c r="D22" s="1370" t="s">
        <v>204</v>
      </c>
      <c r="E22" s="1370" t="n">
        <v>7.55</v>
      </c>
      <c r="F22" s="1370" t="s">
        <v>204</v>
      </c>
      <c r="G22" s="1375" t="s">
        <v>204</v>
      </c>
      <c r="H22" s="1375" t="n">
        <v>7.47</v>
      </c>
      <c r="I22" s="1375" t="s">
        <v>204</v>
      </c>
      <c r="J22" s="1375" t="s">
        <v>204</v>
      </c>
      <c r="K22" s="1375" t="s">
        <v>204</v>
      </c>
      <c r="L22" s="164" t="n">
        <v>12.52</v>
      </c>
    </row>
    <row r="23" s="737" customFormat="true" ht="10.5" hidden="false" customHeight="true" outlineLevel="0" collapsed="false">
      <c r="A23" s="1381"/>
      <c r="B23" s="464" t="s">
        <v>2349</v>
      </c>
      <c r="C23" s="1382" t="s">
        <v>2350</v>
      </c>
      <c r="D23" s="1043"/>
      <c r="E23" s="1043"/>
      <c r="F23" s="1043"/>
      <c r="G23" s="1373"/>
      <c r="H23" s="1373"/>
      <c r="I23" s="1373"/>
      <c r="J23" s="1373"/>
      <c r="K23" s="1373"/>
      <c r="L23" s="1347"/>
    </row>
    <row r="24" s="737" customFormat="true" ht="10.5" hidden="false" customHeight="true" outlineLevel="0" collapsed="false">
      <c r="A24" s="960"/>
      <c r="B24" s="777" t="s">
        <v>2351</v>
      </c>
      <c r="C24" s="839" t="s">
        <v>2352</v>
      </c>
      <c r="D24" s="1370" t="s">
        <v>204</v>
      </c>
      <c r="E24" s="1370" t="n">
        <v>7.55</v>
      </c>
      <c r="F24" s="1370" t="n">
        <v>9</v>
      </c>
      <c r="G24" s="1375" t="s">
        <v>204</v>
      </c>
      <c r="H24" s="1375" t="n">
        <v>7.38</v>
      </c>
      <c r="I24" s="1375" t="n">
        <v>9.99</v>
      </c>
      <c r="J24" s="1375" t="s">
        <v>204</v>
      </c>
      <c r="K24" s="1375" t="n">
        <v>8.46</v>
      </c>
      <c r="L24" s="164" t="n">
        <v>10.69</v>
      </c>
    </row>
    <row r="25" s="737" customFormat="true" ht="10.5" hidden="false" customHeight="true" outlineLevel="0" collapsed="false">
      <c r="A25" s="1381"/>
      <c r="B25" s="466" t="s">
        <v>2353</v>
      </c>
      <c r="C25" s="1382" t="s">
        <v>2354</v>
      </c>
      <c r="D25" s="1043" t="s">
        <v>204</v>
      </c>
      <c r="E25" s="1043" t="n">
        <v>7.55</v>
      </c>
      <c r="F25" s="1043" t="n">
        <v>9</v>
      </c>
      <c r="G25" s="1373" t="s">
        <v>204</v>
      </c>
      <c r="H25" s="1373" t="n">
        <v>7.47</v>
      </c>
      <c r="I25" s="1373" t="s">
        <v>204</v>
      </c>
      <c r="J25" s="1373" t="s">
        <v>204</v>
      </c>
      <c r="K25" s="1373" t="n">
        <v>8.53</v>
      </c>
      <c r="L25" s="1347" t="s">
        <v>204</v>
      </c>
    </row>
    <row r="26" s="737" customFormat="true" ht="10.5" hidden="false" customHeight="true" outlineLevel="0" collapsed="false">
      <c r="A26" s="960"/>
      <c r="B26" s="777" t="s">
        <v>2355</v>
      </c>
      <c r="C26" s="839" t="s">
        <v>2356</v>
      </c>
      <c r="D26" s="1370" t="s">
        <v>204</v>
      </c>
      <c r="E26" s="1370" t="n">
        <v>7.55</v>
      </c>
      <c r="F26" s="1370" t="n">
        <v>9</v>
      </c>
      <c r="G26" s="1375" t="s">
        <v>204</v>
      </c>
      <c r="H26" s="1375" t="n">
        <v>7.47</v>
      </c>
      <c r="I26" s="1375" t="s">
        <v>204</v>
      </c>
      <c r="J26" s="1375" t="s">
        <v>204</v>
      </c>
      <c r="K26" s="1375" t="s">
        <v>204</v>
      </c>
      <c r="L26" s="152" t="s">
        <v>204</v>
      </c>
    </row>
    <row r="27" s="737" customFormat="true" ht="10.5" hidden="false" customHeight="true" outlineLevel="0" collapsed="false">
      <c r="A27" s="1381"/>
      <c r="B27" s="466" t="s">
        <v>2357</v>
      </c>
      <c r="C27" s="1382" t="s">
        <v>2358</v>
      </c>
      <c r="D27" s="1043" t="s">
        <v>204</v>
      </c>
      <c r="E27" s="1043" t="n">
        <v>7.55</v>
      </c>
      <c r="F27" s="1043" t="n">
        <v>9</v>
      </c>
      <c r="G27" s="1373" t="s">
        <v>204</v>
      </c>
      <c r="H27" s="1373" t="n">
        <v>9.51</v>
      </c>
      <c r="I27" s="1373" t="s">
        <v>204</v>
      </c>
      <c r="J27" s="1373" t="s">
        <v>204</v>
      </c>
      <c r="K27" s="1373" t="s">
        <v>204</v>
      </c>
      <c r="L27" s="1347" t="s">
        <v>204</v>
      </c>
    </row>
    <row r="28" s="737" customFormat="true" ht="10.5" hidden="false" customHeight="true" outlineLevel="0" collapsed="false">
      <c r="A28" s="960"/>
      <c r="B28" s="850" t="s">
        <v>2359</v>
      </c>
      <c r="C28" s="377" t="s">
        <v>2360</v>
      </c>
      <c r="D28" s="1370"/>
      <c r="E28" s="1370"/>
      <c r="F28" s="1370"/>
      <c r="G28" s="1375"/>
      <c r="H28" s="1375"/>
      <c r="I28" s="1375"/>
      <c r="J28" s="1370"/>
      <c r="K28" s="1370"/>
      <c r="L28" s="152"/>
    </row>
    <row r="29" s="400" customFormat="true" ht="10.5" hidden="false" customHeight="true" outlineLevel="0" collapsed="false">
      <c r="A29" s="1381"/>
      <c r="B29" s="466" t="s">
        <v>2351</v>
      </c>
      <c r="C29" s="1382" t="s">
        <v>2343</v>
      </c>
      <c r="D29" s="1043" t="n">
        <v>7.06</v>
      </c>
      <c r="E29" s="1043" t="n">
        <v>7.55</v>
      </c>
      <c r="F29" s="1043" t="n">
        <v>8.75</v>
      </c>
      <c r="G29" s="1373" t="n">
        <v>9.5</v>
      </c>
      <c r="H29" s="1373" t="n">
        <v>7.16</v>
      </c>
      <c r="I29" s="1373" t="s">
        <v>204</v>
      </c>
      <c r="J29" s="1043" t="s">
        <v>204</v>
      </c>
      <c r="K29" s="1043" t="n">
        <v>8.27</v>
      </c>
      <c r="L29" s="1259" t="s">
        <v>204</v>
      </c>
    </row>
    <row r="30" s="400" customFormat="true" ht="10.5" hidden="false" customHeight="true" outlineLevel="0" collapsed="false">
      <c r="A30" s="1212"/>
      <c r="B30" s="463" t="s">
        <v>2361</v>
      </c>
      <c r="C30" s="1209" t="s">
        <v>2344</v>
      </c>
      <c r="D30" s="883" t="s">
        <v>204</v>
      </c>
      <c r="E30" s="883" t="n">
        <v>7.55</v>
      </c>
      <c r="F30" s="883" t="n">
        <v>8.75</v>
      </c>
      <c r="G30" s="1383" t="s">
        <v>204</v>
      </c>
      <c r="H30" s="1383" t="n">
        <v>7.25</v>
      </c>
      <c r="I30" s="1383" t="s">
        <v>204</v>
      </c>
      <c r="J30" s="883" t="s">
        <v>204</v>
      </c>
      <c r="K30" s="883" t="n">
        <v>8.08</v>
      </c>
      <c r="L30" s="1258" t="s">
        <v>204</v>
      </c>
    </row>
    <row r="31" s="400" customFormat="true" ht="10.5" hidden="false" customHeight="true" outlineLevel="0" collapsed="false">
      <c r="A31" s="1381"/>
      <c r="B31" s="466" t="s">
        <v>2355</v>
      </c>
      <c r="C31" s="1382" t="s">
        <v>2362</v>
      </c>
      <c r="D31" s="1043" t="n">
        <v>8.02</v>
      </c>
      <c r="E31" s="1043" t="n">
        <v>7.55</v>
      </c>
      <c r="F31" s="1043" t="n">
        <v>9</v>
      </c>
      <c r="G31" s="1373" t="s">
        <v>204</v>
      </c>
      <c r="H31" s="1373" t="n">
        <v>7.34</v>
      </c>
      <c r="I31" s="1373" t="n">
        <v>10.27</v>
      </c>
      <c r="J31" s="1043" t="s">
        <v>204</v>
      </c>
      <c r="K31" s="1043" t="n">
        <v>8.08</v>
      </c>
      <c r="L31" s="1259" t="n">
        <v>11.22</v>
      </c>
    </row>
    <row r="32" s="400" customFormat="true" ht="10.5" hidden="false" customHeight="true" outlineLevel="0" collapsed="false">
      <c r="A32" s="1212"/>
      <c r="B32" s="463" t="s">
        <v>2357</v>
      </c>
      <c r="C32" s="1209" t="s">
        <v>2352</v>
      </c>
      <c r="D32" s="883" t="s">
        <v>204</v>
      </c>
      <c r="E32" s="883" t="n">
        <v>7.55</v>
      </c>
      <c r="F32" s="883" t="n">
        <v>9</v>
      </c>
      <c r="G32" s="1383" t="s">
        <v>204</v>
      </c>
      <c r="H32" s="1383" t="s">
        <v>204</v>
      </c>
      <c r="I32" s="1383" t="s">
        <v>204</v>
      </c>
      <c r="J32" s="883" t="s">
        <v>204</v>
      </c>
      <c r="K32" s="883" t="n">
        <v>8.02</v>
      </c>
      <c r="L32" s="1258" t="s">
        <v>204</v>
      </c>
    </row>
    <row r="33" s="400" customFormat="true" ht="10.5" hidden="false" customHeight="true" outlineLevel="0" collapsed="false">
      <c r="A33" s="1381"/>
      <c r="B33" s="1376" t="s">
        <v>2363</v>
      </c>
      <c r="C33" s="1382" t="s">
        <v>2364</v>
      </c>
      <c r="D33" s="1043" t="n">
        <v>3.98</v>
      </c>
      <c r="E33" s="1043" t="s">
        <v>204</v>
      </c>
      <c r="F33" s="1043" t="n">
        <v>9</v>
      </c>
      <c r="G33" s="1043" t="n">
        <v>12.94</v>
      </c>
      <c r="H33" s="1043" t="s">
        <v>204</v>
      </c>
      <c r="I33" s="1373" t="s">
        <v>204</v>
      </c>
      <c r="J33" s="1043" t="s">
        <v>204</v>
      </c>
      <c r="K33" s="1043" t="n">
        <v>7.2</v>
      </c>
      <c r="L33" s="1347" t="n">
        <v>10.22</v>
      </c>
    </row>
    <row r="34" s="400" customFormat="true" ht="10.5" hidden="false" customHeight="true" outlineLevel="0" collapsed="false">
      <c r="A34" s="1212"/>
      <c r="B34" s="461" t="s">
        <v>2195</v>
      </c>
      <c r="C34" s="461" t="s">
        <v>2365</v>
      </c>
      <c r="D34" s="883" t="s">
        <v>204</v>
      </c>
      <c r="E34" s="883" t="s">
        <v>204</v>
      </c>
      <c r="F34" s="883" t="s">
        <v>204</v>
      </c>
      <c r="G34" s="883" t="s">
        <v>204</v>
      </c>
      <c r="H34" s="883" t="s">
        <v>204</v>
      </c>
      <c r="I34" s="883" t="s">
        <v>204</v>
      </c>
      <c r="J34" s="883" t="s">
        <v>204</v>
      </c>
      <c r="K34" s="883" t="s">
        <v>204</v>
      </c>
      <c r="L34" s="148" t="s">
        <v>204</v>
      </c>
    </row>
    <row r="35" s="400" customFormat="true" ht="10.5" hidden="false" customHeight="true" outlineLevel="0" collapsed="false">
      <c r="A35" s="1381"/>
      <c r="B35" s="464" t="s">
        <v>2366</v>
      </c>
      <c r="C35" s="464" t="s">
        <v>2367</v>
      </c>
      <c r="D35" s="1043" t="s">
        <v>204</v>
      </c>
      <c r="E35" s="1043" t="s">
        <v>204</v>
      </c>
      <c r="F35" s="1043" t="n">
        <v>5</v>
      </c>
      <c r="G35" s="1043" t="n">
        <v>5.5</v>
      </c>
      <c r="H35" s="1043" t="s">
        <v>204</v>
      </c>
      <c r="I35" s="1043" t="s">
        <v>204</v>
      </c>
      <c r="J35" s="1043" t="n">
        <v>4</v>
      </c>
      <c r="K35" s="1043" t="n">
        <v>7.77</v>
      </c>
      <c r="L35" s="1347" t="s">
        <v>204</v>
      </c>
    </row>
    <row r="36" s="400" customFormat="true" ht="10.5" hidden="false" customHeight="true" outlineLevel="0" collapsed="false">
      <c r="A36" s="1212"/>
      <c r="B36" s="461" t="s">
        <v>2368</v>
      </c>
      <c r="C36" s="461" t="s">
        <v>2369</v>
      </c>
      <c r="D36" s="883" t="s">
        <v>204</v>
      </c>
      <c r="E36" s="883" t="s">
        <v>204</v>
      </c>
      <c r="F36" s="883" t="s">
        <v>204</v>
      </c>
      <c r="G36" s="883" t="s">
        <v>204</v>
      </c>
      <c r="H36" s="883" t="s">
        <v>204</v>
      </c>
      <c r="I36" s="883" t="s">
        <v>204</v>
      </c>
      <c r="J36" s="883" t="s">
        <v>204</v>
      </c>
      <c r="K36" s="883" t="n">
        <v>7.39</v>
      </c>
      <c r="L36" s="148" t="s">
        <v>204</v>
      </c>
    </row>
    <row r="37" s="400" customFormat="true" ht="10.5" hidden="false" customHeight="true" outlineLevel="0" collapsed="false">
      <c r="A37" s="1381"/>
      <c r="B37" s="464" t="s">
        <v>2370</v>
      </c>
      <c r="C37" s="464" t="s">
        <v>2371</v>
      </c>
      <c r="D37" s="1043" t="s">
        <v>204</v>
      </c>
      <c r="E37" s="1043" t="s">
        <v>204</v>
      </c>
      <c r="F37" s="1043" t="s">
        <v>204</v>
      </c>
      <c r="G37" s="1043" t="s">
        <v>204</v>
      </c>
      <c r="H37" s="1043" t="s">
        <v>204</v>
      </c>
      <c r="I37" s="1043" t="s">
        <v>204</v>
      </c>
      <c r="J37" s="1043" t="s">
        <v>204</v>
      </c>
      <c r="K37" s="1043" t="s">
        <v>204</v>
      </c>
      <c r="L37" s="1347" t="s">
        <v>204</v>
      </c>
    </row>
    <row r="38" s="400" customFormat="true" ht="10.5" hidden="false" customHeight="true" outlineLevel="0" collapsed="false">
      <c r="A38" s="1212"/>
      <c r="B38" s="461" t="s">
        <v>2372</v>
      </c>
      <c r="C38" s="461" t="s">
        <v>2373</v>
      </c>
      <c r="D38" s="883" t="s">
        <v>204</v>
      </c>
      <c r="E38" s="883" t="n">
        <v>7.55</v>
      </c>
      <c r="F38" s="883" t="n">
        <v>9</v>
      </c>
      <c r="G38" s="883" t="s">
        <v>204</v>
      </c>
      <c r="H38" s="883" t="s">
        <v>204</v>
      </c>
      <c r="I38" s="883" t="n">
        <v>9.42</v>
      </c>
      <c r="J38" s="883" t="s">
        <v>204</v>
      </c>
      <c r="K38" s="883" t="s">
        <v>204</v>
      </c>
      <c r="L38" s="148" t="s">
        <v>204</v>
      </c>
    </row>
    <row r="39" s="400" customFormat="true" ht="10.5" hidden="false" customHeight="true" outlineLevel="0" collapsed="false">
      <c r="A39" s="1381"/>
      <c r="B39" s="464" t="s">
        <v>2374</v>
      </c>
      <c r="C39" s="464" t="s">
        <v>2375</v>
      </c>
      <c r="D39" s="1043" t="s">
        <v>204</v>
      </c>
      <c r="E39" s="1043" t="s">
        <v>204</v>
      </c>
      <c r="F39" s="1043" t="s">
        <v>204</v>
      </c>
      <c r="G39" s="1043" t="n">
        <v>13.5</v>
      </c>
      <c r="H39" s="1043" t="s">
        <v>204</v>
      </c>
      <c r="I39" s="1043" t="s">
        <v>204</v>
      </c>
      <c r="J39" s="1043" t="s">
        <v>204</v>
      </c>
      <c r="K39" s="1043" t="s">
        <v>204</v>
      </c>
      <c r="L39" s="1347" t="s">
        <v>204</v>
      </c>
    </row>
    <row r="40" s="400" customFormat="true" ht="10.5" hidden="false" customHeight="true" outlineLevel="0" collapsed="false">
      <c r="A40" s="1212"/>
      <c r="B40" s="461" t="s">
        <v>2376</v>
      </c>
      <c r="C40" s="461" t="s">
        <v>2377</v>
      </c>
      <c r="D40" s="883" t="s">
        <v>204</v>
      </c>
      <c r="E40" s="883" t="s">
        <v>204</v>
      </c>
      <c r="F40" s="883" t="n">
        <v>9</v>
      </c>
      <c r="G40" s="883" t="n">
        <v>8.5</v>
      </c>
      <c r="H40" s="883" t="n">
        <v>7.25</v>
      </c>
      <c r="I40" s="883" t="s">
        <v>204</v>
      </c>
      <c r="J40" s="883" t="s">
        <v>204</v>
      </c>
      <c r="K40" s="883" t="n">
        <v>8.46</v>
      </c>
      <c r="L40" s="148" t="s">
        <v>204</v>
      </c>
    </row>
    <row r="41" s="400" customFormat="true" ht="10.5" hidden="false" customHeight="true" outlineLevel="0" collapsed="false">
      <c r="A41" s="1381"/>
      <c r="B41" s="464" t="s">
        <v>2378</v>
      </c>
      <c r="C41" s="464" t="s">
        <v>2379</v>
      </c>
      <c r="D41" s="1043" t="s">
        <v>204</v>
      </c>
      <c r="E41" s="1043" t="s">
        <v>204</v>
      </c>
      <c r="F41" s="1043" t="s">
        <v>204</v>
      </c>
      <c r="G41" s="1043" t="n">
        <v>9.5</v>
      </c>
      <c r="H41" s="1043" t="s">
        <v>204</v>
      </c>
      <c r="I41" s="1043" t="s">
        <v>204</v>
      </c>
      <c r="J41" s="1043" t="n">
        <v>4</v>
      </c>
      <c r="K41" s="1043" t="s">
        <v>204</v>
      </c>
      <c r="L41" s="1347" t="s">
        <v>204</v>
      </c>
    </row>
    <row r="42" s="400" customFormat="true" ht="10.5" hidden="false" customHeight="true" outlineLevel="0" collapsed="false">
      <c r="A42" s="1212"/>
      <c r="B42" s="461" t="s">
        <v>2380</v>
      </c>
      <c r="C42" s="461" t="s">
        <v>2381</v>
      </c>
      <c r="D42" s="883" t="n">
        <v>8.02</v>
      </c>
      <c r="E42" s="883" t="n">
        <v>7.55</v>
      </c>
      <c r="F42" s="883" t="n">
        <v>9</v>
      </c>
      <c r="G42" s="883" t="s">
        <v>204</v>
      </c>
      <c r="H42" s="883" t="s">
        <v>204</v>
      </c>
      <c r="I42" s="883" t="n">
        <v>9.45</v>
      </c>
      <c r="J42" s="883" t="s">
        <v>204</v>
      </c>
      <c r="K42" s="883" t="n">
        <v>8.08</v>
      </c>
      <c r="L42" s="148" t="s">
        <v>204</v>
      </c>
    </row>
    <row r="43" s="400" customFormat="true" ht="10.5" hidden="false" customHeight="true" outlineLevel="0" collapsed="false">
      <c r="A43" s="1381"/>
      <c r="B43" s="464" t="s">
        <v>2382</v>
      </c>
      <c r="C43" s="464" t="s">
        <v>2383</v>
      </c>
      <c r="D43" s="1043" t="n">
        <v>7.06</v>
      </c>
      <c r="E43" s="1043" t="n">
        <v>7.55</v>
      </c>
      <c r="F43" s="1043" t="n">
        <v>8.75</v>
      </c>
      <c r="G43" s="1043" t="s">
        <v>204</v>
      </c>
      <c r="H43" s="1043" t="s">
        <v>204</v>
      </c>
      <c r="I43" s="1043" t="n">
        <v>8.17</v>
      </c>
      <c r="J43" s="1043" t="s">
        <v>204</v>
      </c>
      <c r="K43" s="1043" t="n">
        <v>8.27</v>
      </c>
      <c r="L43" s="1347" t="s">
        <v>204</v>
      </c>
    </row>
    <row r="44" s="400" customFormat="true" ht="10.5" hidden="false" customHeight="true" outlineLevel="0" collapsed="false">
      <c r="A44" s="1212"/>
      <c r="B44" s="1384" t="s">
        <v>2384</v>
      </c>
      <c r="C44" s="863" t="s">
        <v>2385</v>
      </c>
      <c r="D44" s="1383" t="n">
        <v>7.57</v>
      </c>
      <c r="E44" s="1383" t="n">
        <v>7.55</v>
      </c>
      <c r="F44" s="1383" t="s">
        <v>204</v>
      </c>
      <c r="G44" s="1383" t="s">
        <v>204</v>
      </c>
      <c r="H44" s="1383" t="s">
        <v>204</v>
      </c>
      <c r="I44" s="1383" t="s">
        <v>204</v>
      </c>
      <c r="J44" s="1383" t="s">
        <v>204</v>
      </c>
      <c r="K44" s="1383" t="n">
        <v>7.26</v>
      </c>
      <c r="L44" s="148" t="s">
        <v>204</v>
      </c>
    </row>
    <row r="45" s="400" customFormat="true" ht="10.5" hidden="false" customHeight="true" outlineLevel="0" collapsed="false">
      <c r="A45" s="1381"/>
      <c r="B45" s="1385" t="s">
        <v>2386</v>
      </c>
      <c r="C45" s="1386" t="s">
        <v>2387</v>
      </c>
      <c r="D45" s="1373" t="n">
        <v>7.06</v>
      </c>
      <c r="E45" s="1373" t="n">
        <v>7.55</v>
      </c>
      <c r="F45" s="1373" t="n">
        <v>8.5</v>
      </c>
      <c r="G45" s="1373" t="s">
        <v>204</v>
      </c>
      <c r="H45" s="1373" t="s">
        <v>204</v>
      </c>
      <c r="I45" s="1373" t="n">
        <v>9.98</v>
      </c>
      <c r="J45" s="1373" t="s">
        <v>204</v>
      </c>
      <c r="K45" s="1373" t="n">
        <v>7.26</v>
      </c>
      <c r="L45" s="1347" t="n">
        <v>8.17</v>
      </c>
    </row>
    <row r="46" s="400" customFormat="true" ht="10.5" hidden="false" customHeight="true" outlineLevel="0" collapsed="false">
      <c r="A46" s="1212"/>
      <c r="B46" s="1387" t="s">
        <v>2388</v>
      </c>
      <c r="C46" s="461" t="s">
        <v>2389</v>
      </c>
      <c r="D46" s="883" t="s">
        <v>204</v>
      </c>
      <c r="E46" s="883" t="n">
        <v>7.55</v>
      </c>
      <c r="F46" s="883" t="n">
        <v>8.5</v>
      </c>
      <c r="G46" s="883" t="s">
        <v>204</v>
      </c>
      <c r="H46" s="883" t="s">
        <v>204</v>
      </c>
      <c r="I46" s="883" t="n">
        <v>9.02</v>
      </c>
      <c r="J46" s="883" t="s">
        <v>204</v>
      </c>
      <c r="K46" s="883" t="s">
        <v>204</v>
      </c>
      <c r="L46" s="1388" t="n">
        <v>10.22</v>
      </c>
    </row>
    <row r="47" s="520" customFormat="true" ht="10.5" hidden="false" customHeight="true" outlineLevel="0" collapsed="false">
      <c r="A47" s="1371" t="s">
        <v>2390</v>
      </c>
      <c r="B47" s="1372" t="s">
        <v>2391</v>
      </c>
      <c r="C47" s="1372"/>
      <c r="D47" s="1043" t="n">
        <v>5.26</v>
      </c>
      <c r="E47" s="1043" t="n">
        <v>3.28</v>
      </c>
      <c r="F47" s="1043" t="s">
        <v>204</v>
      </c>
      <c r="G47" s="1043" t="n">
        <v>4.5</v>
      </c>
      <c r="H47" s="1043" t="n">
        <v>2.99</v>
      </c>
      <c r="I47" s="1043" t="n">
        <v>6.52</v>
      </c>
      <c r="J47" s="1043" t="n">
        <v>2</v>
      </c>
      <c r="K47" s="1043" t="n">
        <v>3.92</v>
      </c>
      <c r="L47" s="1259" t="s">
        <v>204</v>
      </c>
    </row>
    <row r="48" s="400" customFormat="true" ht="10.5" hidden="false" customHeight="true" outlineLevel="0" collapsed="false">
      <c r="A48" s="1389" t="s">
        <v>2392</v>
      </c>
      <c r="B48" s="1390" t="s">
        <v>2393</v>
      </c>
      <c r="C48" s="1390"/>
      <c r="D48" s="883"/>
      <c r="E48" s="883"/>
      <c r="F48" s="883"/>
      <c r="G48" s="883"/>
      <c r="H48" s="883"/>
      <c r="I48" s="883"/>
      <c r="J48" s="883"/>
      <c r="K48" s="883"/>
      <c r="L48" s="148"/>
    </row>
    <row r="49" s="400" customFormat="true" ht="10.5" hidden="false" customHeight="true" outlineLevel="0" collapsed="false">
      <c r="A49" s="1381"/>
      <c r="B49" s="464" t="s">
        <v>1129</v>
      </c>
      <c r="C49" s="464" t="s">
        <v>2394</v>
      </c>
      <c r="D49" s="1043"/>
      <c r="E49" s="1043"/>
      <c r="F49" s="1373"/>
      <c r="G49" s="1043"/>
      <c r="H49" s="1043"/>
      <c r="I49" s="1043"/>
      <c r="J49" s="1043"/>
      <c r="K49" s="1043"/>
      <c r="L49" s="1347"/>
    </row>
    <row r="50" s="400" customFormat="true" ht="10.5" hidden="false" customHeight="true" outlineLevel="0" collapsed="false">
      <c r="A50" s="1212"/>
      <c r="B50" s="461"/>
      <c r="C50" s="461" t="s">
        <v>2395</v>
      </c>
      <c r="D50" s="883" t="n">
        <v>8.02</v>
      </c>
      <c r="E50" s="883" t="n">
        <v>7.55</v>
      </c>
      <c r="F50" s="1383" t="s">
        <v>204</v>
      </c>
      <c r="G50" s="883" t="n">
        <v>8.5</v>
      </c>
      <c r="H50" s="883" t="n">
        <v>6.97</v>
      </c>
      <c r="I50" s="883" t="s">
        <v>204</v>
      </c>
      <c r="J50" s="883" t="s">
        <v>204</v>
      </c>
      <c r="K50" s="883" t="s">
        <v>204</v>
      </c>
      <c r="L50" s="148" t="n">
        <v>10.88</v>
      </c>
    </row>
    <row r="51" s="400" customFormat="true" ht="10.5" hidden="false" customHeight="true" outlineLevel="0" collapsed="false">
      <c r="A51" s="1381"/>
      <c r="B51" s="464"/>
      <c r="C51" s="464" t="s">
        <v>2396</v>
      </c>
      <c r="D51" s="1043" t="n">
        <v>8.34</v>
      </c>
      <c r="E51" s="1043" t="n">
        <v>7.55</v>
      </c>
      <c r="F51" s="1373" t="s">
        <v>204</v>
      </c>
      <c r="G51" s="1043" t="s">
        <v>204</v>
      </c>
      <c r="H51" s="1043" t="n">
        <v>9.06</v>
      </c>
      <c r="I51" s="1043" t="s">
        <v>204</v>
      </c>
      <c r="J51" s="1043" t="s">
        <v>204</v>
      </c>
      <c r="K51" s="1043" t="s">
        <v>204</v>
      </c>
      <c r="L51" s="1347" t="s">
        <v>204</v>
      </c>
    </row>
    <row r="52" s="400" customFormat="true" ht="10.5" hidden="false" customHeight="true" outlineLevel="0" collapsed="false">
      <c r="A52" s="1212"/>
      <c r="B52" s="461"/>
      <c r="C52" s="461" t="s">
        <v>2397</v>
      </c>
      <c r="D52" s="883" t="s">
        <v>204</v>
      </c>
      <c r="E52" s="883" t="n">
        <v>7.55</v>
      </c>
      <c r="F52" s="1383" t="s">
        <v>204</v>
      </c>
      <c r="G52" s="883" t="s">
        <v>204</v>
      </c>
      <c r="H52" s="883" t="s">
        <v>204</v>
      </c>
      <c r="I52" s="883" t="s">
        <v>204</v>
      </c>
      <c r="J52" s="883" t="s">
        <v>204</v>
      </c>
      <c r="K52" s="883" t="s">
        <v>204</v>
      </c>
      <c r="L52" s="148" t="s">
        <v>204</v>
      </c>
    </row>
    <row r="53" s="400" customFormat="true" ht="10.5" hidden="false" customHeight="true" outlineLevel="0" collapsed="false">
      <c r="A53" s="1381"/>
      <c r="B53" s="1376" t="s">
        <v>1562</v>
      </c>
      <c r="C53" s="464" t="s">
        <v>2398</v>
      </c>
      <c r="D53" s="1043" t="s">
        <v>204</v>
      </c>
      <c r="E53" s="1043" t="n">
        <v>6.57</v>
      </c>
      <c r="F53" s="1043" t="n">
        <v>9</v>
      </c>
      <c r="G53" s="1043" t="n">
        <v>9.5</v>
      </c>
      <c r="H53" s="1043" t="s">
        <v>204</v>
      </c>
      <c r="I53" s="1043" t="n">
        <v>9.48</v>
      </c>
      <c r="J53" s="1043" t="s">
        <v>204</v>
      </c>
      <c r="K53" s="1043" t="n">
        <v>6.95</v>
      </c>
      <c r="L53" s="1347" t="s">
        <v>204</v>
      </c>
    </row>
    <row r="54" s="1393" customFormat="true" ht="15" hidden="false" customHeight="true" outlineLevel="0" collapsed="false">
      <c r="A54" s="1180"/>
      <c r="B54" s="1391" t="s">
        <v>1527</v>
      </c>
      <c r="C54" s="1391" t="s">
        <v>2399</v>
      </c>
      <c r="D54" s="1392" t="n">
        <v>8.66</v>
      </c>
      <c r="E54" s="1392" t="n">
        <v>7.55</v>
      </c>
      <c r="F54" s="1392" t="n">
        <v>9</v>
      </c>
      <c r="G54" s="1392" t="s">
        <v>204</v>
      </c>
      <c r="H54" s="1392" t="n">
        <v>7.47</v>
      </c>
      <c r="I54" s="1392" t="s">
        <v>204</v>
      </c>
      <c r="J54" s="1392" t="s">
        <v>204</v>
      </c>
      <c r="K54" s="1392" t="n">
        <v>7.51</v>
      </c>
      <c r="L54" s="859" t="s">
        <v>204</v>
      </c>
    </row>
    <row r="55" s="737" customFormat="true" ht="9.75" hidden="false" customHeight="true" outlineLevel="0" collapsed="false">
      <c r="A55" s="894" t="s">
        <v>2400</v>
      </c>
      <c r="B55" s="894"/>
      <c r="C55" s="894"/>
      <c r="D55" s="894"/>
      <c r="E55" s="1394"/>
      <c r="F55" s="1394"/>
      <c r="G55" s="1394"/>
      <c r="H55" s="1394"/>
      <c r="I55" s="1394"/>
      <c r="J55" s="1394"/>
      <c r="K55" s="1394"/>
    </row>
    <row r="56" s="107" customFormat="true" ht="9" hidden="false" customHeight="true" outlineLevel="0" collapsed="false">
      <c r="A56" s="221"/>
      <c r="C56" s="421" t="s">
        <v>2401</v>
      </c>
      <c r="D56" s="155"/>
      <c r="E56" s="155"/>
      <c r="F56" s="155"/>
      <c r="G56" s="155"/>
      <c r="H56" s="155"/>
      <c r="I56" s="155"/>
      <c r="J56" s="155"/>
      <c r="K56" s="155"/>
    </row>
  </sheetData>
  <mergeCells count="11">
    <mergeCell ref="B1:J1"/>
    <mergeCell ref="K1:L1"/>
    <mergeCell ref="J2:L2"/>
    <mergeCell ref="A3:C3"/>
    <mergeCell ref="B4:C4"/>
    <mergeCell ref="B5:C5"/>
    <mergeCell ref="B12:C12"/>
    <mergeCell ref="B16:C16"/>
    <mergeCell ref="B47:C47"/>
    <mergeCell ref="B48:C48"/>
    <mergeCell ref="A55:D55"/>
  </mergeCells>
  <printOptions headings="false" gridLines="false" gridLinesSet="true" horizontalCentered="false" verticalCentered="false"/>
  <pageMargins left="0.315277777777778" right="0.315277777777778" top="0.354166666666667" bottom="0.157638888888889" header="0.511805555555555" footer="0.39375"/>
  <pageSetup paperSize="1" scale="100" firstPageNumber="74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>&amp;C&amp;"Times New Roman,Regular"&amp;8&amp;P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8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1" ySplit="5" topLeftCell="B42" activePane="bottomRight" state="frozen"/>
      <selection pane="topLeft" activeCell="A1" activeCellId="0" sqref="A1"/>
      <selection pane="topRight" activeCell="B1" activeCellId="0" sqref="B1"/>
      <selection pane="bottomLeft" activeCell="A42" activeCellId="0" sqref="A42"/>
      <selection pane="bottomRight" activeCell="G58" activeCellId="0" sqref="G58"/>
    </sheetView>
  </sheetViews>
  <sheetFormatPr defaultColWidth="9.15625" defaultRowHeight="11.25" zeroHeight="false" outlineLevelRow="0" outlineLevelCol="0"/>
  <cols>
    <col collapsed="false" customWidth="true" hidden="false" outlineLevel="0" max="1" min="1" style="730" width="7.71"/>
    <col collapsed="false" customWidth="true" hidden="false" outlineLevel="0" max="2" min="2" style="107" width="5.7"/>
    <col collapsed="false" customWidth="true" hidden="false" outlineLevel="0" max="3" min="3" style="107" width="6.28"/>
    <col collapsed="false" customWidth="true" hidden="false" outlineLevel="0" max="4" min="4" style="107" width="5.28"/>
    <col collapsed="false" customWidth="true" hidden="false" outlineLevel="0" max="5" min="5" style="107" width="5.57"/>
    <col collapsed="false" customWidth="true" hidden="false" outlineLevel="0" max="7" min="6" style="107" width="6.01"/>
    <col collapsed="false" customWidth="true" hidden="false" outlineLevel="0" max="8" min="8" style="107" width="5.86"/>
    <col collapsed="false" customWidth="true" hidden="false" outlineLevel="0" max="9" min="9" style="107" width="6.01"/>
    <col collapsed="false" customWidth="true" hidden="false" outlineLevel="0" max="10" min="10" style="107" width="5.57"/>
    <col collapsed="false" customWidth="true" hidden="false" outlineLevel="0" max="11" min="11" style="107" width="6.01"/>
    <col collapsed="false" customWidth="true" hidden="false" outlineLevel="0" max="12" min="12" style="107" width="7.57"/>
    <col collapsed="false" customWidth="true" hidden="false" outlineLevel="0" max="13" min="13" style="107" width="5.28"/>
    <col collapsed="false" customWidth="true" hidden="false" outlineLevel="0" max="14" min="14" style="730" width="8"/>
    <col collapsed="false" customWidth="true" hidden="false" outlineLevel="0" max="15" min="15" style="107" width="5.43"/>
    <col collapsed="false" customWidth="true" hidden="false" outlineLevel="0" max="16" min="16" style="107" width="6.15"/>
    <col collapsed="false" customWidth="true" hidden="false" outlineLevel="0" max="17" min="17" style="107" width="5.28"/>
    <col collapsed="false" customWidth="true" hidden="false" outlineLevel="0" max="18" min="18" style="107" width="5.7"/>
    <col collapsed="false" customWidth="true" hidden="false" outlineLevel="0" max="19" min="19" style="107" width="6.15"/>
    <col collapsed="false" customWidth="true" hidden="false" outlineLevel="0" max="20" min="20" style="107" width="5.57"/>
    <col collapsed="false" customWidth="true" hidden="false" outlineLevel="0" max="21" min="21" style="107" width="5.43"/>
    <col collapsed="false" customWidth="true" hidden="false" outlineLevel="0" max="22" min="22" style="107" width="6.57"/>
    <col collapsed="false" customWidth="true" hidden="false" outlineLevel="0" max="23" min="23" style="107" width="5.86"/>
    <col collapsed="false" customWidth="true" hidden="false" outlineLevel="0" max="24" min="24" style="107" width="6.01"/>
    <col collapsed="false" customWidth="true" hidden="false" outlineLevel="0" max="25" min="25" style="107" width="6.42"/>
    <col collapsed="false" customWidth="true" hidden="false" outlineLevel="0" max="26" min="26" style="107" width="6.01"/>
    <col collapsed="false" customWidth="true" hidden="false" outlineLevel="0" max="27" min="27" style="730" width="7.86"/>
    <col collapsed="false" customWidth="true" hidden="false" outlineLevel="0" max="29" min="28" style="107" width="6.01"/>
    <col collapsed="false" customWidth="true" hidden="false" outlineLevel="0" max="30" min="30" style="107" width="5.7"/>
    <col collapsed="false" customWidth="true" hidden="false" outlineLevel="0" max="31" min="31" style="107" width="5.86"/>
    <col collapsed="false" customWidth="true" hidden="false" outlineLevel="0" max="32" min="32" style="107" width="6.42"/>
    <col collapsed="false" customWidth="true" hidden="false" outlineLevel="0" max="33" min="33" style="107" width="5.43"/>
    <col collapsed="false" customWidth="true" hidden="false" outlineLevel="0" max="34" min="34" style="107" width="5.86"/>
    <col collapsed="false" customWidth="true" hidden="false" outlineLevel="0" max="35" min="35" style="107" width="6.28"/>
    <col collapsed="false" customWidth="true" hidden="false" outlineLevel="0" max="36" min="36" style="107" width="5.86"/>
    <col collapsed="false" customWidth="true" hidden="false" outlineLevel="0" max="37" min="37" style="107" width="5.57"/>
    <col collapsed="false" customWidth="true" hidden="false" outlineLevel="0" max="39" min="38" style="107" width="6.01"/>
    <col collapsed="false" customWidth="false" hidden="false" outlineLevel="0" max="1024" min="40" style="107" width="9.14"/>
  </cols>
  <sheetData>
    <row r="1" s="747" customFormat="true" ht="35.25" hidden="false" customHeight="true" outlineLevel="0" collapsed="false">
      <c r="B1" s="1395" t="s">
        <v>2402</v>
      </c>
      <c r="C1" s="1395"/>
      <c r="D1" s="1395"/>
      <c r="E1" s="1395"/>
      <c r="F1" s="1395"/>
      <c r="G1" s="1395"/>
      <c r="H1" s="1395"/>
      <c r="I1" s="1395"/>
      <c r="J1" s="1396"/>
      <c r="K1" s="1397" t="s">
        <v>2403</v>
      </c>
      <c r="L1" s="1397"/>
      <c r="M1" s="1397"/>
      <c r="O1" s="1395" t="s">
        <v>2404</v>
      </c>
      <c r="P1" s="1395"/>
      <c r="Q1" s="1395"/>
      <c r="R1" s="1395"/>
      <c r="S1" s="1395"/>
      <c r="T1" s="1395"/>
      <c r="U1" s="1395"/>
      <c r="V1" s="1395"/>
      <c r="W1" s="1396"/>
      <c r="X1" s="1397" t="s">
        <v>2403</v>
      </c>
      <c r="Y1" s="1397"/>
      <c r="Z1" s="1397"/>
      <c r="AB1" s="1395" t="s">
        <v>2405</v>
      </c>
      <c r="AC1" s="1395"/>
      <c r="AD1" s="1395"/>
      <c r="AE1" s="1395"/>
      <c r="AF1" s="1395"/>
      <c r="AG1" s="1395"/>
      <c r="AH1" s="1395"/>
      <c r="AI1" s="1395"/>
      <c r="AJ1" s="1396"/>
      <c r="AK1" s="1397" t="s">
        <v>2406</v>
      </c>
      <c r="AL1" s="1397"/>
      <c r="AM1" s="1397"/>
    </row>
    <row r="2" s="747" customFormat="true" ht="12" hidden="false" customHeight="true" outlineLevel="0" collapsed="false">
      <c r="B2" s="1035"/>
      <c r="C2" s="1035"/>
      <c r="D2" s="1035"/>
      <c r="E2" s="1035"/>
      <c r="F2" s="1035"/>
      <c r="G2" s="1035"/>
      <c r="H2" s="1035"/>
      <c r="I2" s="1035"/>
      <c r="J2" s="1035"/>
      <c r="K2" s="873" t="s">
        <v>2113</v>
      </c>
      <c r="L2" s="873"/>
      <c r="M2" s="873"/>
      <c r="N2" s="832"/>
      <c r="O2" s="832"/>
      <c r="P2" s="832"/>
      <c r="Q2" s="832"/>
      <c r="R2" s="832"/>
      <c r="S2" s="832"/>
      <c r="T2" s="832"/>
      <c r="U2" s="832"/>
      <c r="V2" s="832"/>
      <c r="W2" s="832"/>
      <c r="X2" s="1398" t="s">
        <v>2113</v>
      </c>
      <c r="Y2" s="1398"/>
      <c r="Z2" s="1398"/>
      <c r="AK2" s="1398" t="s">
        <v>2113</v>
      </c>
      <c r="AL2" s="1398"/>
      <c r="AM2" s="1398"/>
    </row>
    <row r="3" customFormat="false" ht="12.75" hidden="false" customHeight="true" outlineLevel="0" collapsed="false">
      <c r="A3" s="760" t="s">
        <v>260</v>
      </c>
      <c r="B3" s="760" t="s">
        <v>2407</v>
      </c>
      <c r="C3" s="760"/>
      <c r="D3" s="760"/>
      <c r="E3" s="760"/>
      <c r="F3" s="760"/>
      <c r="G3" s="760"/>
      <c r="H3" s="760"/>
      <c r="I3" s="760"/>
      <c r="J3" s="760"/>
      <c r="K3" s="760"/>
      <c r="L3" s="760"/>
      <c r="M3" s="760"/>
      <c r="N3" s="760" t="s">
        <v>260</v>
      </c>
      <c r="O3" s="760" t="s">
        <v>2407</v>
      </c>
      <c r="P3" s="760"/>
      <c r="Q3" s="760"/>
      <c r="R3" s="760"/>
      <c r="S3" s="760"/>
      <c r="T3" s="760"/>
      <c r="U3" s="760"/>
      <c r="V3" s="760"/>
      <c r="W3" s="760"/>
      <c r="X3" s="760"/>
      <c r="Y3" s="760"/>
      <c r="Z3" s="760"/>
      <c r="AA3" s="760" t="s">
        <v>260</v>
      </c>
      <c r="AB3" s="760" t="s">
        <v>2407</v>
      </c>
      <c r="AC3" s="760"/>
      <c r="AD3" s="760"/>
      <c r="AE3" s="760"/>
      <c r="AF3" s="760"/>
      <c r="AG3" s="760"/>
      <c r="AH3" s="760"/>
      <c r="AI3" s="760"/>
      <c r="AJ3" s="760"/>
      <c r="AK3" s="760"/>
      <c r="AL3" s="760"/>
      <c r="AM3" s="760"/>
    </row>
    <row r="4" s="166" customFormat="true" ht="12.75" hidden="false" customHeight="true" outlineLevel="0" collapsed="false">
      <c r="A4" s="760"/>
      <c r="B4" s="756" t="s">
        <v>2336</v>
      </c>
      <c r="C4" s="756"/>
      <c r="D4" s="756"/>
      <c r="E4" s="758" t="s">
        <v>2334</v>
      </c>
      <c r="F4" s="758"/>
      <c r="G4" s="758"/>
      <c r="H4" s="758" t="s">
        <v>2333</v>
      </c>
      <c r="I4" s="758"/>
      <c r="J4" s="758"/>
      <c r="K4" s="758" t="s">
        <v>2332</v>
      </c>
      <c r="L4" s="758"/>
      <c r="M4" s="758"/>
      <c r="N4" s="760"/>
      <c r="O4" s="758" t="s">
        <v>2336</v>
      </c>
      <c r="P4" s="758"/>
      <c r="Q4" s="758"/>
      <c r="R4" s="758" t="s">
        <v>2334</v>
      </c>
      <c r="S4" s="758"/>
      <c r="T4" s="758"/>
      <c r="U4" s="758" t="s">
        <v>2333</v>
      </c>
      <c r="V4" s="758"/>
      <c r="W4" s="758"/>
      <c r="X4" s="758" t="s">
        <v>2332</v>
      </c>
      <c r="Y4" s="758"/>
      <c r="Z4" s="758"/>
      <c r="AA4" s="760"/>
      <c r="AB4" s="758" t="s">
        <v>2336</v>
      </c>
      <c r="AC4" s="758"/>
      <c r="AD4" s="758"/>
      <c r="AE4" s="758" t="s">
        <v>2334</v>
      </c>
      <c r="AF4" s="758"/>
      <c r="AG4" s="758"/>
      <c r="AH4" s="758" t="s">
        <v>2333</v>
      </c>
      <c r="AI4" s="758"/>
      <c r="AJ4" s="758"/>
      <c r="AK4" s="758" t="s">
        <v>2332</v>
      </c>
      <c r="AL4" s="758"/>
      <c r="AM4" s="758"/>
    </row>
    <row r="5" s="166" customFormat="true" ht="22.5" hidden="false" customHeight="true" outlineLevel="0" collapsed="false">
      <c r="A5" s="760"/>
      <c r="B5" s="756" t="s">
        <v>2408</v>
      </c>
      <c r="C5" s="764" t="s">
        <v>2409</v>
      </c>
      <c r="D5" s="1399" t="s">
        <v>2410</v>
      </c>
      <c r="E5" s="756" t="s">
        <v>2408</v>
      </c>
      <c r="F5" s="758" t="s">
        <v>2409</v>
      </c>
      <c r="G5" s="1399" t="s">
        <v>2410</v>
      </c>
      <c r="H5" s="756" t="s">
        <v>2408</v>
      </c>
      <c r="I5" s="758" t="s">
        <v>2409</v>
      </c>
      <c r="J5" s="1399" t="s">
        <v>2410</v>
      </c>
      <c r="K5" s="756" t="s">
        <v>2408</v>
      </c>
      <c r="L5" s="758" t="s">
        <v>2409</v>
      </c>
      <c r="M5" s="1399" t="s">
        <v>2410</v>
      </c>
      <c r="N5" s="760"/>
      <c r="O5" s="756" t="s">
        <v>2408</v>
      </c>
      <c r="P5" s="758" t="s">
        <v>2409</v>
      </c>
      <c r="Q5" s="1399" t="s">
        <v>2410</v>
      </c>
      <c r="R5" s="756" t="s">
        <v>2408</v>
      </c>
      <c r="S5" s="758" t="s">
        <v>2409</v>
      </c>
      <c r="T5" s="1399" t="s">
        <v>2410</v>
      </c>
      <c r="U5" s="756" t="s">
        <v>2408</v>
      </c>
      <c r="V5" s="758" t="s">
        <v>2409</v>
      </c>
      <c r="W5" s="1399" t="s">
        <v>2410</v>
      </c>
      <c r="X5" s="756" t="s">
        <v>2408</v>
      </c>
      <c r="Y5" s="758" t="s">
        <v>2409</v>
      </c>
      <c r="Z5" s="1399" t="s">
        <v>2410</v>
      </c>
      <c r="AA5" s="760"/>
      <c r="AB5" s="756" t="s">
        <v>2408</v>
      </c>
      <c r="AC5" s="758" t="s">
        <v>2409</v>
      </c>
      <c r="AD5" s="1399" t="s">
        <v>2410</v>
      </c>
      <c r="AE5" s="756" t="s">
        <v>2408</v>
      </c>
      <c r="AF5" s="758" t="s">
        <v>2409</v>
      </c>
      <c r="AG5" s="1399" t="s">
        <v>2410</v>
      </c>
      <c r="AH5" s="756" t="s">
        <v>2408</v>
      </c>
      <c r="AI5" s="758" t="s">
        <v>2409</v>
      </c>
      <c r="AJ5" s="1399" t="s">
        <v>2410</v>
      </c>
      <c r="AK5" s="756" t="s">
        <v>2408</v>
      </c>
      <c r="AL5" s="758" t="s">
        <v>2409</v>
      </c>
      <c r="AM5" s="1399" t="s">
        <v>2410</v>
      </c>
    </row>
    <row r="6" s="787" customFormat="true" ht="10.7" hidden="false" customHeight="true" outlineLevel="0" collapsed="false">
      <c r="A6" s="461" t="s">
        <v>203</v>
      </c>
      <c r="B6" s="883" t="n">
        <v>0.160833333333333</v>
      </c>
      <c r="C6" s="883" t="n">
        <v>0.211666666666667</v>
      </c>
      <c r="D6" s="160" t="n">
        <v>0.1375</v>
      </c>
      <c r="E6" s="883" t="n">
        <v>0.330833333333333</v>
      </c>
      <c r="F6" s="883" t="n">
        <v>0.33</v>
      </c>
      <c r="G6" s="160" t="n">
        <v>0.339166666666667</v>
      </c>
      <c r="H6" s="883" t="n">
        <v>0.555833333333333</v>
      </c>
      <c r="I6" s="883" t="n">
        <v>0.45</v>
      </c>
      <c r="J6" s="160" t="n">
        <v>0.616666666666667</v>
      </c>
      <c r="K6" s="883" t="n">
        <v>0.89</v>
      </c>
      <c r="L6" s="883" t="n">
        <v>0.696666666666667</v>
      </c>
      <c r="M6" s="160" t="n">
        <v>0.769166666666667</v>
      </c>
      <c r="N6" s="461" t="s">
        <v>203</v>
      </c>
      <c r="O6" s="883" t="n">
        <v>0.195833333333333</v>
      </c>
      <c r="P6" s="883" t="n">
        <v>0.460833333333333</v>
      </c>
      <c r="Q6" s="160" t="n">
        <v>0.275</v>
      </c>
      <c r="R6" s="883" t="n">
        <v>0.25</v>
      </c>
      <c r="S6" s="883" t="n">
        <v>0.5575</v>
      </c>
      <c r="T6" s="160" t="n">
        <v>0.418333333333333</v>
      </c>
      <c r="U6" s="883" t="n">
        <v>0.404166666666667</v>
      </c>
      <c r="V6" s="883" t="n">
        <v>0.6025</v>
      </c>
      <c r="W6" s="160" t="n">
        <v>0.5275</v>
      </c>
      <c r="X6" s="883" t="n">
        <v>0.790833333333333</v>
      </c>
      <c r="Y6" s="883" t="n">
        <v>0.7875</v>
      </c>
      <c r="Z6" s="160" t="n">
        <v>0.700833333333333</v>
      </c>
      <c r="AA6" s="461" t="s">
        <v>203</v>
      </c>
      <c r="AB6" s="883" t="n">
        <v>0.649166666666667</v>
      </c>
      <c r="AC6" s="883" t="n">
        <v>0.125833333333333</v>
      </c>
      <c r="AD6" s="160" t="n">
        <v>0.171666666666667</v>
      </c>
      <c r="AE6" s="883" t="n">
        <v>0.800833333333333</v>
      </c>
      <c r="AF6" s="883" t="n">
        <v>0.238333333333333</v>
      </c>
      <c r="AG6" s="160" t="n">
        <v>0.304166666666667</v>
      </c>
      <c r="AH6" s="883" t="n">
        <v>0.650833333333333</v>
      </c>
      <c r="AI6" s="883" t="n">
        <v>0.349166666666667</v>
      </c>
      <c r="AJ6" s="160" t="n">
        <v>0.44</v>
      </c>
      <c r="AK6" s="883" t="n">
        <v>0.813333333333333</v>
      </c>
      <c r="AL6" s="883" t="n">
        <v>0.514166666666667</v>
      </c>
      <c r="AM6" s="160" t="n">
        <v>0.575833333333333</v>
      </c>
    </row>
    <row r="7" s="787" customFormat="true" ht="10.7" hidden="false" customHeight="true" outlineLevel="0" collapsed="false">
      <c r="A7" s="464" t="s">
        <v>205</v>
      </c>
      <c r="B7" s="1043" t="n">
        <v>0.167916666666667</v>
      </c>
      <c r="C7" s="1043" t="n">
        <v>0.247569444444444</v>
      </c>
      <c r="D7" s="172" t="n">
        <v>0.437986111111111</v>
      </c>
      <c r="E7" s="1043" t="n">
        <v>0.334444444444444</v>
      </c>
      <c r="F7" s="1043" t="n">
        <v>0.398819444444444</v>
      </c>
      <c r="G7" s="172" t="n">
        <v>0.644722222222222</v>
      </c>
      <c r="H7" s="1043" t="n">
        <v>0.50625</v>
      </c>
      <c r="I7" s="1043" t="n">
        <v>0.669236111111111</v>
      </c>
      <c r="J7" s="172" t="n">
        <v>0.942777777777778</v>
      </c>
      <c r="K7" s="1043" t="n">
        <v>0.73375</v>
      </c>
      <c r="L7" s="1043" t="n">
        <v>0.930694444444444</v>
      </c>
      <c r="M7" s="172" t="n">
        <v>1.06354166666667</v>
      </c>
      <c r="N7" s="464" t="s">
        <v>205</v>
      </c>
      <c r="O7" s="1043" t="n">
        <v>0.14</v>
      </c>
      <c r="P7" s="1043" t="n">
        <v>0.296432291666667</v>
      </c>
      <c r="Q7" s="172" t="n">
        <v>0.401458333333333</v>
      </c>
      <c r="R7" s="1043" t="n">
        <v>0.193583333333333</v>
      </c>
      <c r="S7" s="1043" t="n">
        <v>0.4185</v>
      </c>
      <c r="T7" s="172" t="n">
        <v>0.535166666666667</v>
      </c>
      <c r="U7" s="1043" t="n">
        <v>0.282666666666667</v>
      </c>
      <c r="V7" s="1043" t="n">
        <v>0.559458333333333</v>
      </c>
      <c r="W7" s="172" t="n">
        <v>0.649666666666667</v>
      </c>
      <c r="X7" s="1043" t="n">
        <v>0.567833333333333</v>
      </c>
      <c r="Y7" s="1043" t="n">
        <v>0.831666666666666</v>
      </c>
      <c r="Z7" s="172" t="n">
        <v>0.875833333333333</v>
      </c>
      <c r="AA7" s="464" t="s">
        <v>205</v>
      </c>
      <c r="AB7" s="1043" t="n">
        <v>0.755833333333333</v>
      </c>
      <c r="AC7" s="1043" t="n">
        <v>0.280833333333333</v>
      </c>
      <c r="AD7" s="172" t="n">
        <v>0.312777777777778</v>
      </c>
      <c r="AE7" s="1043" t="n">
        <v>1.09944444444444</v>
      </c>
      <c r="AF7" s="1043" t="n">
        <v>0.41625</v>
      </c>
      <c r="AG7" s="172" t="n">
        <v>0.537638888888889</v>
      </c>
      <c r="AH7" s="1043" t="n">
        <v>1.19138888888889</v>
      </c>
      <c r="AI7" s="1043" t="n">
        <v>0.509722222222222</v>
      </c>
      <c r="AJ7" s="172" t="n">
        <v>0.620972222222222</v>
      </c>
      <c r="AK7" s="1043" t="n">
        <v>0.799166666666666</v>
      </c>
      <c r="AL7" s="1043" t="n">
        <v>0.541805555555556</v>
      </c>
      <c r="AM7" s="172" t="n">
        <v>0.7925</v>
      </c>
    </row>
    <row r="8" s="787" customFormat="true" ht="10.7" hidden="false" customHeight="true" outlineLevel="0" collapsed="false">
      <c r="A8" s="461" t="s">
        <v>282</v>
      </c>
      <c r="B8" s="883" t="n">
        <v>0.169166666666667</v>
      </c>
      <c r="C8" s="883" t="n">
        <v>0.338055555555556</v>
      </c>
      <c r="D8" s="160" t="n">
        <v>0.632222222222222</v>
      </c>
      <c r="E8" s="883" t="n">
        <v>0.366666666666667</v>
      </c>
      <c r="F8" s="883" t="n">
        <v>0.630555555555556</v>
      </c>
      <c r="G8" s="160" t="n">
        <v>0.895833333333333</v>
      </c>
      <c r="H8" s="883" t="n">
        <v>0.624444444444444</v>
      </c>
      <c r="I8" s="883" t="n">
        <v>0.934444444444444</v>
      </c>
      <c r="J8" s="160" t="n">
        <v>1.14138888888889</v>
      </c>
      <c r="K8" s="883" t="n">
        <v>0.878333333333333</v>
      </c>
      <c r="L8" s="883" t="n">
        <v>1.22555555555556</v>
      </c>
      <c r="M8" s="160" t="n">
        <v>1.3675</v>
      </c>
      <c r="N8" s="461" t="s">
        <v>282</v>
      </c>
      <c r="O8" s="883" t="n">
        <v>0.1025</v>
      </c>
      <c r="P8" s="883" t="n">
        <v>0.314166666666667</v>
      </c>
      <c r="Q8" s="160" t="n">
        <v>0.571666666666667</v>
      </c>
      <c r="R8" s="883" t="n">
        <v>0.215</v>
      </c>
      <c r="S8" s="883" t="n">
        <v>0.50625</v>
      </c>
      <c r="T8" s="160" t="n">
        <v>0.72</v>
      </c>
      <c r="U8" s="883" t="n">
        <v>0.348333333333333</v>
      </c>
      <c r="V8" s="883" t="n">
        <v>0.6575</v>
      </c>
      <c r="W8" s="160" t="n">
        <v>0.81</v>
      </c>
      <c r="X8" s="883" t="n">
        <v>0.894166666666666</v>
      </c>
      <c r="Y8" s="883" t="n">
        <v>0.952333333333333</v>
      </c>
      <c r="Z8" s="160" t="n">
        <v>0.995</v>
      </c>
      <c r="AA8" s="461" t="s">
        <v>282</v>
      </c>
      <c r="AB8" s="883" t="n">
        <v>0.55875</v>
      </c>
      <c r="AC8" s="883" t="n">
        <v>0.421666666666667</v>
      </c>
      <c r="AD8" s="160" t="n">
        <v>0.5</v>
      </c>
      <c r="AE8" s="883" t="n">
        <v>1.05666666666667</v>
      </c>
      <c r="AF8" s="883" t="n">
        <v>0.655</v>
      </c>
      <c r="AG8" s="160" t="n">
        <v>0.75</v>
      </c>
      <c r="AH8" s="883" t="n">
        <v>1.42958333333333</v>
      </c>
      <c r="AI8" s="883" t="n">
        <v>0.9975</v>
      </c>
      <c r="AJ8" s="160" t="n">
        <v>0.93125</v>
      </c>
      <c r="AK8" s="883" t="n">
        <v>1.16666666666667</v>
      </c>
      <c r="AL8" s="883" t="n">
        <v>0.940833333333333</v>
      </c>
      <c r="AM8" s="160" t="n">
        <v>1.25</v>
      </c>
    </row>
    <row r="9" s="787" customFormat="true" ht="10.7" hidden="false" customHeight="true" outlineLevel="0" collapsed="false">
      <c r="A9" s="464" t="s">
        <v>207</v>
      </c>
      <c r="B9" s="1043" t="n">
        <v>0.169583333333333</v>
      </c>
      <c r="C9" s="1043" t="n">
        <v>0.219652777777778</v>
      </c>
      <c r="D9" s="172" t="n">
        <v>0.00361111111111111</v>
      </c>
      <c r="E9" s="1043" t="n">
        <v>0.198888888888889</v>
      </c>
      <c r="F9" s="1043" t="n">
        <v>0.284861111111111</v>
      </c>
      <c r="G9" s="172" t="n">
        <v>0.0508333333333333</v>
      </c>
      <c r="H9" s="1043" t="n">
        <v>0.359166666666667</v>
      </c>
      <c r="I9" s="1043" t="n">
        <v>0.443506944444445</v>
      </c>
      <c r="J9" s="172" t="n">
        <v>0.126111111111111</v>
      </c>
      <c r="K9" s="1043" t="n">
        <v>0.590208333333333</v>
      </c>
      <c r="L9" s="1043" t="n">
        <v>0.705868055555556</v>
      </c>
      <c r="M9" s="172" t="n">
        <v>0.260347222222222</v>
      </c>
      <c r="N9" s="464" t="s">
        <v>207</v>
      </c>
      <c r="O9" s="1043" t="n">
        <v>0.0920825</v>
      </c>
      <c r="P9" s="1043" t="n">
        <v>0.24228125</v>
      </c>
      <c r="Q9" s="172" t="n">
        <v>0.183729433333333</v>
      </c>
      <c r="R9" s="1043" t="n">
        <v>0.181425219291667</v>
      </c>
      <c r="S9" s="1043" t="n">
        <v>0.383971372783333</v>
      </c>
      <c r="T9" s="172" t="n">
        <v>0.293734649125</v>
      </c>
      <c r="U9" s="1043" t="n">
        <v>0.296806228066667</v>
      </c>
      <c r="V9" s="1043" t="n">
        <v>0.436827070183333</v>
      </c>
      <c r="W9" s="172" t="n">
        <v>0.386019973683333</v>
      </c>
      <c r="X9" s="1043" t="n">
        <v>0.809513289472222</v>
      </c>
      <c r="Y9" s="1043" t="n">
        <v>0.69534501315</v>
      </c>
      <c r="Z9" s="172" t="n">
        <v>0.518508184216667</v>
      </c>
      <c r="AA9" s="464" t="s">
        <v>207</v>
      </c>
      <c r="AB9" s="1043" t="n">
        <v>0.550416666666667</v>
      </c>
      <c r="AC9" s="1043" t="n">
        <v>0.39875</v>
      </c>
      <c r="AD9" s="172" t="n">
        <v>0.5</v>
      </c>
      <c r="AE9" s="1043" t="n">
        <v>1.47904166666667</v>
      </c>
      <c r="AF9" s="1043" t="n">
        <v>0.559166666666667</v>
      </c>
      <c r="AG9" s="172" t="n">
        <v>0.75</v>
      </c>
      <c r="AH9" s="1043" t="n">
        <v>1.47410416666667</v>
      </c>
      <c r="AI9" s="1043" t="n">
        <v>0.6875</v>
      </c>
      <c r="AJ9" s="172" t="n">
        <v>0.624166666666667</v>
      </c>
      <c r="AK9" s="1043" t="n">
        <v>1.29923333333333</v>
      </c>
      <c r="AL9" s="1043" t="n">
        <v>0.859166666666667</v>
      </c>
      <c r="AM9" s="172" t="n">
        <v>1.25</v>
      </c>
    </row>
    <row r="10" s="207" customFormat="true" ht="10.7" hidden="false" customHeight="true" outlineLevel="0" collapsed="false">
      <c r="A10" s="1387" t="s">
        <v>208</v>
      </c>
      <c r="B10" s="160" t="n">
        <v>0.0691666666666667</v>
      </c>
      <c r="C10" s="160" t="n">
        <v>0.212070520833333</v>
      </c>
      <c r="D10" s="160" t="n">
        <v>0.0533333333333333</v>
      </c>
      <c r="E10" s="160" t="n">
        <v>0.0488986111111111</v>
      </c>
      <c r="F10" s="160" t="n">
        <v>0.242570208333333</v>
      </c>
      <c r="G10" s="160" t="n">
        <v>0.0591666666666667</v>
      </c>
      <c r="H10" s="160" t="n">
        <v>0.103684375</v>
      </c>
      <c r="I10" s="160" t="n">
        <v>0.331078125</v>
      </c>
      <c r="J10" s="160" t="n">
        <v>0.09839375</v>
      </c>
      <c r="K10" s="160" t="n">
        <v>0.287755625</v>
      </c>
      <c r="L10" s="160" t="n">
        <v>0.5473015625</v>
      </c>
      <c r="M10" s="160" t="n">
        <v>0.191175625</v>
      </c>
      <c r="N10" s="1387" t="s">
        <v>208</v>
      </c>
      <c r="O10" s="160" t="n">
        <v>0.230602083333333</v>
      </c>
      <c r="P10" s="160" t="n">
        <v>0.287890625</v>
      </c>
      <c r="Q10" s="160" t="n">
        <v>0.1996355</v>
      </c>
      <c r="R10" s="160" t="n">
        <v>0.254833333333333</v>
      </c>
      <c r="S10" s="160" t="n">
        <v>0.415393508766667</v>
      </c>
      <c r="T10" s="160" t="n">
        <v>0.276363194444444</v>
      </c>
      <c r="U10" s="160" t="n">
        <v>0.399229166666667</v>
      </c>
      <c r="V10" s="160" t="n">
        <v>0.484615</v>
      </c>
      <c r="W10" s="160" t="n">
        <v>0.384488333333333</v>
      </c>
      <c r="X10" s="160" t="n">
        <v>0.654007638888889</v>
      </c>
      <c r="Y10" s="160" t="n">
        <v>0.805788541666667</v>
      </c>
      <c r="Z10" s="160" t="n">
        <v>0.503274166666667</v>
      </c>
      <c r="AA10" s="1387" t="s">
        <v>208</v>
      </c>
      <c r="AB10" s="160" t="n">
        <v>0.907916666666667</v>
      </c>
      <c r="AC10" s="160" t="n">
        <v>0.387083333333333</v>
      </c>
      <c r="AD10" s="160" t="n">
        <v>0.455833333333333</v>
      </c>
      <c r="AE10" s="160" t="n">
        <v>1.15583333333333</v>
      </c>
      <c r="AF10" s="160" t="n">
        <v>0.535833333333333</v>
      </c>
      <c r="AG10" s="160" t="n">
        <v>0.66</v>
      </c>
      <c r="AH10" s="160" t="n">
        <v>1.16833333333333</v>
      </c>
      <c r="AI10" s="160" t="n">
        <v>0.615833333333333</v>
      </c>
      <c r="AJ10" s="160" t="n">
        <v>0.7675</v>
      </c>
      <c r="AK10" s="160" t="n">
        <v>1.12041666666667</v>
      </c>
      <c r="AL10" s="160" t="n">
        <v>0.796041666666667</v>
      </c>
      <c r="AM10" s="160" t="n">
        <v>1.155</v>
      </c>
    </row>
    <row r="11" s="184" customFormat="true" ht="10.7" hidden="false" customHeight="true" outlineLevel="0" collapsed="false">
      <c r="A11" s="840" t="s">
        <v>209</v>
      </c>
      <c r="B11" s="1243" t="n">
        <v>0.0608333333333333</v>
      </c>
      <c r="C11" s="1243" t="n">
        <v>0.2014565555</v>
      </c>
      <c r="D11" s="1243" t="n">
        <v>0</v>
      </c>
      <c r="E11" s="1243" t="n">
        <v>0.0389530555555556</v>
      </c>
      <c r="F11" s="1243" t="n">
        <v>0.251672527833333</v>
      </c>
      <c r="G11" s="1243" t="n">
        <v>0.0175</v>
      </c>
      <c r="H11" s="1243" t="n">
        <v>0.0843533333333333</v>
      </c>
      <c r="I11" s="1243" t="n">
        <v>0.3699605555</v>
      </c>
      <c r="J11" s="1243" t="n">
        <v>0.0108333333333333</v>
      </c>
      <c r="K11" s="1243" t="n">
        <v>0.257653027833333</v>
      </c>
      <c r="L11" s="1243" t="n">
        <v>0.5778303055</v>
      </c>
      <c r="M11" s="1243" t="n">
        <v>0.0519907291666667</v>
      </c>
      <c r="N11" s="840" t="s">
        <v>209</v>
      </c>
      <c r="O11" s="1243" t="n">
        <v>0.417658549951267</v>
      </c>
      <c r="P11" s="1243" t="n">
        <v>0.427781274850218</v>
      </c>
      <c r="Q11" s="1243" t="n">
        <v>0.25705915530303</v>
      </c>
      <c r="R11" s="1243" t="n">
        <v>0.39406351697995</v>
      </c>
      <c r="S11" s="1243" t="n">
        <v>0.513864875231482</v>
      </c>
      <c r="T11" s="1243" t="n">
        <v>0.275592626295406</v>
      </c>
      <c r="U11" s="1243" t="n">
        <v>0.711165249392272</v>
      </c>
      <c r="V11" s="1243" t="n">
        <v>0.686677453968254</v>
      </c>
      <c r="W11" s="1243" t="n">
        <v>0.425058818253968</v>
      </c>
      <c r="X11" s="1243" t="n">
        <v>0.818931963519911</v>
      </c>
      <c r="Y11" s="1243" t="n">
        <v>1.05089965629085</v>
      </c>
      <c r="Z11" s="1243" t="n">
        <v>0.527047652014652</v>
      </c>
      <c r="AA11" s="840" t="s">
        <v>209</v>
      </c>
      <c r="AB11" s="1243" t="n">
        <v>1.01569288958333</v>
      </c>
      <c r="AC11" s="1243" t="n">
        <v>0.417491766666667</v>
      </c>
      <c r="AD11" s="1243" t="n">
        <v>0.463367520833333</v>
      </c>
      <c r="AE11" s="1243" t="n">
        <v>1.15421769166667</v>
      </c>
      <c r="AF11" s="1243" t="n">
        <v>0.572619666666667</v>
      </c>
      <c r="AG11" s="1243" t="n">
        <v>0.584831066666667</v>
      </c>
      <c r="AH11" s="1243" t="n">
        <v>0.767167236111111</v>
      </c>
      <c r="AI11" s="1243" t="n">
        <v>0.673244680555556</v>
      </c>
      <c r="AJ11" s="1243" t="n">
        <v>0.99</v>
      </c>
      <c r="AK11" s="1243" t="n">
        <v>0.946613913888889</v>
      </c>
      <c r="AL11" s="1243" t="n">
        <v>0.870575605555555</v>
      </c>
      <c r="AM11" s="1243" t="n">
        <v>1.08333333333333</v>
      </c>
    </row>
    <row r="12" s="184" customFormat="true" ht="10.7" hidden="false" customHeight="true" outlineLevel="0" collapsed="false">
      <c r="A12" s="842" t="s">
        <v>211</v>
      </c>
      <c r="B12" s="198" t="n">
        <v>0.1325</v>
      </c>
      <c r="C12" s="198" t="n">
        <v>0.185833333333333</v>
      </c>
      <c r="D12" s="198" t="n">
        <v>0</v>
      </c>
      <c r="E12" s="198" t="n">
        <v>0.195833333333333</v>
      </c>
      <c r="F12" s="198" t="n">
        <v>0.243333333333333</v>
      </c>
      <c r="G12" s="198" t="n">
        <v>0</v>
      </c>
      <c r="H12" s="198" t="n">
        <v>0.348333333333333</v>
      </c>
      <c r="I12" s="198" t="n">
        <v>0.368333333333333</v>
      </c>
      <c r="J12" s="198" t="n">
        <v>0</v>
      </c>
      <c r="K12" s="198" t="n">
        <v>0.534166666666667</v>
      </c>
      <c r="L12" s="198" t="n">
        <v>0.538333333333333</v>
      </c>
      <c r="M12" s="198" t="n">
        <v>0</v>
      </c>
      <c r="N12" s="842" t="s">
        <v>211</v>
      </c>
      <c r="O12" s="198" t="n">
        <v>0.439166666666667</v>
      </c>
      <c r="P12" s="198" t="n">
        <v>0.428333333333333</v>
      </c>
      <c r="Q12" s="198" t="n">
        <v>0.2975</v>
      </c>
      <c r="R12" s="198" t="n">
        <v>0.471666666666667</v>
      </c>
      <c r="S12" s="198" t="n">
        <v>0.501666666666667</v>
      </c>
      <c r="T12" s="198" t="n">
        <v>0.306666666666667</v>
      </c>
      <c r="U12" s="198" t="n">
        <v>1.10666666666667</v>
      </c>
      <c r="V12" s="198" t="n">
        <v>0.704166666666667</v>
      </c>
      <c r="W12" s="198" t="n">
        <v>0.4875</v>
      </c>
      <c r="X12" s="198" t="n">
        <v>1.18333333333333</v>
      </c>
      <c r="Y12" s="198" t="n">
        <v>0.900833333333333</v>
      </c>
      <c r="Z12" s="198" t="n">
        <v>0.5125</v>
      </c>
      <c r="AA12" s="842" t="s">
        <v>211</v>
      </c>
      <c r="AB12" s="198" t="n">
        <v>1.0275</v>
      </c>
      <c r="AC12" s="198" t="n">
        <v>0.435</v>
      </c>
      <c r="AD12" s="198" t="n">
        <v>0.516666666666667</v>
      </c>
      <c r="AE12" s="198" t="n">
        <v>1.17833333333333</v>
      </c>
      <c r="AF12" s="198" t="n">
        <v>0.65</v>
      </c>
      <c r="AG12" s="198" t="n">
        <v>0.631666666666667</v>
      </c>
      <c r="AH12" s="198" t="n">
        <v>0.8325</v>
      </c>
      <c r="AI12" s="198" t="n">
        <v>0.711666666666667</v>
      </c>
      <c r="AJ12" s="198" t="n">
        <v>0.9</v>
      </c>
      <c r="AK12" s="198" t="n">
        <v>0.955833333333333</v>
      </c>
      <c r="AL12" s="198" t="n">
        <v>0.895833333333333</v>
      </c>
      <c r="AM12" s="198" t="n">
        <v>1.09833333333333</v>
      </c>
    </row>
    <row r="13" s="184" customFormat="true" ht="10.7" hidden="false" customHeight="true" outlineLevel="0" collapsed="false">
      <c r="A13" s="1123" t="s">
        <v>212</v>
      </c>
      <c r="B13" s="203" t="n">
        <v>0.4675</v>
      </c>
      <c r="C13" s="203" t="n">
        <v>0.0316666666666667</v>
      </c>
      <c r="D13" s="203" t="n">
        <v>0</v>
      </c>
      <c r="E13" s="203" t="n">
        <v>0.569166666666667</v>
      </c>
      <c r="F13" s="203" t="n">
        <v>0.2525</v>
      </c>
      <c r="G13" s="203" t="n">
        <v>0</v>
      </c>
      <c r="H13" s="203" t="n">
        <v>0.869166666666667</v>
      </c>
      <c r="I13" s="203" t="n">
        <v>0.210833333333333</v>
      </c>
      <c r="J13" s="203" t="n">
        <v>0</v>
      </c>
      <c r="K13" s="203" t="n">
        <v>1.095</v>
      </c>
      <c r="L13" s="203" t="n">
        <v>0.361666666666667</v>
      </c>
      <c r="M13" s="203" t="n">
        <v>0</v>
      </c>
      <c r="N13" s="1123" t="s">
        <v>212</v>
      </c>
      <c r="O13" s="203" t="n">
        <v>0.485</v>
      </c>
      <c r="P13" s="203" t="n">
        <v>0.305833333333333</v>
      </c>
      <c r="Q13" s="203" t="n">
        <v>0.320833333333333</v>
      </c>
      <c r="R13" s="203" t="n">
        <v>0.850833333333333</v>
      </c>
      <c r="S13" s="203" t="n">
        <v>0.376666666666667</v>
      </c>
      <c r="T13" s="203" t="n">
        <v>0.255</v>
      </c>
      <c r="U13" s="203" t="n">
        <v>0.905</v>
      </c>
      <c r="V13" s="203" t="n">
        <v>0.506666666666667</v>
      </c>
      <c r="W13" s="203" t="n">
        <v>0.383333333333333</v>
      </c>
      <c r="X13" s="203" t="n">
        <v>1.03666666666667</v>
      </c>
      <c r="Y13" s="203" t="n">
        <v>0.629166666666667</v>
      </c>
      <c r="Z13" s="203" t="n">
        <v>0.464166666666667</v>
      </c>
      <c r="AA13" s="1123" t="s">
        <v>212</v>
      </c>
      <c r="AB13" s="203" t="n">
        <v>1.01</v>
      </c>
      <c r="AC13" s="203" t="n">
        <v>0.444166666666667</v>
      </c>
      <c r="AD13" s="203" t="n">
        <v>0.491666666666667</v>
      </c>
      <c r="AE13" s="203" t="n">
        <v>1.12833333333333</v>
      </c>
      <c r="AF13" s="203" t="n">
        <v>0.583333333333333</v>
      </c>
      <c r="AG13" s="203" t="n">
        <v>0.476666666666667</v>
      </c>
      <c r="AH13" s="203" t="n">
        <v>0.866666666666667</v>
      </c>
      <c r="AI13" s="203" t="n">
        <v>0.6725</v>
      </c>
      <c r="AJ13" s="203" t="n">
        <v>0.729166666666667</v>
      </c>
      <c r="AK13" s="203" t="n">
        <v>1.04583333333333</v>
      </c>
      <c r="AL13" s="203" t="n">
        <v>0.8</v>
      </c>
      <c r="AM13" s="203" t="n">
        <v>0.929166666666667</v>
      </c>
    </row>
    <row r="14" s="184" customFormat="true" ht="10.7" hidden="false" customHeight="true" outlineLevel="0" collapsed="false">
      <c r="A14" s="1122" t="s">
        <v>213</v>
      </c>
      <c r="B14" s="211" t="n">
        <f aca="false">AVERAGE(B15:B26)</f>
        <v>1.09583333333333</v>
      </c>
      <c r="C14" s="211" t="n">
        <f aca="false">AVERAGE(C15:C26)</f>
        <v>0.1725</v>
      </c>
      <c r="D14" s="211" t="n">
        <f aca="false">AVERAGE(D15:D26)</f>
        <v>0</v>
      </c>
      <c r="E14" s="211" t="n">
        <f aca="false">AVERAGE(E15:E26)</f>
        <v>1.25916666666667</v>
      </c>
      <c r="F14" s="211" t="n">
        <f aca="false">AVERAGE(F15:F26)</f>
        <v>0.238333333333333</v>
      </c>
      <c r="G14" s="211" t="n">
        <f aca="false">AVERAGE(G15:G26)</f>
        <v>0</v>
      </c>
      <c r="H14" s="211" t="n">
        <f aca="false">AVERAGE(H15:H26)</f>
        <v>1.76416666666667</v>
      </c>
      <c r="I14" s="211" t="n">
        <f aca="false">AVERAGE(I15:I26)</f>
        <v>0.4075</v>
      </c>
      <c r="J14" s="211" t="n">
        <f aca="false">AVERAGE(J15:J26)</f>
        <v>0</v>
      </c>
      <c r="K14" s="211" t="n">
        <f aca="false">AVERAGE(K15:K26)</f>
        <v>1.97416666666667</v>
      </c>
      <c r="L14" s="211" t="n">
        <f aca="false">AVERAGE(L15:L26)</f>
        <v>0.56</v>
      </c>
      <c r="M14" s="211" t="n">
        <f aca="false">AVERAGE(M15:M26)</f>
        <v>0</v>
      </c>
      <c r="N14" s="1122" t="s">
        <v>213</v>
      </c>
      <c r="O14" s="211" t="n">
        <f aca="false">AVERAGE(O15:O26)</f>
        <v>0.775</v>
      </c>
      <c r="P14" s="211" t="n">
        <f aca="false">AVERAGE(P15:P26)</f>
        <v>0.305</v>
      </c>
      <c r="Q14" s="211" t="n">
        <f aca="false">AVERAGE(Q15:Q26)</f>
        <v>0.17</v>
      </c>
      <c r="R14" s="211" t="n">
        <f aca="false">AVERAGE(R15:R26)</f>
        <v>1.615</v>
      </c>
      <c r="S14" s="211" t="n">
        <f aca="false">AVERAGE(S15:S26)</f>
        <v>0.386666666666667</v>
      </c>
      <c r="T14" s="211" t="n">
        <f aca="false">AVERAGE(T15:T26)</f>
        <v>0.178333333333333</v>
      </c>
      <c r="U14" s="211" t="n">
        <f aca="false">AVERAGE(U15:U26)</f>
        <v>0.9875</v>
      </c>
      <c r="V14" s="211" t="n">
        <f aca="false">AVERAGE(V15:V26)</f>
        <v>0.508333333333333</v>
      </c>
      <c r="W14" s="211" t="n">
        <f aca="false">AVERAGE(W15:W26)</f>
        <v>0.245833333333333</v>
      </c>
      <c r="X14" s="211" t="n">
        <f aca="false">AVERAGE(X15:X26)</f>
        <v>1.08916666666667</v>
      </c>
      <c r="Y14" s="211" t="n">
        <f aca="false">AVERAGE(Y15:Y26)</f>
        <v>0.575</v>
      </c>
      <c r="Z14" s="211" t="n">
        <f aca="false">AVERAGE(Z15:Z26)</f>
        <v>0.3175</v>
      </c>
      <c r="AA14" s="1122" t="s">
        <v>213</v>
      </c>
      <c r="AB14" s="211" t="n">
        <f aca="false">AVERAGE(AB15:AB26)</f>
        <v>0.878333333333333</v>
      </c>
      <c r="AC14" s="211" t="n">
        <f aca="false">AVERAGE(AC15:AC26)</f>
        <v>0.54</v>
      </c>
      <c r="AD14" s="211" t="n">
        <f aca="false">AVERAGE(AD15:AD26)</f>
        <v>0.520833333333333</v>
      </c>
      <c r="AE14" s="211" t="n">
        <f aca="false">AVERAGE(AE15:AE26)</f>
        <v>0.795</v>
      </c>
      <c r="AF14" s="211" t="n">
        <f aca="false">AVERAGE(AF15:AF26)</f>
        <v>0.580833333333333</v>
      </c>
      <c r="AG14" s="211" t="n">
        <f aca="false">AVERAGE(AG15:AG26)</f>
        <v>0.39</v>
      </c>
      <c r="AH14" s="211" t="n">
        <f aca="false">AVERAGE(AH15:AH26)</f>
        <v>0.850833333333333</v>
      </c>
      <c r="AI14" s="211" t="n">
        <f aca="false">AVERAGE(AI15:AI26)</f>
        <v>0.665</v>
      </c>
      <c r="AJ14" s="211" t="n">
        <f aca="false">AVERAGE(AJ15:AJ26)</f>
        <v>0.5725</v>
      </c>
      <c r="AK14" s="211" t="n">
        <f aca="false">AVERAGE(AK15:AK26)</f>
        <v>1.12166666666667</v>
      </c>
      <c r="AL14" s="211" t="n">
        <f aca="false">AVERAGE(AL15:AL26)</f>
        <v>0.765</v>
      </c>
      <c r="AM14" s="211" t="n">
        <f aca="false">AVERAGE(AM15:AM26)</f>
        <v>0.721666666666667</v>
      </c>
    </row>
    <row r="15" s="184" customFormat="true" ht="10.7" hidden="false" customHeight="true" outlineLevel="0" collapsed="false">
      <c r="A15" s="840" t="s">
        <v>214</v>
      </c>
      <c r="B15" s="1243" t="n">
        <v>0.79</v>
      </c>
      <c r="C15" s="1243" t="n">
        <v>0</v>
      </c>
      <c r="D15" s="1243" t="n">
        <v>0</v>
      </c>
      <c r="E15" s="1243" t="n">
        <v>0.84</v>
      </c>
      <c r="F15" s="191" t="n">
        <v>0.04</v>
      </c>
      <c r="G15" s="1243" t="n">
        <v>0</v>
      </c>
      <c r="H15" s="191" t="n">
        <v>1.18</v>
      </c>
      <c r="I15" s="1243" t="n">
        <v>0.17</v>
      </c>
      <c r="J15" s="1243" t="n">
        <v>0</v>
      </c>
      <c r="K15" s="1243" t="n">
        <v>1.4</v>
      </c>
      <c r="L15" s="1243" t="n">
        <v>0.33</v>
      </c>
      <c r="M15" s="1243" t="n">
        <v>0</v>
      </c>
      <c r="N15" s="840" t="s">
        <v>214</v>
      </c>
      <c r="O15" s="1243" t="n">
        <v>0.58</v>
      </c>
      <c r="P15" s="191" t="n">
        <v>0.33</v>
      </c>
      <c r="Q15" s="191" t="n">
        <v>0.17</v>
      </c>
      <c r="R15" s="1243" t="n">
        <v>1.1</v>
      </c>
      <c r="S15" s="1243" t="n">
        <v>0.27</v>
      </c>
      <c r="T15" s="191" t="n">
        <v>0.18</v>
      </c>
      <c r="U15" s="1243" t="n">
        <v>0.74</v>
      </c>
      <c r="V15" s="191" t="n">
        <v>0.35</v>
      </c>
      <c r="W15" s="191" t="n">
        <v>0.24</v>
      </c>
      <c r="X15" s="1243" t="n">
        <v>0.9</v>
      </c>
      <c r="Y15" s="191" t="n">
        <v>0.49</v>
      </c>
      <c r="Z15" s="1243" t="n">
        <v>0.31</v>
      </c>
      <c r="AA15" s="840" t="s">
        <v>214</v>
      </c>
      <c r="AB15" s="1243" t="n">
        <v>1.05</v>
      </c>
      <c r="AC15" s="1243" t="n">
        <v>0.53</v>
      </c>
      <c r="AD15" s="1243" t="n">
        <v>0.59</v>
      </c>
      <c r="AE15" s="1243" t="n">
        <v>1.01</v>
      </c>
      <c r="AF15" s="1243" t="n">
        <v>0.54</v>
      </c>
      <c r="AG15" s="1243" t="n">
        <v>0.45</v>
      </c>
      <c r="AH15" s="1243" t="n">
        <v>0.8</v>
      </c>
      <c r="AI15" s="1243" t="n">
        <v>0.67</v>
      </c>
      <c r="AJ15" s="1243" t="n">
        <v>0.73</v>
      </c>
      <c r="AK15" s="1243" t="n">
        <v>1.02</v>
      </c>
      <c r="AL15" s="1243" t="n">
        <v>0.76</v>
      </c>
      <c r="AM15" s="1243" t="n">
        <v>0.83</v>
      </c>
    </row>
    <row r="16" s="184" customFormat="true" ht="10.7" hidden="false" customHeight="true" outlineLevel="0" collapsed="false">
      <c r="A16" s="842" t="s">
        <v>215</v>
      </c>
      <c r="B16" s="198" t="n">
        <v>0.8</v>
      </c>
      <c r="C16" s="198" t="n">
        <v>0</v>
      </c>
      <c r="D16" s="198" t="n">
        <v>0</v>
      </c>
      <c r="E16" s="198" t="n">
        <v>0.84</v>
      </c>
      <c r="F16" s="197" t="n">
        <v>0.03</v>
      </c>
      <c r="G16" s="198" t="n">
        <v>0</v>
      </c>
      <c r="H16" s="197" t="n">
        <v>1.18</v>
      </c>
      <c r="I16" s="198" t="n">
        <v>0.14</v>
      </c>
      <c r="J16" s="198" t="n">
        <v>0</v>
      </c>
      <c r="K16" s="198" t="n">
        <v>1.39</v>
      </c>
      <c r="L16" s="198" t="n">
        <v>0.29</v>
      </c>
      <c r="M16" s="198" t="n">
        <v>0</v>
      </c>
      <c r="N16" s="842" t="s">
        <v>215</v>
      </c>
      <c r="O16" s="198" t="n">
        <v>0.58</v>
      </c>
      <c r="P16" s="197" t="n">
        <v>0.33</v>
      </c>
      <c r="Q16" s="197" t="n">
        <v>0.17</v>
      </c>
      <c r="R16" s="198" t="n">
        <v>1.15</v>
      </c>
      <c r="S16" s="198" t="n">
        <v>0.26</v>
      </c>
      <c r="T16" s="197" t="n">
        <v>0.18</v>
      </c>
      <c r="U16" s="198" t="n">
        <v>0.74</v>
      </c>
      <c r="V16" s="197" t="n">
        <v>0.35</v>
      </c>
      <c r="W16" s="197" t="n">
        <v>0.24</v>
      </c>
      <c r="X16" s="198" t="n">
        <v>0.89</v>
      </c>
      <c r="Y16" s="197" t="n">
        <v>0.48</v>
      </c>
      <c r="Z16" s="198" t="n">
        <v>0.31</v>
      </c>
      <c r="AA16" s="842" t="s">
        <v>215</v>
      </c>
      <c r="AB16" s="198" t="n">
        <v>1.1</v>
      </c>
      <c r="AC16" s="198" t="n">
        <v>0.45</v>
      </c>
      <c r="AD16" s="198" t="n">
        <v>0.59</v>
      </c>
      <c r="AE16" s="198" t="n">
        <v>1.01</v>
      </c>
      <c r="AF16" s="198" t="n">
        <v>0.61</v>
      </c>
      <c r="AG16" s="198" t="n">
        <v>0.45</v>
      </c>
      <c r="AH16" s="198" t="n">
        <v>0.78</v>
      </c>
      <c r="AI16" s="198" t="n">
        <v>0.63</v>
      </c>
      <c r="AJ16" s="198" t="n">
        <v>0.73</v>
      </c>
      <c r="AK16" s="198" t="n">
        <v>1.02</v>
      </c>
      <c r="AL16" s="198" t="n">
        <v>0.76</v>
      </c>
      <c r="AM16" s="198" t="n">
        <v>0.83</v>
      </c>
    </row>
    <row r="17" s="184" customFormat="true" ht="10.7" hidden="false" customHeight="true" outlineLevel="0" collapsed="false">
      <c r="A17" s="840" t="s">
        <v>216</v>
      </c>
      <c r="B17" s="1243" t="n">
        <v>0.8</v>
      </c>
      <c r="C17" s="1243" t="n">
        <v>0</v>
      </c>
      <c r="D17" s="1243" t="n">
        <v>0</v>
      </c>
      <c r="E17" s="1243" t="n">
        <v>0.85</v>
      </c>
      <c r="F17" s="191" t="n">
        <v>0.04</v>
      </c>
      <c r="G17" s="1243" t="n">
        <v>0</v>
      </c>
      <c r="H17" s="191" t="n">
        <v>1.18</v>
      </c>
      <c r="I17" s="1243" t="n">
        <v>0.14</v>
      </c>
      <c r="J17" s="1243" t="n">
        <v>0</v>
      </c>
      <c r="K17" s="1243" t="n">
        <v>1.38</v>
      </c>
      <c r="L17" s="1243" t="n">
        <v>0.3</v>
      </c>
      <c r="M17" s="1243" t="n">
        <v>0</v>
      </c>
      <c r="N17" s="840" t="s">
        <v>216</v>
      </c>
      <c r="O17" s="1243" t="n">
        <v>0.6</v>
      </c>
      <c r="P17" s="191" t="n">
        <v>0.33</v>
      </c>
      <c r="Q17" s="191" t="n">
        <v>0.17</v>
      </c>
      <c r="R17" s="1243" t="n">
        <v>1.17</v>
      </c>
      <c r="S17" s="1243" t="n">
        <v>0.28</v>
      </c>
      <c r="T17" s="191" t="n">
        <v>0.18</v>
      </c>
      <c r="U17" s="1243" t="n">
        <v>0.77</v>
      </c>
      <c r="V17" s="191" t="n">
        <v>0.37</v>
      </c>
      <c r="W17" s="191" t="n">
        <v>0.24</v>
      </c>
      <c r="X17" s="1243" t="n">
        <v>0.92</v>
      </c>
      <c r="Y17" s="191" t="n">
        <v>0.52</v>
      </c>
      <c r="Z17" s="1243" t="n">
        <v>0.31</v>
      </c>
      <c r="AA17" s="840" t="s">
        <v>216</v>
      </c>
      <c r="AB17" s="1243" t="n">
        <v>1.01</v>
      </c>
      <c r="AC17" s="1243" t="n">
        <v>0.52</v>
      </c>
      <c r="AD17" s="1243" t="n">
        <v>0.42</v>
      </c>
      <c r="AE17" s="1243" t="n">
        <v>1.06</v>
      </c>
      <c r="AF17" s="1243" t="n">
        <v>0.59</v>
      </c>
      <c r="AG17" s="1243" t="n">
        <v>0.35</v>
      </c>
      <c r="AH17" s="1243" t="n">
        <v>0.77</v>
      </c>
      <c r="AI17" s="1243" t="n">
        <v>0.64</v>
      </c>
      <c r="AJ17" s="1243" t="n">
        <v>0.64</v>
      </c>
      <c r="AK17" s="1243" t="n">
        <v>1.02</v>
      </c>
      <c r="AL17" s="1243" t="n">
        <v>0.76</v>
      </c>
      <c r="AM17" s="1243" t="n">
        <v>0.7</v>
      </c>
    </row>
    <row r="18" s="184" customFormat="true" ht="10.7" hidden="false" customHeight="true" outlineLevel="0" collapsed="false">
      <c r="A18" s="842" t="s">
        <v>217</v>
      </c>
      <c r="B18" s="198" t="n">
        <v>0.9</v>
      </c>
      <c r="C18" s="198" t="n">
        <v>0.09</v>
      </c>
      <c r="D18" s="198" t="n">
        <v>0</v>
      </c>
      <c r="E18" s="198" t="n">
        <v>0.98</v>
      </c>
      <c r="F18" s="197" t="n">
        <v>0.14</v>
      </c>
      <c r="G18" s="198" t="n">
        <v>0</v>
      </c>
      <c r="H18" s="197" t="n">
        <v>1.46</v>
      </c>
      <c r="I18" s="198" t="n">
        <v>0.34</v>
      </c>
      <c r="J18" s="198" t="n">
        <v>0</v>
      </c>
      <c r="K18" s="198" t="n">
        <v>1.67</v>
      </c>
      <c r="L18" s="198" t="n">
        <v>0.51</v>
      </c>
      <c r="M18" s="198" t="n">
        <v>0</v>
      </c>
      <c r="N18" s="842" t="s">
        <v>217</v>
      </c>
      <c r="O18" s="198" t="n">
        <v>0.55</v>
      </c>
      <c r="P18" s="197" t="n">
        <v>0.32</v>
      </c>
      <c r="Q18" s="197" t="n">
        <v>0.17</v>
      </c>
      <c r="R18" s="198" t="n">
        <v>1.16</v>
      </c>
      <c r="S18" s="198" t="n">
        <v>0.29</v>
      </c>
      <c r="T18" s="197" t="n">
        <v>0.18</v>
      </c>
      <c r="U18" s="198" t="n">
        <v>0.75</v>
      </c>
      <c r="V18" s="197" t="n">
        <v>0.37</v>
      </c>
      <c r="W18" s="197" t="n">
        <v>0.25</v>
      </c>
      <c r="X18" s="198" t="n">
        <v>0.88</v>
      </c>
      <c r="Y18" s="197" t="n">
        <v>0.51</v>
      </c>
      <c r="Z18" s="198" t="n">
        <v>0.32</v>
      </c>
      <c r="AA18" s="842" t="s">
        <v>217</v>
      </c>
      <c r="AB18" s="198" t="n">
        <v>1.1</v>
      </c>
      <c r="AC18" s="198" t="n">
        <v>0.57</v>
      </c>
      <c r="AD18" s="198" t="n">
        <v>0.46</v>
      </c>
      <c r="AE18" s="198" t="n">
        <v>1.01</v>
      </c>
      <c r="AF18" s="198" t="n">
        <v>0.55</v>
      </c>
      <c r="AG18" s="198" t="n">
        <v>0.45</v>
      </c>
      <c r="AH18" s="198" t="n">
        <v>0.76</v>
      </c>
      <c r="AI18" s="198" t="n">
        <v>0.65</v>
      </c>
      <c r="AJ18" s="198" t="n">
        <v>0.53</v>
      </c>
      <c r="AK18" s="198" t="n">
        <v>1.02</v>
      </c>
      <c r="AL18" s="198" t="n">
        <v>0.76</v>
      </c>
      <c r="AM18" s="198" t="n">
        <v>0.7</v>
      </c>
    </row>
    <row r="19" s="184" customFormat="true" ht="10.7" hidden="false" customHeight="true" outlineLevel="0" collapsed="false">
      <c r="A19" s="840" t="s">
        <v>218</v>
      </c>
      <c r="B19" s="1243" t="n">
        <v>0.91</v>
      </c>
      <c r="C19" s="1243" t="n">
        <v>0.19</v>
      </c>
      <c r="D19" s="1243" t="n">
        <v>0</v>
      </c>
      <c r="E19" s="1243" t="n">
        <v>1.03</v>
      </c>
      <c r="F19" s="191" t="n">
        <v>0.23</v>
      </c>
      <c r="G19" s="1243" t="n">
        <v>0</v>
      </c>
      <c r="H19" s="191" t="n">
        <v>1.53</v>
      </c>
      <c r="I19" s="1243" t="n">
        <v>0.41</v>
      </c>
      <c r="J19" s="1243" t="n">
        <v>0</v>
      </c>
      <c r="K19" s="1243" t="n">
        <v>1.74</v>
      </c>
      <c r="L19" s="1243" t="n">
        <v>0.56</v>
      </c>
      <c r="M19" s="1243" t="n">
        <v>0</v>
      </c>
      <c r="N19" s="840" t="s">
        <v>218</v>
      </c>
      <c r="O19" s="1243" t="n">
        <v>0.58</v>
      </c>
      <c r="P19" s="191" t="n">
        <v>0.37</v>
      </c>
      <c r="Q19" s="191" t="n">
        <v>0.17</v>
      </c>
      <c r="R19" s="1243" t="n">
        <v>1.24</v>
      </c>
      <c r="S19" s="1243" t="n">
        <v>0.58</v>
      </c>
      <c r="T19" s="191" t="n">
        <v>0.18</v>
      </c>
      <c r="U19" s="1243" t="n">
        <v>0.77</v>
      </c>
      <c r="V19" s="191" t="n">
        <v>0.69</v>
      </c>
      <c r="W19" s="191" t="n">
        <v>0.25</v>
      </c>
      <c r="X19" s="1243" t="n">
        <v>0.91</v>
      </c>
      <c r="Y19" s="191" t="n">
        <v>0.51</v>
      </c>
      <c r="Z19" s="1243" t="n">
        <v>0.32</v>
      </c>
      <c r="AA19" s="840" t="s">
        <v>218</v>
      </c>
      <c r="AB19" s="1243" t="n">
        <v>0.67</v>
      </c>
      <c r="AC19" s="1243" t="n">
        <v>0.5</v>
      </c>
      <c r="AD19" s="1243" t="n">
        <v>0.46</v>
      </c>
      <c r="AE19" s="1243" t="n">
        <v>0.59</v>
      </c>
      <c r="AF19" s="1243" t="n">
        <v>0.62</v>
      </c>
      <c r="AG19" s="1243" t="n">
        <v>0.45</v>
      </c>
      <c r="AH19" s="1243" t="n">
        <v>0.82</v>
      </c>
      <c r="AI19" s="1243" t="n">
        <v>0.65</v>
      </c>
      <c r="AJ19" s="1243" t="n">
        <v>0.53</v>
      </c>
      <c r="AK19" s="1243" t="n">
        <v>1.04</v>
      </c>
      <c r="AL19" s="1243" t="n">
        <v>0.77</v>
      </c>
      <c r="AM19" s="1243" t="n">
        <v>0.7</v>
      </c>
    </row>
    <row r="20" s="184" customFormat="true" ht="10.7" hidden="false" customHeight="true" outlineLevel="0" collapsed="false">
      <c r="A20" s="842" t="s">
        <v>219</v>
      </c>
      <c r="B20" s="198" t="n">
        <v>1</v>
      </c>
      <c r="C20" s="198" t="n">
        <v>0.23</v>
      </c>
      <c r="D20" s="198" t="n">
        <v>0</v>
      </c>
      <c r="E20" s="198" t="n">
        <v>1.11</v>
      </c>
      <c r="F20" s="197" t="n">
        <v>0.26</v>
      </c>
      <c r="G20" s="198" t="n">
        <v>0</v>
      </c>
      <c r="H20" s="197" t="n">
        <v>1.61</v>
      </c>
      <c r="I20" s="198" t="n">
        <v>0.41</v>
      </c>
      <c r="J20" s="198" t="n">
        <v>0</v>
      </c>
      <c r="K20" s="198" t="n">
        <v>1.83</v>
      </c>
      <c r="L20" s="198" t="n">
        <v>0.56</v>
      </c>
      <c r="M20" s="198" t="n">
        <v>0</v>
      </c>
      <c r="N20" s="842" t="s">
        <v>219</v>
      </c>
      <c r="O20" s="198" t="n">
        <v>0.61</v>
      </c>
      <c r="P20" s="197" t="n">
        <v>0.37</v>
      </c>
      <c r="Q20" s="197" t="n">
        <v>0.17</v>
      </c>
      <c r="R20" s="198" t="n">
        <v>1.44</v>
      </c>
      <c r="S20" s="198" t="n">
        <v>0.6</v>
      </c>
      <c r="T20" s="197" t="n">
        <v>0.18</v>
      </c>
      <c r="U20" s="198" t="n">
        <v>0.86</v>
      </c>
      <c r="V20" s="197" t="n">
        <v>0.69</v>
      </c>
      <c r="W20" s="197" t="n">
        <v>0.25</v>
      </c>
      <c r="X20" s="198" t="n">
        <v>0.95</v>
      </c>
      <c r="Y20" s="197" t="n">
        <v>0.51</v>
      </c>
      <c r="Z20" s="198" t="n">
        <v>0.32</v>
      </c>
      <c r="AA20" s="842" t="s">
        <v>219</v>
      </c>
      <c r="AB20" s="198" t="n">
        <v>0.61</v>
      </c>
      <c r="AC20" s="198" t="n">
        <v>0.58</v>
      </c>
      <c r="AD20" s="198" t="n">
        <v>0.45</v>
      </c>
      <c r="AE20" s="198" t="n">
        <v>0.61</v>
      </c>
      <c r="AF20" s="198" t="n">
        <v>0.58</v>
      </c>
      <c r="AG20" s="198" t="n">
        <v>0.35</v>
      </c>
      <c r="AH20" s="198" t="n">
        <v>0.83</v>
      </c>
      <c r="AI20" s="198" t="n">
        <v>0.61</v>
      </c>
      <c r="AJ20" s="198" t="n">
        <v>0.53</v>
      </c>
      <c r="AK20" s="198" t="n">
        <v>1.04</v>
      </c>
      <c r="AL20" s="198" t="n">
        <v>0.77</v>
      </c>
      <c r="AM20" s="198" t="n">
        <v>0.7</v>
      </c>
    </row>
    <row r="21" s="184" customFormat="true" ht="10.7" hidden="false" customHeight="true" outlineLevel="0" collapsed="false">
      <c r="A21" s="840" t="s">
        <v>220</v>
      </c>
      <c r="B21" s="1243" t="n">
        <v>1.16</v>
      </c>
      <c r="C21" s="1243" t="n">
        <v>0.26</v>
      </c>
      <c r="D21" s="1243" t="n">
        <v>0</v>
      </c>
      <c r="E21" s="1243" t="n">
        <v>1.28</v>
      </c>
      <c r="F21" s="191" t="n">
        <v>0.28</v>
      </c>
      <c r="G21" s="1243" t="n">
        <v>0</v>
      </c>
      <c r="H21" s="1243" t="n">
        <v>1.8</v>
      </c>
      <c r="I21" s="1243" t="n">
        <v>0.42</v>
      </c>
      <c r="J21" s="1243" t="n">
        <v>0</v>
      </c>
      <c r="K21" s="1243" t="n">
        <v>2.01</v>
      </c>
      <c r="L21" s="1243" t="n">
        <v>0.56</v>
      </c>
      <c r="M21" s="1243" t="n">
        <v>0</v>
      </c>
      <c r="N21" s="840" t="s">
        <v>220</v>
      </c>
      <c r="O21" s="1243" t="n">
        <v>0.62</v>
      </c>
      <c r="P21" s="191" t="n">
        <v>0.37</v>
      </c>
      <c r="Q21" s="191" t="n">
        <v>0.17</v>
      </c>
      <c r="R21" s="1243" t="n">
        <v>1.55</v>
      </c>
      <c r="S21" s="1243" t="n">
        <v>0.35</v>
      </c>
      <c r="T21" s="191" t="n">
        <v>0.18</v>
      </c>
      <c r="U21" s="1243" t="n">
        <v>0.95</v>
      </c>
      <c r="V21" s="191" t="n">
        <v>0.65</v>
      </c>
      <c r="W21" s="191" t="n">
        <v>0.25</v>
      </c>
      <c r="X21" s="1243" t="n">
        <v>1.02</v>
      </c>
      <c r="Y21" s="191" t="n">
        <v>0.51</v>
      </c>
      <c r="Z21" s="1243" t="n">
        <v>0.32</v>
      </c>
      <c r="AA21" s="840" t="s">
        <v>220</v>
      </c>
      <c r="AB21" s="1243" t="n">
        <v>0.75</v>
      </c>
      <c r="AC21" s="1243" t="n">
        <v>0.58</v>
      </c>
      <c r="AD21" s="1243" t="n">
        <v>0.57</v>
      </c>
      <c r="AE21" s="1243" t="n">
        <v>0.64</v>
      </c>
      <c r="AF21" s="1243" t="n">
        <v>0.59</v>
      </c>
      <c r="AG21" s="1243" t="n">
        <v>0.37</v>
      </c>
      <c r="AH21" s="1243" t="n">
        <v>0.83</v>
      </c>
      <c r="AI21" s="1243" t="n">
        <v>0.61</v>
      </c>
      <c r="AJ21" s="1243" t="n">
        <v>0.53</v>
      </c>
      <c r="AK21" s="1243" t="n">
        <v>1.04</v>
      </c>
      <c r="AL21" s="1243" t="n">
        <v>0.77</v>
      </c>
      <c r="AM21" s="1243" t="n">
        <v>0.7</v>
      </c>
    </row>
    <row r="22" s="184" customFormat="true" ht="10.7" hidden="false" customHeight="true" outlineLevel="0" collapsed="false">
      <c r="A22" s="842" t="s">
        <v>221</v>
      </c>
      <c r="B22" s="198" t="n">
        <v>1.18</v>
      </c>
      <c r="C22" s="198" t="n">
        <v>0.26</v>
      </c>
      <c r="D22" s="198" t="n">
        <v>0</v>
      </c>
      <c r="E22" s="198" t="n">
        <v>1.35</v>
      </c>
      <c r="F22" s="197" t="n">
        <v>0.29</v>
      </c>
      <c r="G22" s="198" t="n">
        <v>0</v>
      </c>
      <c r="H22" s="198" t="n">
        <v>1.95</v>
      </c>
      <c r="I22" s="198" t="n">
        <v>0.45</v>
      </c>
      <c r="J22" s="198" t="n">
        <v>0</v>
      </c>
      <c r="K22" s="198" t="n">
        <v>2.17</v>
      </c>
      <c r="L22" s="198" t="n">
        <v>0.61</v>
      </c>
      <c r="M22" s="198" t="n">
        <v>0</v>
      </c>
      <c r="N22" s="842" t="s">
        <v>221</v>
      </c>
      <c r="O22" s="198" t="n">
        <v>0.93</v>
      </c>
      <c r="P22" s="197" t="n">
        <v>0.24</v>
      </c>
      <c r="Q22" s="197" t="n">
        <v>0.17</v>
      </c>
      <c r="R22" s="198" t="n">
        <v>1.84</v>
      </c>
      <c r="S22" s="198" t="n">
        <v>0.39</v>
      </c>
      <c r="T22" s="197" t="n">
        <v>0.18</v>
      </c>
      <c r="U22" s="198" t="n">
        <v>1.15</v>
      </c>
      <c r="V22" s="197" t="n">
        <v>0.71</v>
      </c>
      <c r="W22" s="197" t="n">
        <v>0.25</v>
      </c>
      <c r="X22" s="198" t="n">
        <v>1.3</v>
      </c>
      <c r="Y22" s="197" t="n">
        <v>0.58</v>
      </c>
      <c r="Z22" s="198" t="n">
        <v>0.32</v>
      </c>
      <c r="AA22" s="842" t="s">
        <v>221</v>
      </c>
      <c r="AB22" s="198" t="n">
        <v>0.77</v>
      </c>
      <c r="AC22" s="198" t="n">
        <v>0.54</v>
      </c>
      <c r="AD22" s="198" t="n">
        <v>0.57</v>
      </c>
      <c r="AE22" s="198" t="n">
        <v>0.7</v>
      </c>
      <c r="AF22" s="198" t="n">
        <v>0.56</v>
      </c>
      <c r="AG22" s="198" t="n">
        <v>0.37</v>
      </c>
      <c r="AH22" s="198" t="n">
        <v>0.89</v>
      </c>
      <c r="AI22" s="198" t="n">
        <v>0.66</v>
      </c>
      <c r="AJ22" s="198" t="n">
        <v>0.53</v>
      </c>
      <c r="AK22" s="198" t="n">
        <v>1.2</v>
      </c>
      <c r="AL22" s="198" t="n">
        <v>0.77</v>
      </c>
      <c r="AM22" s="198" t="n">
        <v>0.7</v>
      </c>
    </row>
    <row r="23" s="184" customFormat="true" ht="10.7" hidden="false" customHeight="true" outlineLevel="0" collapsed="false">
      <c r="A23" s="840" t="s">
        <v>222</v>
      </c>
      <c r="B23" s="1243" t="n">
        <v>1.31</v>
      </c>
      <c r="C23" s="1243" t="n">
        <v>0.26</v>
      </c>
      <c r="D23" s="1243" t="n">
        <v>0</v>
      </c>
      <c r="E23" s="1243" t="n">
        <v>1.61</v>
      </c>
      <c r="F23" s="191" t="n">
        <v>0.35</v>
      </c>
      <c r="G23" s="1243" t="n">
        <v>0</v>
      </c>
      <c r="H23" s="1243" t="n">
        <v>2.24</v>
      </c>
      <c r="I23" s="1243" t="n">
        <v>0.54</v>
      </c>
      <c r="J23" s="1243" t="n">
        <v>0</v>
      </c>
      <c r="K23" s="1243" t="n">
        <v>2.44</v>
      </c>
      <c r="L23" s="1243" t="n">
        <v>0.7</v>
      </c>
      <c r="M23" s="1243" t="n">
        <v>0</v>
      </c>
      <c r="N23" s="840" t="s">
        <v>222</v>
      </c>
      <c r="O23" s="1243" t="n">
        <v>1.01</v>
      </c>
      <c r="P23" s="191" t="n">
        <v>0.25</v>
      </c>
      <c r="Q23" s="191" t="n">
        <v>0.17</v>
      </c>
      <c r="R23" s="1243" t="n">
        <v>2.14</v>
      </c>
      <c r="S23" s="1243" t="n">
        <v>0.4</v>
      </c>
      <c r="T23" s="191" t="n">
        <v>0.18</v>
      </c>
      <c r="U23" s="1243" t="n">
        <v>1.25</v>
      </c>
      <c r="V23" s="191" t="n">
        <v>0.49</v>
      </c>
      <c r="W23" s="191" t="n">
        <v>0.25</v>
      </c>
      <c r="X23" s="1243" t="n">
        <v>1.25</v>
      </c>
      <c r="Y23" s="191" t="n">
        <v>0.54</v>
      </c>
      <c r="Z23" s="1243" t="n">
        <v>0.32</v>
      </c>
      <c r="AA23" s="840" t="s">
        <v>222</v>
      </c>
      <c r="AB23" s="1243" t="n">
        <v>0.74</v>
      </c>
      <c r="AC23" s="1243" t="n">
        <v>0.55</v>
      </c>
      <c r="AD23" s="1243" t="n">
        <v>0.5</v>
      </c>
      <c r="AE23" s="1243" t="n">
        <v>0.75</v>
      </c>
      <c r="AF23" s="1243" t="n">
        <v>0.51</v>
      </c>
      <c r="AG23" s="1243" t="n">
        <v>0.35</v>
      </c>
      <c r="AH23" s="1243" t="n">
        <v>0.9</v>
      </c>
      <c r="AI23" s="1243" t="n">
        <v>0.66</v>
      </c>
      <c r="AJ23" s="1243" t="n">
        <v>0.53</v>
      </c>
      <c r="AK23" s="1243" t="n">
        <v>1.26</v>
      </c>
      <c r="AL23" s="1243" t="n">
        <v>0.77</v>
      </c>
      <c r="AM23" s="1243" t="n">
        <v>0.7</v>
      </c>
    </row>
    <row r="24" s="184" customFormat="true" ht="10.7" hidden="false" customHeight="true" outlineLevel="0" collapsed="false">
      <c r="A24" s="842" t="s">
        <v>223</v>
      </c>
      <c r="B24" s="198" t="n">
        <v>1.43</v>
      </c>
      <c r="C24" s="198" t="n">
        <v>0.27</v>
      </c>
      <c r="D24" s="198" t="n">
        <v>0</v>
      </c>
      <c r="E24" s="198" t="n">
        <v>1.78</v>
      </c>
      <c r="F24" s="197" t="n">
        <v>0.46</v>
      </c>
      <c r="G24" s="198" t="n">
        <v>0</v>
      </c>
      <c r="H24" s="198" t="n">
        <v>2.42</v>
      </c>
      <c r="I24" s="198" t="n">
        <v>0.7</v>
      </c>
      <c r="J24" s="198" t="n">
        <v>0</v>
      </c>
      <c r="K24" s="198" t="n">
        <v>2.59</v>
      </c>
      <c r="L24" s="198" t="n">
        <v>0.82</v>
      </c>
      <c r="M24" s="198" t="n">
        <v>0</v>
      </c>
      <c r="N24" s="842" t="s">
        <v>223</v>
      </c>
      <c r="O24" s="198" t="n">
        <v>1.02</v>
      </c>
      <c r="P24" s="197" t="n">
        <v>0.25</v>
      </c>
      <c r="Q24" s="197" t="n">
        <v>0.17</v>
      </c>
      <c r="R24" s="198" t="n">
        <v>2.19</v>
      </c>
      <c r="S24" s="198" t="n">
        <v>0.42</v>
      </c>
      <c r="T24" s="197" t="n">
        <v>0.17</v>
      </c>
      <c r="U24" s="198" t="n">
        <v>1.28</v>
      </c>
      <c r="V24" s="197" t="n">
        <v>0.49</v>
      </c>
      <c r="W24" s="197" t="n">
        <v>0.24</v>
      </c>
      <c r="X24" s="198" t="n">
        <v>1.29</v>
      </c>
      <c r="Y24" s="197" t="n">
        <v>1.11</v>
      </c>
      <c r="Z24" s="198" t="n">
        <v>0.32</v>
      </c>
      <c r="AA24" s="842" t="s">
        <v>223</v>
      </c>
      <c r="AB24" s="198" t="n">
        <v>0.88</v>
      </c>
      <c r="AC24" s="198" t="n">
        <v>0.59</v>
      </c>
      <c r="AD24" s="198" t="n">
        <v>0.57</v>
      </c>
      <c r="AE24" s="198" t="n">
        <v>0.7</v>
      </c>
      <c r="AF24" s="198" t="n">
        <v>0.53</v>
      </c>
      <c r="AG24" s="198" t="n">
        <v>0.37</v>
      </c>
      <c r="AH24" s="198" t="n">
        <v>0.94</v>
      </c>
      <c r="AI24" s="198" t="n">
        <v>0.72</v>
      </c>
      <c r="AJ24" s="198" t="n">
        <v>0.53</v>
      </c>
      <c r="AK24" s="198" t="n">
        <v>1.26</v>
      </c>
      <c r="AL24" s="198" t="n">
        <v>0.77</v>
      </c>
      <c r="AM24" s="198" t="n">
        <v>0.7</v>
      </c>
    </row>
    <row r="25" s="184" customFormat="true" ht="10.7" hidden="false" customHeight="true" outlineLevel="0" collapsed="false">
      <c r="A25" s="840" t="s">
        <v>224</v>
      </c>
      <c r="B25" s="1243" t="n">
        <v>1.39</v>
      </c>
      <c r="C25" s="1243" t="n">
        <v>0.26</v>
      </c>
      <c r="D25" s="1243" t="n">
        <v>0</v>
      </c>
      <c r="E25" s="1243" t="n">
        <v>1.72</v>
      </c>
      <c r="F25" s="191" t="n">
        <v>0.39</v>
      </c>
      <c r="G25" s="1243" t="n">
        <v>0</v>
      </c>
      <c r="H25" s="1243" t="n">
        <v>2.31</v>
      </c>
      <c r="I25" s="1243" t="n">
        <v>0.61</v>
      </c>
      <c r="J25" s="1243" t="n">
        <v>0</v>
      </c>
      <c r="K25" s="1243" t="n">
        <v>2.51</v>
      </c>
      <c r="L25" s="1243" t="n">
        <v>0.74</v>
      </c>
      <c r="M25" s="1243" t="n">
        <v>0</v>
      </c>
      <c r="N25" s="840" t="s">
        <v>224</v>
      </c>
      <c r="O25" s="1243" t="n">
        <v>1.08</v>
      </c>
      <c r="P25" s="191" t="n">
        <v>0.25</v>
      </c>
      <c r="Q25" s="191" t="n">
        <v>0.17</v>
      </c>
      <c r="R25" s="1243" t="n">
        <v>2.19</v>
      </c>
      <c r="S25" s="1243" t="n">
        <v>0.4</v>
      </c>
      <c r="T25" s="191" t="n">
        <v>0.17</v>
      </c>
      <c r="U25" s="1243" t="n">
        <v>1.23</v>
      </c>
      <c r="V25" s="191" t="n">
        <v>0.46</v>
      </c>
      <c r="W25" s="191" t="n">
        <v>0.24</v>
      </c>
      <c r="X25" s="1243" t="n">
        <v>1.32</v>
      </c>
      <c r="Y25" s="191" t="n">
        <v>0.56</v>
      </c>
      <c r="Z25" s="1243" t="n">
        <v>0.32</v>
      </c>
      <c r="AA25" s="840" t="s">
        <v>224</v>
      </c>
      <c r="AB25" s="1243" t="n">
        <v>0.85</v>
      </c>
      <c r="AC25" s="1243" t="n">
        <v>0.49</v>
      </c>
      <c r="AD25" s="1243" t="n">
        <v>0.57</v>
      </c>
      <c r="AE25" s="1243" t="n">
        <v>0.7</v>
      </c>
      <c r="AF25" s="1243" t="n">
        <v>0.66</v>
      </c>
      <c r="AG25" s="1243" t="n">
        <v>0.37</v>
      </c>
      <c r="AH25" s="1243" t="n">
        <v>0.94</v>
      </c>
      <c r="AI25" s="1243" t="n">
        <v>0.73</v>
      </c>
      <c r="AJ25" s="1243" t="n">
        <v>0.53</v>
      </c>
      <c r="AK25" s="1243" t="n">
        <v>1.27</v>
      </c>
      <c r="AL25" s="1243" t="n">
        <v>0.76</v>
      </c>
      <c r="AM25" s="1243" t="n">
        <v>0.7</v>
      </c>
    </row>
    <row r="26" s="184" customFormat="true" ht="10.7" hidden="false" customHeight="true" outlineLevel="0" collapsed="false">
      <c r="A26" s="842" t="s">
        <v>225</v>
      </c>
      <c r="B26" s="198" t="n">
        <v>1.48</v>
      </c>
      <c r="C26" s="198" t="n">
        <v>0.25</v>
      </c>
      <c r="D26" s="198" t="n">
        <v>0</v>
      </c>
      <c r="E26" s="198" t="n">
        <v>1.72</v>
      </c>
      <c r="F26" s="197" t="n">
        <v>0.35</v>
      </c>
      <c r="G26" s="198" t="n">
        <v>0</v>
      </c>
      <c r="H26" s="198" t="n">
        <v>2.31</v>
      </c>
      <c r="I26" s="198" t="n">
        <v>0.56</v>
      </c>
      <c r="J26" s="198" t="n">
        <v>0</v>
      </c>
      <c r="K26" s="198" t="n">
        <v>2.56</v>
      </c>
      <c r="L26" s="198" t="n">
        <v>0.74</v>
      </c>
      <c r="M26" s="198" t="n">
        <v>0</v>
      </c>
      <c r="N26" s="842" t="s">
        <v>225</v>
      </c>
      <c r="O26" s="198" t="n">
        <v>1.14</v>
      </c>
      <c r="P26" s="197" t="n">
        <v>0.25</v>
      </c>
      <c r="Q26" s="197" t="n">
        <v>0.17</v>
      </c>
      <c r="R26" s="198" t="n">
        <v>2.21</v>
      </c>
      <c r="S26" s="198" t="n">
        <v>0.4</v>
      </c>
      <c r="T26" s="197" t="n">
        <v>0.18</v>
      </c>
      <c r="U26" s="198" t="n">
        <v>1.36</v>
      </c>
      <c r="V26" s="197" t="n">
        <v>0.48</v>
      </c>
      <c r="W26" s="197" t="n">
        <v>0.25</v>
      </c>
      <c r="X26" s="198" t="n">
        <v>1.44</v>
      </c>
      <c r="Y26" s="197" t="n">
        <v>0.58</v>
      </c>
      <c r="Z26" s="198" t="n">
        <v>0.32</v>
      </c>
      <c r="AA26" s="842" t="s">
        <v>225</v>
      </c>
      <c r="AB26" s="198" t="n">
        <v>1.01</v>
      </c>
      <c r="AC26" s="198" t="n">
        <v>0.58</v>
      </c>
      <c r="AD26" s="198" t="n">
        <v>0.5</v>
      </c>
      <c r="AE26" s="198" t="n">
        <v>0.76</v>
      </c>
      <c r="AF26" s="198" t="n">
        <v>0.63</v>
      </c>
      <c r="AG26" s="198" t="n">
        <v>0.35</v>
      </c>
      <c r="AH26" s="198" t="n">
        <v>0.95</v>
      </c>
      <c r="AI26" s="198" t="n">
        <v>0.75</v>
      </c>
      <c r="AJ26" s="198" t="n">
        <v>0.53</v>
      </c>
      <c r="AK26" s="198" t="n">
        <v>1.27</v>
      </c>
      <c r="AL26" s="198" t="n">
        <v>0.76</v>
      </c>
      <c r="AM26" s="198" t="n">
        <v>0.7</v>
      </c>
    </row>
    <row r="27" s="184" customFormat="true" ht="10.7" hidden="false" customHeight="true" outlineLevel="0" collapsed="false">
      <c r="A27" s="1123" t="s">
        <v>226</v>
      </c>
      <c r="B27" s="203" t="n">
        <f aca="false">AVERAGE(B28:B39)</f>
        <v>1.72666666666667</v>
      </c>
      <c r="C27" s="203" t="n">
        <f aca="false">AVERAGE(C28:C39)</f>
        <v>0.4175</v>
      </c>
      <c r="D27" s="203" t="n">
        <f aca="false">AVERAGE(D28:D39)</f>
        <v>0</v>
      </c>
      <c r="E27" s="203" t="n">
        <f aca="false">AVERAGE(E28:E39)</f>
        <v>1.89333333333333</v>
      </c>
      <c r="F27" s="203" t="n">
        <f aca="false">AVERAGE(F28:F39)</f>
        <v>0.515</v>
      </c>
      <c r="G27" s="203" t="n">
        <f aca="false">AVERAGE(G28:G39)</f>
        <v>0</v>
      </c>
      <c r="H27" s="203" t="n">
        <f aca="false">AVERAGE(H28:H39)</f>
        <v>2.47666666666667</v>
      </c>
      <c r="I27" s="203" t="n">
        <f aca="false">AVERAGE(I28:I39)</f>
        <v>0.755</v>
      </c>
      <c r="J27" s="203" t="n">
        <f aca="false">AVERAGE(J28:J39)</f>
        <v>0</v>
      </c>
      <c r="K27" s="203" t="n">
        <f aca="false">AVERAGE(K28:K39)</f>
        <v>2.6725</v>
      </c>
      <c r="L27" s="203" t="n">
        <f aca="false">AVERAGE(L28:L39)</f>
        <v>0.899166666666667</v>
      </c>
      <c r="M27" s="203" t="n">
        <f aca="false">AVERAGE(M28:M39)</f>
        <v>0</v>
      </c>
      <c r="N27" s="1123" t="s">
        <v>226</v>
      </c>
      <c r="O27" s="203" t="n">
        <f aca="false">AVERAGE(O28:O39)</f>
        <v>1.3325</v>
      </c>
      <c r="P27" s="203" t="n">
        <f aca="false">AVERAGE(P28:P39)</f>
        <v>0.356666666666667</v>
      </c>
      <c r="Q27" s="203" t="n">
        <f aca="false">AVERAGE(Q28:Q39)</f>
        <v>0.1625</v>
      </c>
      <c r="R27" s="203" t="n">
        <f aca="false">AVERAGE(R28:R39)</f>
        <v>1.64</v>
      </c>
      <c r="S27" s="203" t="n">
        <f aca="false">AVERAGE(S28:S39)</f>
        <v>0.520833333333333</v>
      </c>
      <c r="T27" s="203" t="n">
        <f aca="false">AVERAGE(T28:T39)</f>
        <v>0.1675</v>
      </c>
      <c r="U27" s="203" t="n">
        <f aca="false">AVERAGE(U28:U39)</f>
        <v>1.50083333333333</v>
      </c>
      <c r="V27" s="203" t="n">
        <f aca="false">AVERAGE(V28:V39)</f>
        <v>0.565</v>
      </c>
      <c r="W27" s="203" t="n">
        <f aca="false">AVERAGE(W28:W39)</f>
        <v>0.239166666666667</v>
      </c>
      <c r="X27" s="203" t="n">
        <f aca="false">AVERAGE(X28:X39)</f>
        <v>1.6075</v>
      </c>
      <c r="Y27" s="203" t="n">
        <f aca="false">AVERAGE(Y28:Y39)</f>
        <v>0.6925</v>
      </c>
      <c r="Z27" s="203" t="n">
        <f aca="false">AVERAGE(Z28:Z39)</f>
        <v>0.311666666666667</v>
      </c>
      <c r="AA27" s="1123" t="s">
        <v>226</v>
      </c>
      <c r="AB27" s="203" t="n">
        <f aca="false">AVERAGE(AB28:AB39)</f>
        <v>1.00083333333333</v>
      </c>
      <c r="AC27" s="203" t="n">
        <f aca="false">AVERAGE(AC28:AC39)</f>
        <v>0.6075</v>
      </c>
      <c r="AD27" s="203" t="n">
        <f aca="false">AVERAGE(AD28:AD39)</f>
        <v>0.546666666666667</v>
      </c>
      <c r="AE27" s="203" t="n">
        <f aca="false">AVERAGE(AE28:AE39)</f>
        <v>0.800833333333333</v>
      </c>
      <c r="AF27" s="203" t="n">
        <f aca="false">AVERAGE(AF28:AF39)</f>
        <v>0.6375</v>
      </c>
      <c r="AG27" s="203" t="n">
        <f aca="false">AVERAGE(AG28:AG39)</f>
        <v>0.363333333333333</v>
      </c>
      <c r="AH27" s="203" t="n">
        <f aca="false">AVERAGE(AH28:AH39)</f>
        <v>1.015</v>
      </c>
      <c r="AI27" s="203" t="n">
        <f aca="false">AVERAGE(AI28:AI39)</f>
        <v>0.7625</v>
      </c>
      <c r="AJ27" s="203" t="n">
        <f aca="false">AVERAGE(AJ28:AJ39)</f>
        <v>0.53</v>
      </c>
      <c r="AK27" s="203" t="n">
        <f aca="false">AVERAGE(AK28:AK39)</f>
        <v>1.28083333333333</v>
      </c>
      <c r="AL27" s="203" t="n">
        <f aca="false">AVERAGE(AL28:AL39)</f>
        <v>0.839166666666667</v>
      </c>
      <c r="AM27" s="203" t="n">
        <f aca="false">AVERAGE(AM28:AM39)</f>
        <v>0.7</v>
      </c>
    </row>
    <row r="28" s="184" customFormat="true" ht="10.7" hidden="false" customHeight="true" outlineLevel="0" collapsed="false">
      <c r="A28" s="842" t="s">
        <v>214</v>
      </c>
      <c r="B28" s="198" t="n">
        <v>1.51</v>
      </c>
      <c r="C28" s="198" t="n">
        <v>0.27</v>
      </c>
      <c r="D28" s="198" t="n">
        <v>0</v>
      </c>
      <c r="E28" s="198" t="n">
        <v>1.72</v>
      </c>
      <c r="F28" s="197" t="n">
        <v>0.41</v>
      </c>
      <c r="G28" s="198" t="n">
        <v>0</v>
      </c>
      <c r="H28" s="198" t="n">
        <v>2.32</v>
      </c>
      <c r="I28" s="198" t="n">
        <v>0.62</v>
      </c>
      <c r="J28" s="198" t="n">
        <v>0</v>
      </c>
      <c r="K28" s="198" t="n">
        <v>2.59</v>
      </c>
      <c r="L28" s="198" t="n">
        <v>0.79</v>
      </c>
      <c r="M28" s="198" t="n">
        <v>0</v>
      </c>
      <c r="N28" s="842" t="s">
        <v>214</v>
      </c>
      <c r="O28" s="198" t="n">
        <v>1.17</v>
      </c>
      <c r="P28" s="197" t="n">
        <v>0.33</v>
      </c>
      <c r="Q28" s="197" t="n">
        <v>0.17</v>
      </c>
      <c r="R28" s="198" t="n">
        <v>2.23</v>
      </c>
      <c r="S28" s="198" t="n">
        <v>0.47</v>
      </c>
      <c r="T28" s="197" t="n">
        <v>0.17</v>
      </c>
      <c r="U28" s="198" t="n">
        <v>1.39</v>
      </c>
      <c r="V28" s="197" t="n">
        <v>0.55</v>
      </c>
      <c r="W28" s="197" t="n">
        <v>0.24</v>
      </c>
      <c r="X28" s="198" t="n">
        <v>1.52</v>
      </c>
      <c r="Y28" s="197" t="n">
        <v>0.66</v>
      </c>
      <c r="Z28" s="198" t="n">
        <v>0.32</v>
      </c>
      <c r="AA28" s="842" t="s">
        <v>214</v>
      </c>
      <c r="AB28" s="198" t="n">
        <v>1.02</v>
      </c>
      <c r="AC28" s="198" t="n">
        <v>0.61</v>
      </c>
      <c r="AD28" s="198" t="n">
        <v>0.57</v>
      </c>
      <c r="AE28" s="198" t="n">
        <v>0.74</v>
      </c>
      <c r="AF28" s="198" t="n">
        <v>0.6</v>
      </c>
      <c r="AG28" s="198" t="n">
        <v>0.37</v>
      </c>
      <c r="AH28" s="198" t="n">
        <v>0.95</v>
      </c>
      <c r="AI28" s="198" t="n">
        <v>0.75</v>
      </c>
      <c r="AJ28" s="198" t="n">
        <v>0.53</v>
      </c>
      <c r="AK28" s="198" t="n">
        <v>1.27</v>
      </c>
      <c r="AL28" s="198" t="n">
        <v>0.82</v>
      </c>
      <c r="AM28" s="198" t="n">
        <v>0.7</v>
      </c>
    </row>
    <row r="29" s="184" customFormat="true" ht="10.7" hidden="false" customHeight="true" outlineLevel="0" collapsed="false">
      <c r="A29" s="840" t="s">
        <v>215</v>
      </c>
      <c r="B29" s="1243" t="n">
        <v>1.51</v>
      </c>
      <c r="C29" s="1243" t="n">
        <v>0.39</v>
      </c>
      <c r="D29" s="1243" t="n">
        <v>0</v>
      </c>
      <c r="E29" s="1243" t="n">
        <v>1.72</v>
      </c>
      <c r="F29" s="191" t="n">
        <v>0.48</v>
      </c>
      <c r="G29" s="1243" t="n">
        <v>0</v>
      </c>
      <c r="H29" s="1243" t="n">
        <v>2.33</v>
      </c>
      <c r="I29" s="1243" t="n">
        <v>0.7</v>
      </c>
      <c r="J29" s="1243" t="n">
        <v>0</v>
      </c>
      <c r="K29" s="1243" t="n">
        <v>2.62</v>
      </c>
      <c r="L29" s="1243" t="n">
        <v>0.85</v>
      </c>
      <c r="M29" s="1243" t="n">
        <v>0</v>
      </c>
      <c r="N29" s="840" t="s">
        <v>215</v>
      </c>
      <c r="O29" s="1243" t="n">
        <v>1.09</v>
      </c>
      <c r="P29" s="191" t="n">
        <v>0.33</v>
      </c>
      <c r="Q29" s="191" t="n">
        <v>0.17</v>
      </c>
      <c r="R29" s="1243" t="n">
        <v>2.15</v>
      </c>
      <c r="S29" s="1243" t="n">
        <v>0.47</v>
      </c>
      <c r="T29" s="191" t="n">
        <v>0.17</v>
      </c>
      <c r="U29" s="1243" t="n">
        <v>1.32</v>
      </c>
      <c r="V29" s="191" t="n">
        <v>0.54</v>
      </c>
      <c r="W29" s="191" t="n">
        <v>0.24</v>
      </c>
      <c r="X29" s="1243" t="n">
        <v>1.42</v>
      </c>
      <c r="Y29" s="191" t="n">
        <v>0.63</v>
      </c>
      <c r="Z29" s="1243" t="n">
        <v>0.31</v>
      </c>
      <c r="AA29" s="840" t="s">
        <v>215</v>
      </c>
      <c r="AB29" s="1243" t="n">
        <v>1.16</v>
      </c>
      <c r="AC29" s="1243" t="n">
        <v>0.54</v>
      </c>
      <c r="AD29" s="1243" t="n">
        <v>0.57</v>
      </c>
      <c r="AE29" s="1243" t="n">
        <v>0.74</v>
      </c>
      <c r="AF29" s="1243" t="n">
        <v>0.68</v>
      </c>
      <c r="AG29" s="1243" t="n">
        <v>0.37</v>
      </c>
      <c r="AH29" s="1243" t="n">
        <v>0.96</v>
      </c>
      <c r="AI29" s="1243" t="n">
        <v>0.73</v>
      </c>
      <c r="AJ29" s="1243" t="n">
        <v>0.53</v>
      </c>
      <c r="AK29" s="1243" t="n">
        <v>1.27</v>
      </c>
      <c r="AL29" s="1243" t="n">
        <v>0.83</v>
      </c>
      <c r="AM29" s="1243" t="n">
        <v>0.7</v>
      </c>
    </row>
    <row r="30" s="184" customFormat="true" ht="10.7" hidden="false" customHeight="true" outlineLevel="0" collapsed="false">
      <c r="A30" s="842" t="s">
        <v>216</v>
      </c>
      <c r="B30" s="198" t="n">
        <v>1.55</v>
      </c>
      <c r="C30" s="198" t="n">
        <v>0.43</v>
      </c>
      <c r="D30" s="198" t="n">
        <v>0</v>
      </c>
      <c r="E30" s="198" t="n">
        <v>1.72</v>
      </c>
      <c r="F30" s="197" t="n">
        <v>0.49</v>
      </c>
      <c r="G30" s="198" t="n">
        <v>0</v>
      </c>
      <c r="H30" s="198" t="n">
        <v>2.36</v>
      </c>
      <c r="I30" s="198" t="n">
        <v>0.71</v>
      </c>
      <c r="J30" s="198" t="n">
        <v>0</v>
      </c>
      <c r="K30" s="198" t="n">
        <v>2.66</v>
      </c>
      <c r="L30" s="198" t="n">
        <v>0.86</v>
      </c>
      <c r="M30" s="198" t="n">
        <v>0</v>
      </c>
      <c r="N30" s="842" t="s">
        <v>216</v>
      </c>
      <c r="O30" s="198" t="n">
        <v>1.15</v>
      </c>
      <c r="P30" s="198" t="n">
        <v>0.3</v>
      </c>
      <c r="Q30" s="197" t="n">
        <v>0.17</v>
      </c>
      <c r="R30" s="198" t="n">
        <v>2.19</v>
      </c>
      <c r="S30" s="198" t="n">
        <v>0.45</v>
      </c>
      <c r="T30" s="197" t="n">
        <v>0.17</v>
      </c>
      <c r="U30" s="198" t="n">
        <v>1.32</v>
      </c>
      <c r="V30" s="197" t="n">
        <v>0.53</v>
      </c>
      <c r="W30" s="197" t="n">
        <v>0.24</v>
      </c>
      <c r="X30" s="198" t="n">
        <v>1.45</v>
      </c>
      <c r="Y30" s="197" t="n">
        <v>0.63</v>
      </c>
      <c r="Z30" s="198" t="n">
        <v>0.31</v>
      </c>
      <c r="AA30" s="842" t="s">
        <v>216</v>
      </c>
      <c r="AB30" s="198" t="n">
        <v>1.08</v>
      </c>
      <c r="AC30" s="198" t="n">
        <v>0.62</v>
      </c>
      <c r="AD30" s="198" t="n">
        <v>0.5</v>
      </c>
      <c r="AE30" s="198" t="n">
        <v>0.78</v>
      </c>
      <c r="AF30" s="198" t="n">
        <v>0.67</v>
      </c>
      <c r="AG30" s="198" t="n">
        <v>0.35</v>
      </c>
      <c r="AH30" s="198" t="n">
        <v>0.94</v>
      </c>
      <c r="AI30" s="198" t="n">
        <v>0.71</v>
      </c>
      <c r="AJ30" s="198" t="n">
        <v>0.53</v>
      </c>
      <c r="AK30" s="198" t="n">
        <v>1.26</v>
      </c>
      <c r="AL30" s="198" t="n">
        <v>0.83</v>
      </c>
      <c r="AM30" s="198" t="n">
        <v>0.7</v>
      </c>
    </row>
    <row r="31" s="184" customFormat="true" ht="10.7" hidden="false" customHeight="true" outlineLevel="0" collapsed="false">
      <c r="A31" s="840" t="s">
        <v>217</v>
      </c>
      <c r="B31" s="1243" t="n">
        <v>1.65</v>
      </c>
      <c r="C31" s="1243" t="n">
        <v>0.43</v>
      </c>
      <c r="D31" s="1243" t="n">
        <v>0</v>
      </c>
      <c r="E31" s="1243" t="n">
        <v>1.78</v>
      </c>
      <c r="F31" s="1243" t="n">
        <v>0.5</v>
      </c>
      <c r="G31" s="1243" t="n">
        <v>0</v>
      </c>
      <c r="H31" s="1243" t="n">
        <v>2.43</v>
      </c>
      <c r="I31" s="1243" t="n">
        <v>0.71</v>
      </c>
      <c r="J31" s="1243" t="n">
        <v>0</v>
      </c>
      <c r="K31" s="1243" t="n">
        <v>2.74</v>
      </c>
      <c r="L31" s="1243" t="n">
        <v>0.88</v>
      </c>
      <c r="M31" s="1243" t="n">
        <v>0</v>
      </c>
      <c r="N31" s="840" t="s">
        <v>217</v>
      </c>
      <c r="O31" s="1243" t="n">
        <v>1.22</v>
      </c>
      <c r="P31" s="1243" t="n">
        <v>0.33</v>
      </c>
      <c r="Q31" s="191" t="n">
        <v>0.17</v>
      </c>
      <c r="R31" s="1243" t="n">
        <v>1.26</v>
      </c>
      <c r="S31" s="1243" t="n">
        <v>0.47</v>
      </c>
      <c r="T31" s="191" t="n">
        <v>0.17</v>
      </c>
      <c r="U31" s="1243" t="n">
        <v>1.44</v>
      </c>
      <c r="V31" s="191" t="n">
        <v>0.53</v>
      </c>
      <c r="W31" s="191" t="n">
        <v>0.25</v>
      </c>
      <c r="X31" s="1243" t="n">
        <v>1.56</v>
      </c>
      <c r="Y31" s="191" t="n">
        <v>0.64</v>
      </c>
      <c r="Z31" s="1243" t="n">
        <v>0.31</v>
      </c>
      <c r="AA31" s="840" t="s">
        <v>217</v>
      </c>
      <c r="AB31" s="1243" t="n">
        <v>1.09</v>
      </c>
      <c r="AC31" s="1243" t="n">
        <v>0.64</v>
      </c>
      <c r="AD31" s="1243" t="n">
        <v>0.57</v>
      </c>
      <c r="AE31" s="1243" t="n">
        <v>0.72</v>
      </c>
      <c r="AF31" s="1243" t="n">
        <v>0.65</v>
      </c>
      <c r="AG31" s="1243" t="n">
        <v>0.37</v>
      </c>
      <c r="AH31" s="1243" t="n">
        <v>0.99</v>
      </c>
      <c r="AI31" s="1243" t="n">
        <v>0.76</v>
      </c>
      <c r="AJ31" s="1243" t="n">
        <v>0.53</v>
      </c>
      <c r="AK31" s="1243" t="n">
        <v>1.26</v>
      </c>
      <c r="AL31" s="1243" t="n">
        <v>0.83</v>
      </c>
      <c r="AM31" s="1243" t="n">
        <v>0.7</v>
      </c>
    </row>
    <row r="32" s="184" customFormat="true" ht="10.7" hidden="false" customHeight="true" outlineLevel="0" collapsed="false">
      <c r="A32" s="842" t="s">
        <v>218</v>
      </c>
      <c r="B32" s="198" t="n">
        <v>1.7</v>
      </c>
      <c r="C32" s="198" t="n">
        <v>0.43</v>
      </c>
      <c r="D32" s="198" t="n">
        <v>0</v>
      </c>
      <c r="E32" s="198" t="n">
        <v>1.95</v>
      </c>
      <c r="F32" s="198" t="n">
        <v>0.54</v>
      </c>
      <c r="G32" s="198" t="n">
        <v>0</v>
      </c>
      <c r="H32" s="198" t="n">
        <v>2.66</v>
      </c>
      <c r="I32" s="198" t="n">
        <v>0.79</v>
      </c>
      <c r="J32" s="198" t="n">
        <v>0</v>
      </c>
      <c r="K32" s="198" t="n">
        <v>2.92</v>
      </c>
      <c r="L32" s="198" t="n">
        <v>0.94</v>
      </c>
      <c r="M32" s="198" t="n">
        <v>0</v>
      </c>
      <c r="N32" s="842" t="s">
        <v>218</v>
      </c>
      <c r="O32" s="198" t="n">
        <v>1.33</v>
      </c>
      <c r="P32" s="198" t="n">
        <v>0.35</v>
      </c>
      <c r="Q32" s="197" t="n">
        <v>0.17</v>
      </c>
      <c r="R32" s="198" t="n">
        <v>1.42</v>
      </c>
      <c r="S32" s="198" t="n">
        <v>0.5</v>
      </c>
      <c r="T32" s="197" t="n">
        <v>0.17</v>
      </c>
      <c r="U32" s="198" t="n">
        <v>1.58</v>
      </c>
      <c r="V32" s="197" t="n">
        <v>0.54</v>
      </c>
      <c r="W32" s="197" t="n">
        <v>0.25</v>
      </c>
      <c r="X32" s="198" t="n">
        <v>1.66</v>
      </c>
      <c r="Y32" s="198" t="n">
        <v>0.7</v>
      </c>
      <c r="Z32" s="198" t="n">
        <v>0.31</v>
      </c>
      <c r="AA32" s="842" t="s">
        <v>218</v>
      </c>
      <c r="AB32" s="198" t="n">
        <v>0.72</v>
      </c>
      <c r="AC32" s="198" t="n">
        <v>0.59</v>
      </c>
      <c r="AD32" s="198" t="n">
        <v>0.57</v>
      </c>
      <c r="AE32" s="198" t="n">
        <v>0.53</v>
      </c>
      <c r="AF32" s="198" t="n">
        <v>0.74</v>
      </c>
      <c r="AG32" s="198" t="n">
        <v>0.37</v>
      </c>
      <c r="AH32" s="198" t="n">
        <v>0.82</v>
      </c>
      <c r="AI32" s="198" t="n">
        <v>0.76</v>
      </c>
      <c r="AJ32" s="198" t="n">
        <v>0.53</v>
      </c>
      <c r="AK32" s="198" t="n">
        <v>1.01</v>
      </c>
      <c r="AL32" s="198" t="n">
        <v>0.9</v>
      </c>
      <c r="AM32" s="198" t="n">
        <v>0.7</v>
      </c>
    </row>
    <row r="33" s="184" customFormat="true" ht="10.7" hidden="false" customHeight="true" outlineLevel="0" collapsed="false">
      <c r="A33" s="840" t="s">
        <v>219</v>
      </c>
      <c r="B33" s="1243" t="n">
        <v>1.8</v>
      </c>
      <c r="C33" s="1243" t="n">
        <v>0.44</v>
      </c>
      <c r="D33" s="1243" t="n">
        <v>0</v>
      </c>
      <c r="E33" s="1243" t="n">
        <v>2.07</v>
      </c>
      <c r="F33" s="1243" t="n">
        <v>0.57</v>
      </c>
      <c r="G33" s="1243" t="n">
        <v>0</v>
      </c>
      <c r="H33" s="1243" t="n">
        <v>2.71</v>
      </c>
      <c r="I33" s="1243" t="n">
        <v>0.84</v>
      </c>
      <c r="J33" s="1243" t="n">
        <v>0</v>
      </c>
      <c r="K33" s="1243" t="n">
        <v>2.92</v>
      </c>
      <c r="L33" s="1243" t="n">
        <v>0.97</v>
      </c>
      <c r="M33" s="1243" t="n">
        <v>0</v>
      </c>
      <c r="N33" s="840" t="s">
        <v>219</v>
      </c>
      <c r="O33" s="1243" t="n">
        <v>1.46</v>
      </c>
      <c r="P33" s="1243" t="n">
        <v>0.39</v>
      </c>
      <c r="Q33" s="191" t="n">
        <v>0.17</v>
      </c>
      <c r="R33" s="1243" t="n">
        <v>1.54</v>
      </c>
      <c r="S33" s="1243" t="n">
        <v>0.94</v>
      </c>
      <c r="T33" s="191" t="n">
        <v>0.17</v>
      </c>
      <c r="U33" s="1243" t="n">
        <v>1.67</v>
      </c>
      <c r="V33" s="191" t="n">
        <v>0.62</v>
      </c>
      <c r="W33" s="191" t="n">
        <v>0.24</v>
      </c>
      <c r="X33" s="1243" t="n">
        <v>1.68</v>
      </c>
      <c r="Y33" s="1243" t="n">
        <v>0.89</v>
      </c>
      <c r="Z33" s="1243" t="n">
        <v>0.31</v>
      </c>
      <c r="AA33" s="840" t="s">
        <v>219</v>
      </c>
      <c r="AB33" s="1243" t="n">
        <v>0.9</v>
      </c>
      <c r="AC33" s="1243" t="n">
        <v>0.63</v>
      </c>
      <c r="AD33" s="1243" t="n">
        <v>0.5</v>
      </c>
      <c r="AE33" s="1243" t="n">
        <v>0.79</v>
      </c>
      <c r="AF33" s="1243" t="n">
        <v>0.65</v>
      </c>
      <c r="AG33" s="1243" t="n">
        <v>0.35</v>
      </c>
      <c r="AH33" s="1243" t="n">
        <v>1</v>
      </c>
      <c r="AI33" s="1243" t="n">
        <v>0.73</v>
      </c>
      <c r="AJ33" s="1243" t="n">
        <v>0.53</v>
      </c>
      <c r="AK33" s="1243" t="n">
        <v>1.29</v>
      </c>
      <c r="AL33" s="1243" t="n">
        <v>0.83</v>
      </c>
      <c r="AM33" s="1243" t="n">
        <v>0.7</v>
      </c>
    </row>
    <row r="34" s="184" customFormat="true" ht="10.7" hidden="false" customHeight="true" outlineLevel="0" collapsed="false">
      <c r="A34" s="842" t="s">
        <v>220</v>
      </c>
      <c r="B34" s="908" t="n">
        <v>1.85</v>
      </c>
      <c r="C34" s="198" t="n">
        <v>0.44</v>
      </c>
      <c r="D34" s="198" t="n">
        <v>0</v>
      </c>
      <c r="E34" s="198" t="n">
        <v>2.08</v>
      </c>
      <c r="F34" s="198" t="n">
        <v>0.58</v>
      </c>
      <c r="G34" s="198" t="n">
        <v>0</v>
      </c>
      <c r="H34" s="198" t="n">
        <v>2.68</v>
      </c>
      <c r="I34" s="198" t="n">
        <v>0.85</v>
      </c>
      <c r="J34" s="198" t="n">
        <v>0</v>
      </c>
      <c r="K34" s="198" t="n">
        <v>2.84</v>
      </c>
      <c r="L34" s="198" t="n">
        <v>0.99</v>
      </c>
      <c r="M34" s="198" t="n">
        <v>0</v>
      </c>
      <c r="N34" s="842" t="s">
        <v>220</v>
      </c>
      <c r="O34" s="198" t="n">
        <v>1.38</v>
      </c>
      <c r="P34" s="198" t="n">
        <v>0.36</v>
      </c>
      <c r="Q34" s="197" t="n">
        <v>0.18</v>
      </c>
      <c r="R34" s="198" t="n">
        <v>1.62</v>
      </c>
      <c r="S34" s="198" t="n">
        <v>0.49</v>
      </c>
      <c r="T34" s="197" t="n">
        <v>0.17</v>
      </c>
      <c r="U34" s="198" t="n">
        <v>1.64</v>
      </c>
      <c r="V34" s="197" t="n">
        <v>0.62</v>
      </c>
      <c r="W34" s="197" t="n">
        <v>0.24</v>
      </c>
      <c r="X34" s="198" t="n">
        <v>1.73</v>
      </c>
      <c r="Y34" s="198" t="n">
        <v>0.73</v>
      </c>
      <c r="Z34" s="198" t="n">
        <v>0.31</v>
      </c>
      <c r="AA34" s="842" t="s">
        <v>220</v>
      </c>
      <c r="AB34" s="198" t="n">
        <v>0.96</v>
      </c>
      <c r="AC34" s="198" t="n">
        <v>0.63</v>
      </c>
      <c r="AD34" s="198" t="n">
        <v>0.57</v>
      </c>
      <c r="AE34" s="198" t="n">
        <v>0.75</v>
      </c>
      <c r="AF34" s="198" t="n">
        <v>0.65</v>
      </c>
      <c r="AG34" s="198" t="n">
        <v>0.37</v>
      </c>
      <c r="AH34" s="198" t="n">
        <v>1</v>
      </c>
      <c r="AI34" s="198" t="n">
        <v>0.73</v>
      </c>
      <c r="AJ34" s="198" t="n">
        <v>0.53</v>
      </c>
      <c r="AK34" s="198" t="n">
        <v>1.29</v>
      </c>
      <c r="AL34" s="198" t="n">
        <v>0.83</v>
      </c>
      <c r="AM34" s="198" t="n">
        <v>0.7</v>
      </c>
    </row>
    <row r="35" s="184" customFormat="true" ht="10.7" hidden="false" customHeight="true" outlineLevel="0" collapsed="false">
      <c r="A35" s="840" t="s">
        <v>221</v>
      </c>
      <c r="B35" s="183" t="n">
        <v>1.86</v>
      </c>
      <c r="C35" s="1243" t="n">
        <v>0.44</v>
      </c>
      <c r="D35" s="1243" t="n">
        <v>0</v>
      </c>
      <c r="E35" s="1243" t="n">
        <v>2.05</v>
      </c>
      <c r="F35" s="1243" t="n">
        <v>0.57</v>
      </c>
      <c r="G35" s="1243" t="n">
        <v>0</v>
      </c>
      <c r="H35" s="1243" t="n">
        <v>2.62</v>
      </c>
      <c r="I35" s="1243" t="n">
        <v>0.84</v>
      </c>
      <c r="J35" s="1243" t="n">
        <v>0</v>
      </c>
      <c r="K35" s="1243" t="n">
        <v>2.78</v>
      </c>
      <c r="L35" s="1243" t="n">
        <v>0.97</v>
      </c>
      <c r="M35" s="1243" t="n">
        <v>0</v>
      </c>
      <c r="N35" s="840" t="s">
        <v>221</v>
      </c>
      <c r="O35" s="1243" t="n">
        <v>1.38</v>
      </c>
      <c r="P35" s="1243" t="n">
        <v>0.37</v>
      </c>
      <c r="Q35" s="191" t="n">
        <v>0.17</v>
      </c>
      <c r="R35" s="1243" t="n">
        <v>1.55</v>
      </c>
      <c r="S35" s="1243" t="n">
        <v>0.47</v>
      </c>
      <c r="T35" s="191" t="n">
        <v>0.17</v>
      </c>
      <c r="U35" s="1243" t="n">
        <v>1.6</v>
      </c>
      <c r="V35" s="1243" t="n">
        <v>0.6</v>
      </c>
      <c r="W35" s="191" t="n">
        <v>0.24</v>
      </c>
      <c r="X35" s="1243" t="n">
        <v>1.68</v>
      </c>
      <c r="Y35" s="1243" t="n">
        <v>0.71</v>
      </c>
      <c r="Z35" s="1243" t="n">
        <v>0.31</v>
      </c>
      <c r="AA35" s="840" t="s">
        <v>221</v>
      </c>
      <c r="AB35" s="1243" t="n">
        <v>0.93</v>
      </c>
      <c r="AC35" s="1243" t="n">
        <v>0.59</v>
      </c>
      <c r="AD35" s="1243" t="n">
        <v>0.57</v>
      </c>
      <c r="AE35" s="1243" t="n">
        <v>0.8</v>
      </c>
      <c r="AF35" s="1243" t="n">
        <v>0.59</v>
      </c>
      <c r="AG35" s="1243" t="n">
        <v>0.37</v>
      </c>
      <c r="AH35" s="1243" t="n">
        <v>1.02</v>
      </c>
      <c r="AI35" s="1243" t="n">
        <v>0.8</v>
      </c>
      <c r="AJ35" s="1243" t="n">
        <v>0.53</v>
      </c>
      <c r="AK35" s="1243" t="n">
        <v>1.28</v>
      </c>
      <c r="AL35" s="1243" t="n">
        <v>0.84</v>
      </c>
      <c r="AM35" s="1243" t="n">
        <v>0.7</v>
      </c>
    </row>
    <row r="36" s="184" customFormat="true" ht="10.7" hidden="false" customHeight="true" outlineLevel="0" collapsed="false">
      <c r="A36" s="842" t="s">
        <v>222</v>
      </c>
      <c r="B36" s="908" t="n">
        <v>1.84</v>
      </c>
      <c r="C36" s="198" t="n">
        <v>0.43</v>
      </c>
      <c r="D36" s="198" t="n">
        <v>0</v>
      </c>
      <c r="E36" s="198" t="n">
        <v>1.96</v>
      </c>
      <c r="F36" s="198" t="n">
        <v>0.53</v>
      </c>
      <c r="G36" s="198" t="n">
        <v>0</v>
      </c>
      <c r="H36" s="198" t="n">
        <v>2.51</v>
      </c>
      <c r="I36" s="198" t="n">
        <v>0.8</v>
      </c>
      <c r="J36" s="198" t="n">
        <v>0</v>
      </c>
      <c r="K36" s="198" t="n">
        <v>2.69</v>
      </c>
      <c r="L36" s="198" t="n">
        <v>0.94</v>
      </c>
      <c r="M36" s="198" t="n">
        <v>0</v>
      </c>
      <c r="N36" s="842" t="s">
        <v>222</v>
      </c>
      <c r="O36" s="198" t="n">
        <v>1.39</v>
      </c>
      <c r="P36" s="198" t="n">
        <v>0.33</v>
      </c>
      <c r="Q36" s="197" t="n">
        <v>0.05</v>
      </c>
      <c r="R36" s="198" t="n">
        <v>1.45</v>
      </c>
      <c r="S36" s="198" t="n">
        <v>0.42</v>
      </c>
      <c r="T36" s="197" t="n">
        <v>0.13</v>
      </c>
      <c r="U36" s="198" t="n">
        <v>1.5</v>
      </c>
      <c r="V36" s="198" t="n">
        <v>0.54</v>
      </c>
      <c r="W36" s="198" t="n">
        <v>0.2</v>
      </c>
      <c r="X36" s="198" t="n">
        <v>1.61</v>
      </c>
      <c r="Y36" s="198" t="n">
        <v>0.64</v>
      </c>
      <c r="Z36" s="198" t="n">
        <v>0.29</v>
      </c>
      <c r="AA36" s="842" t="s">
        <v>222</v>
      </c>
      <c r="AB36" s="198" t="n">
        <v>0.9</v>
      </c>
      <c r="AC36" s="198" t="n">
        <v>0.63</v>
      </c>
      <c r="AD36" s="198" t="n">
        <v>0.5</v>
      </c>
      <c r="AE36" s="198" t="n">
        <v>0.84</v>
      </c>
      <c r="AF36" s="198" t="n">
        <v>0.54</v>
      </c>
      <c r="AG36" s="198" t="n">
        <v>0.35</v>
      </c>
      <c r="AH36" s="198" t="n">
        <v>1.02</v>
      </c>
      <c r="AI36" s="198" t="n">
        <v>0.78</v>
      </c>
      <c r="AJ36" s="198" t="n">
        <v>0.53</v>
      </c>
      <c r="AK36" s="198" t="n">
        <v>1.34</v>
      </c>
      <c r="AL36" s="198" t="n">
        <v>0.84</v>
      </c>
      <c r="AM36" s="198" t="n">
        <v>0.7</v>
      </c>
    </row>
    <row r="37" s="184" customFormat="true" ht="10.7" hidden="false" customHeight="true" outlineLevel="0" collapsed="false">
      <c r="A37" s="840" t="s">
        <v>223</v>
      </c>
      <c r="B37" s="183" t="n">
        <v>1.84</v>
      </c>
      <c r="C37" s="1243" t="n">
        <v>0.44</v>
      </c>
      <c r="D37" s="1243" t="n">
        <v>0</v>
      </c>
      <c r="E37" s="1243" t="n">
        <v>1.94</v>
      </c>
      <c r="F37" s="1243" t="n">
        <v>0.52</v>
      </c>
      <c r="G37" s="1243" t="n">
        <v>0</v>
      </c>
      <c r="H37" s="1243" t="n">
        <v>2.47</v>
      </c>
      <c r="I37" s="1243" t="n">
        <v>0.76</v>
      </c>
      <c r="J37" s="1243" t="n">
        <v>0</v>
      </c>
      <c r="K37" s="1243" t="n">
        <v>2.57</v>
      </c>
      <c r="L37" s="1243" t="n">
        <v>0.9</v>
      </c>
      <c r="M37" s="1243" t="n">
        <v>0</v>
      </c>
      <c r="N37" s="840" t="s">
        <v>223</v>
      </c>
      <c r="O37" s="1243" t="n">
        <v>1.46</v>
      </c>
      <c r="P37" s="1243" t="n">
        <v>0.37</v>
      </c>
      <c r="Q37" s="191" t="n">
        <v>0.17</v>
      </c>
      <c r="R37" s="1243" t="n">
        <v>1.46</v>
      </c>
      <c r="S37" s="1243" t="n">
        <v>0.45</v>
      </c>
      <c r="T37" s="191" t="n">
        <v>0.17</v>
      </c>
      <c r="U37" s="1243" t="n">
        <v>1.57</v>
      </c>
      <c r="V37" s="1243" t="n">
        <v>0.57</v>
      </c>
      <c r="W37" s="1243" t="n">
        <v>0.24</v>
      </c>
      <c r="X37" s="1243" t="n">
        <v>1.7</v>
      </c>
      <c r="Y37" s="1243" t="n">
        <v>0.7</v>
      </c>
      <c r="Z37" s="1243" t="n">
        <v>0.31</v>
      </c>
      <c r="AA37" s="840" t="s">
        <v>223</v>
      </c>
      <c r="AB37" s="1243" t="n">
        <v>1.02</v>
      </c>
      <c r="AC37" s="1243" t="n">
        <v>0.63</v>
      </c>
      <c r="AD37" s="1243" t="n">
        <v>0.57</v>
      </c>
      <c r="AE37" s="1243" t="n">
        <v>0.76</v>
      </c>
      <c r="AF37" s="1243" t="n">
        <v>0.54</v>
      </c>
      <c r="AG37" s="1243" t="n">
        <v>0.37</v>
      </c>
      <c r="AH37" s="1243" t="n">
        <v>1.12</v>
      </c>
      <c r="AI37" s="1243" t="n">
        <v>0.79</v>
      </c>
      <c r="AJ37" s="1243" t="n">
        <v>0.53</v>
      </c>
      <c r="AK37" s="1243" t="n">
        <v>1.34</v>
      </c>
      <c r="AL37" s="1243" t="n">
        <v>0.84</v>
      </c>
      <c r="AM37" s="1243" t="n">
        <v>0.7</v>
      </c>
    </row>
    <row r="38" s="184" customFormat="true" ht="10.7" hidden="false" customHeight="true" outlineLevel="0" collapsed="false">
      <c r="A38" s="842" t="s">
        <v>224</v>
      </c>
      <c r="B38" s="908" t="n">
        <v>1.82</v>
      </c>
      <c r="C38" s="198" t="n">
        <v>0.44</v>
      </c>
      <c r="D38" s="198" t="n">
        <v>0</v>
      </c>
      <c r="E38" s="198" t="n">
        <v>1.9</v>
      </c>
      <c r="F38" s="198" t="n">
        <v>0.5</v>
      </c>
      <c r="G38" s="198" t="n">
        <v>0</v>
      </c>
      <c r="H38" s="198" t="n">
        <v>2.4</v>
      </c>
      <c r="I38" s="198" t="n">
        <v>0.74</v>
      </c>
      <c r="J38" s="198" t="n">
        <v>0</v>
      </c>
      <c r="K38" s="198" t="n">
        <v>2.49</v>
      </c>
      <c r="L38" s="198" t="n">
        <v>0.88</v>
      </c>
      <c r="M38" s="198" t="n">
        <v>0</v>
      </c>
      <c r="N38" s="842" t="s">
        <v>224</v>
      </c>
      <c r="O38" s="198" t="n">
        <v>1.44</v>
      </c>
      <c r="P38" s="198" t="n">
        <v>0.38</v>
      </c>
      <c r="Q38" s="197" t="n">
        <v>0.18</v>
      </c>
      <c r="R38" s="198" t="n">
        <v>1.44</v>
      </c>
      <c r="S38" s="198" t="n">
        <v>0.55</v>
      </c>
      <c r="T38" s="197" t="n">
        <v>0.17</v>
      </c>
      <c r="U38" s="198" t="n">
        <v>1.54</v>
      </c>
      <c r="V38" s="198" t="n">
        <v>0.56</v>
      </c>
      <c r="W38" s="198" t="n">
        <v>0.24</v>
      </c>
      <c r="X38" s="198" t="n">
        <v>1.67</v>
      </c>
      <c r="Y38" s="198" t="n">
        <v>0.67</v>
      </c>
      <c r="Z38" s="198" t="n">
        <v>0.32</v>
      </c>
      <c r="AA38" s="842" t="s">
        <v>224</v>
      </c>
      <c r="AB38" s="198" t="n">
        <v>1.16</v>
      </c>
      <c r="AC38" s="198" t="n">
        <v>0.56</v>
      </c>
      <c r="AD38" s="198" t="n">
        <v>0.57</v>
      </c>
      <c r="AE38" s="198" t="n">
        <v>0.69</v>
      </c>
      <c r="AF38" s="198" t="n">
        <v>0.68</v>
      </c>
      <c r="AG38" s="198" t="n">
        <v>0.37</v>
      </c>
      <c r="AH38" s="198" t="n">
        <v>1.14</v>
      </c>
      <c r="AI38" s="198" t="n">
        <v>0.79</v>
      </c>
      <c r="AJ38" s="198" t="n">
        <v>0.53</v>
      </c>
      <c r="AK38" s="198" t="n">
        <v>1.34</v>
      </c>
      <c r="AL38" s="198" t="n">
        <v>0.84</v>
      </c>
      <c r="AM38" s="198" t="n">
        <v>0.7</v>
      </c>
    </row>
    <row r="39" s="184" customFormat="true" ht="10.7" hidden="false" customHeight="true" outlineLevel="0" collapsed="false">
      <c r="A39" s="840" t="s">
        <v>225</v>
      </c>
      <c r="B39" s="183" t="n">
        <v>1.79</v>
      </c>
      <c r="C39" s="1243" t="n">
        <v>0.43</v>
      </c>
      <c r="D39" s="1243" t="n">
        <v>0</v>
      </c>
      <c r="E39" s="1243" t="n">
        <v>1.83</v>
      </c>
      <c r="F39" s="1243" t="n">
        <v>0.49</v>
      </c>
      <c r="G39" s="1243" t="n">
        <v>0</v>
      </c>
      <c r="H39" s="1243" t="n">
        <v>2.23</v>
      </c>
      <c r="I39" s="1243" t="n">
        <v>0.7</v>
      </c>
      <c r="J39" s="1243" t="n">
        <v>0</v>
      </c>
      <c r="K39" s="1243" t="n">
        <v>2.25</v>
      </c>
      <c r="L39" s="1243" t="n">
        <v>0.82</v>
      </c>
      <c r="M39" s="1243" t="n">
        <v>0</v>
      </c>
      <c r="N39" s="840" t="s">
        <v>225</v>
      </c>
      <c r="O39" s="1243" t="n">
        <v>1.52</v>
      </c>
      <c r="P39" s="1243" t="n">
        <v>0.44</v>
      </c>
      <c r="Q39" s="191" t="n">
        <v>0.18</v>
      </c>
      <c r="R39" s="1243" t="n">
        <v>1.37</v>
      </c>
      <c r="S39" s="1243" t="n">
        <v>0.57</v>
      </c>
      <c r="T39" s="191" t="n">
        <v>0.18</v>
      </c>
      <c r="U39" s="1243" t="n">
        <v>1.44</v>
      </c>
      <c r="V39" s="1243" t="n">
        <v>0.58</v>
      </c>
      <c r="W39" s="1243" t="n">
        <v>0.25</v>
      </c>
      <c r="X39" s="1243" t="n">
        <v>1.61</v>
      </c>
      <c r="Y39" s="1243" t="n">
        <v>0.71</v>
      </c>
      <c r="Z39" s="1243" t="n">
        <v>0.33</v>
      </c>
      <c r="AA39" s="840" t="s">
        <v>225</v>
      </c>
      <c r="AB39" s="1243" t="n">
        <v>1.07</v>
      </c>
      <c r="AC39" s="1243" t="n">
        <v>0.62</v>
      </c>
      <c r="AD39" s="1243" t="n">
        <v>0.5</v>
      </c>
      <c r="AE39" s="1243" t="n">
        <v>1.47</v>
      </c>
      <c r="AF39" s="1243" t="n">
        <v>0.66</v>
      </c>
      <c r="AG39" s="1243" t="n">
        <v>0.35</v>
      </c>
      <c r="AH39" s="1243" t="n">
        <v>1.22</v>
      </c>
      <c r="AI39" s="1243" t="n">
        <v>0.82</v>
      </c>
      <c r="AJ39" s="1243" t="n">
        <v>0.53</v>
      </c>
      <c r="AK39" s="1243" t="n">
        <v>1.42</v>
      </c>
      <c r="AL39" s="1243" t="n">
        <v>0.84</v>
      </c>
      <c r="AM39" s="1243" t="n">
        <v>0.7</v>
      </c>
    </row>
    <row r="40" s="184" customFormat="true" ht="10.7" hidden="false" customHeight="true" outlineLevel="0" collapsed="false">
      <c r="A40" s="478" t="s">
        <v>227</v>
      </c>
      <c r="B40" s="211" t="n">
        <f aca="false">AVERAGE(B41:B52)</f>
        <v>1.28666666666667</v>
      </c>
      <c r="C40" s="211" t="n">
        <f aca="false">AVERAGE(C41:C52)</f>
        <v>0.3425</v>
      </c>
      <c r="D40" s="211" t="n">
        <f aca="false">AVERAGE(D41:D52)</f>
        <v>0</v>
      </c>
      <c r="E40" s="211" t="n">
        <f aca="false">AVERAGE(E41:E52)</f>
        <v>1.18833333333333</v>
      </c>
      <c r="F40" s="211" t="n">
        <f aca="false">AVERAGE(F41:F52)</f>
        <v>0.419166666666666</v>
      </c>
      <c r="G40" s="211" t="n">
        <f aca="false">AVERAGE(G41:G52)</f>
        <v>0</v>
      </c>
      <c r="H40" s="211" t="n">
        <f aca="false">AVERAGE(H41:H52)</f>
        <v>1.44166666666667</v>
      </c>
      <c r="I40" s="211" t="n">
        <f aca="false">AVERAGE(I41:I52)</f>
        <v>0.5675</v>
      </c>
      <c r="J40" s="211" t="n">
        <f aca="false">AVERAGE(J41:J52)</f>
        <v>0</v>
      </c>
      <c r="K40" s="211" t="n">
        <f aca="false">AVERAGE(K41:K52)</f>
        <v>1.47</v>
      </c>
      <c r="L40" s="211" t="n">
        <f aca="false">AVERAGE(L41:L52)</f>
        <v>0.664166666666667</v>
      </c>
      <c r="M40" s="211" t="n">
        <f aca="false">AVERAGE(M41:M52)</f>
        <v>0</v>
      </c>
      <c r="N40" s="478" t="s">
        <v>227</v>
      </c>
      <c r="O40" s="211" t="n">
        <f aca="false">AVERAGE(O41:O52)</f>
        <v>1.05666666666667</v>
      </c>
      <c r="P40" s="211" t="n">
        <f aca="false">AVERAGE(P41:P52)</f>
        <v>0.403333333333333</v>
      </c>
      <c r="Q40" s="211" t="n">
        <f aca="false">AVERAGE(Q41:Q52)</f>
        <v>0.223333333333333</v>
      </c>
      <c r="R40" s="211" t="n">
        <f aca="false">AVERAGE(R41:R52)</f>
        <v>1.12666666666667</v>
      </c>
      <c r="S40" s="211" t="n">
        <f aca="false">AVERAGE(S41:S52)</f>
        <v>0.556666666666667</v>
      </c>
      <c r="T40" s="211" t="n">
        <f aca="false">AVERAGE(T41:T52)</f>
        <v>0.1925</v>
      </c>
      <c r="U40" s="211" t="n">
        <f aca="false">AVERAGE(U41:U52)</f>
        <v>1.17416666666667</v>
      </c>
      <c r="V40" s="211" t="n">
        <f aca="false">AVERAGE(V41:V52)</f>
        <v>0.535</v>
      </c>
      <c r="W40" s="211" t="n">
        <f aca="false">AVERAGE(W41:W52)</f>
        <v>0.255</v>
      </c>
      <c r="X40" s="211" t="n">
        <f aca="false">AVERAGE(X41:X52)</f>
        <v>1.32416666666667</v>
      </c>
      <c r="Y40" s="211" t="n">
        <f aca="false">AVERAGE(Y41:Y52)</f>
        <v>0.699166666666667</v>
      </c>
      <c r="Z40" s="211" t="n">
        <f aca="false">AVERAGE(Z41:Z52)</f>
        <v>0.32</v>
      </c>
      <c r="AA40" s="478" t="s">
        <v>227</v>
      </c>
      <c r="AB40" s="211" t="n">
        <f aca="false">AVERAGE(AB41:AB52)</f>
        <v>0.8225</v>
      </c>
      <c r="AC40" s="211" t="n">
        <f aca="false">AVERAGE(AC41:AC52)</f>
        <v>0.494166666666667</v>
      </c>
      <c r="AD40" s="211" t="n">
        <f aca="false">AVERAGE(AD41:AD52)</f>
        <v>0.5275</v>
      </c>
      <c r="AE40" s="211" t="n">
        <f aca="false">AVERAGE(AE41:AE52)</f>
        <v>0.935833333333333</v>
      </c>
      <c r="AF40" s="211" t="n">
        <f aca="false">AVERAGE(AF41:AF52)</f>
        <v>0.635</v>
      </c>
      <c r="AG40" s="211" t="n">
        <f aca="false">AVERAGE(AG41:AG52)</f>
        <v>0.379166666666667</v>
      </c>
      <c r="AH40" s="211" t="n">
        <f aca="false">AVERAGE(AH41:AH52)</f>
        <v>0.929166666666667</v>
      </c>
      <c r="AI40" s="211" t="n">
        <f aca="false">AVERAGE(AI41:AI52)</f>
        <v>0.8075</v>
      </c>
      <c r="AJ40" s="211" t="n">
        <f aca="false">AVERAGE(AJ41:AJ52)</f>
        <v>0.566666666666667</v>
      </c>
      <c r="AK40" s="211" t="n">
        <f aca="false">AVERAGE(AK41:AK52)</f>
        <v>1.12916666666667</v>
      </c>
      <c r="AL40" s="211" t="n">
        <f aca="false">AVERAGE(AL41:AL52)</f>
        <v>0.810833333333333</v>
      </c>
      <c r="AM40" s="211" t="n">
        <f aca="false">AVERAGE(AM41:AM52)</f>
        <v>0.75</v>
      </c>
    </row>
    <row r="41" s="184" customFormat="true" ht="10.7" hidden="false" customHeight="true" outlineLevel="0" collapsed="false">
      <c r="A41" s="890" t="s">
        <v>214</v>
      </c>
      <c r="B41" s="183" t="n">
        <v>1.74</v>
      </c>
      <c r="C41" s="1243" t="n">
        <v>0.43</v>
      </c>
      <c r="D41" s="1243" t="n">
        <v>0</v>
      </c>
      <c r="E41" s="1243" t="n">
        <v>1.72</v>
      </c>
      <c r="F41" s="1243" t="n">
        <v>0.47</v>
      </c>
      <c r="G41" s="1243" t="n">
        <v>0</v>
      </c>
      <c r="H41" s="1243" t="n">
        <v>2.05</v>
      </c>
      <c r="I41" s="1243" t="n">
        <v>0.65</v>
      </c>
      <c r="J41" s="1243" t="n">
        <v>0</v>
      </c>
      <c r="K41" s="1243" t="n">
        <v>2.04</v>
      </c>
      <c r="L41" s="1243" t="n">
        <v>0.74</v>
      </c>
      <c r="M41" s="1243" t="n">
        <v>0</v>
      </c>
      <c r="N41" s="890" t="s">
        <v>214</v>
      </c>
      <c r="O41" s="1243" t="n">
        <v>1.46</v>
      </c>
      <c r="P41" s="1243" t="n">
        <v>0.46</v>
      </c>
      <c r="Q41" s="1243" t="n">
        <v>0.2</v>
      </c>
      <c r="R41" s="1243" t="n">
        <v>1.35</v>
      </c>
      <c r="S41" s="1243" t="n">
        <v>0.56</v>
      </c>
      <c r="T41" s="191" t="n">
        <v>0.19</v>
      </c>
      <c r="U41" s="1243" t="n">
        <v>1.41</v>
      </c>
      <c r="V41" s="1243" t="n">
        <v>0.56</v>
      </c>
      <c r="W41" s="1243" t="n">
        <v>0.26</v>
      </c>
      <c r="X41" s="1243" t="n">
        <v>1.58</v>
      </c>
      <c r="Y41" s="1243" t="n">
        <v>0.66</v>
      </c>
      <c r="Z41" s="1243" t="n">
        <v>0.32</v>
      </c>
      <c r="AA41" s="890" t="s">
        <v>214</v>
      </c>
      <c r="AB41" s="1243" t="n">
        <v>1.1</v>
      </c>
      <c r="AC41" s="1243" t="n">
        <v>0.64</v>
      </c>
      <c r="AD41" s="1243" t="n">
        <v>0.57</v>
      </c>
      <c r="AE41" s="1243" t="n">
        <v>0.85</v>
      </c>
      <c r="AF41" s="1243" t="n">
        <v>0.61</v>
      </c>
      <c r="AG41" s="1243" t="n">
        <v>0.37</v>
      </c>
      <c r="AH41" s="1243" t="n">
        <v>1.22</v>
      </c>
      <c r="AI41" s="1243" t="n">
        <v>0.82</v>
      </c>
      <c r="AJ41" s="1243" t="n">
        <v>0.53</v>
      </c>
      <c r="AK41" s="1243" t="n">
        <v>1.42</v>
      </c>
      <c r="AL41" s="1243" t="n">
        <v>0.81</v>
      </c>
      <c r="AM41" s="1243" t="n">
        <v>0.7</v>
      </c>
    </row>
    <row r="42" s="184" customFormat="true" ht="10.7" hidden="false" customHeight="true" outlineLevel="0" collapsed="false">
      <c r="A42" s="889" t="s">
        <v>215</v>
      </c>
      <c r="B42" s="908" t="n">
        <v>1.63</v>
      </c>
      <c r="C42" s="198" t="n">
        <v>0.42</v>
      </c>
      <c r="D42" s="198" t="n">
        <v>0</v>
      </c>
      <c r="E42" s="198" t="n">
        <v>1.63</v>
      </c>
      <c r="F42" s="198" t="n">
        <v>0.47</v>
      </c>
      <c r="G42" s="198" t="n">
        <v>0</v>
      </c>
      <c r="H42" s="198" t="n">
        <v>1.93</v>
      </c>
      <c r="I42" s="198" t="n">
        <v>0.62</v>
      </c>
      <c r="J42" s="198" t="n">
        <v>0</v>
      </c>
      <c r="K42" s="198" t="n">
        <v>1.89</v>
      </c>
      <c r="L42" s="198" t="n">
        <v>0.67</v>
      </c>
      <c r="M42" s="198" t="n">
        <v>0</v>
      </c>
      <c r="N42" s="889" t="s">
        <v>215</v>
      </c>
      <c r="O42" s="198" t="n">
        <v>1.41</v>
      </c>
      <c r="P42" s="198" t="n">
        <v>0.45</v>
      </c>
      <c r="Q42" s="198" t="n">
        <v>0.21</v>
      </c>
      <c r="R42" s="198" t="n">
        <v>1.28</v>
      </c>
      <c r="S42" s="198" t="n">
        <v>0.56</v>
      </c>
      <c r="T42" s="198" t="n">
        <v>0.2</v>
      </c>
      <c r="U42" s="198" t="n">
        <v>1.35</v>
      </c>
      <c r="V42" s="198" t="n">
        <v>0.55</v>
      </c>
      <c r="W42" s="198" t="n">
        <v>0.26</v>
      </c>
      <c r="X42" s="198" t="n">
        <v>1.5</v>
      </c>
      <c r="Y42" s="198" t="n">
        <v>0.65</v>
      </c>
      <c r="Z42" s="198" t="n">
        <v>0.33</v>
      </c>
      <c r="AA42" s="889" t="s">
        <v>215</v>
      </c>
      <c r="AB42" s="198" t="n">
        <v>1.1</v>
      </c>
      <c r="AC42" s="198" t="n">
        <v>0.53</v>
      </c>
      <c r="AD42" s="198" t="n">
        <v>0.57</v>
      </c>
      <c r="AE42" s="198" t="n">
        <v>0.84</v>
      </c>
      <c r="AF42" s="198" t="n">
        <v>0.68</v>
      </c>
      <c r="AG42" s="198" t="n">
        <v>0.37</v>
      </c>
      <c r="AH42" s="198" t="n">
        <v>1.21</v>
      </c>
      <c r="AI42" s="198" t="n">
        <v>0.83</v>
      </c>
      <c r="AJ42" s="198" t="n">
        <v>0.53</v>
      </c>
      <c r="AK42" s="198" t="n">
        <v>1.41</v>
      </c>
      <c r="AL42" s="198" t="n">
        <v>0.8</v>
      </c>
      <c r="AM42" s="198" t="n">
        <v>0.7</v>
      </c>
    </row>
    <row r="43" s="184" customFormat="true" ht="10.7" hidden="false" customHeight="true" outlineLevel="0" collapsed="false">
      <c r="A43" s="890" t="s">
        <v>216</v>
      </c>
      <c r="B43" s="183" t="n">
        <v>1.52</v>
      </c>
      <c r="C43" s="1243" t="n">
        <v>0.42</v>
      </c>
      <c r="D43" s="1243" t="n">
        <v>0</v>
      </c>
      <c r="E43" s="1243" t="n">
        <v>1.57</v>
      </c>
      <c r="F43" s="1243" t="n">
        <v>0.47</v>
      </c>
      <c r="G43" s="1243" t="n">
        <v>0</v>
      </c>
      <c r="H43" s="1243" t="n">
        <v>1.87</v>
      </c>
      <c r="I43" s="1243" t="n">
        <v>0.63</v>
      </c>
      <c r="J43" s="1243" t="n">
        <v>0</v>
      </c>
      <c r="K43" s="1243" t="n">
        <v>1.83</v>
      </c>
      <c r="L43" s="1243" t="n">
        <v>0.71</v>
      </c>
      <c r="M43" s="1243" t="n">
        <v>0</v>
      </c>
      <c r="N43" s="890" t="s">
        <v>216</v>
      </c>
      <c r="O43" s="1243" t="n">
        <v>1.38</v>
      </c>
      <c r="P43" s="1243" t="n">
        <v>0.46</v>
      </c>
      <c r="Q43" s="1243" t="n">
        <v>0.22</v>
      </c>
      <c r="R43" s="1243" t="n">
        <v>1.27</v>
      </c>
      <c r="S43" s="1243" t="n">
        <v>0.57</v>
      </c>
      <c r="T43" s="1243" t="n">
        <v>0.19</v>
      </c>
      <c r="U43" s="1243" t="n">
        <v>1.35</v>
      </c>
      <c r="V43" s="1243" t="n">
        <v>0.56</v>
      </c>
      <c r="W43" s="1243" t="n">
        <v>0.26</v>
      </c>
      <c r="X43" s="1243" t="n">
        <v>1.52</v>
      </c>
      <c r="Y43" s="1243" t="n">
        <v>0.68</v>
      </c>
      <c r="Z43" s="1243" t="n">
        <v>0.32</v>
      </c>
      <c r="AA43" s="890" t="s">
        <v>216</v>
      </c>
      <c r="AB43" s="1243" t="n">
        <v>1.02</v>
      </c>
      <c r="AC43" s="1243" t="n">
        <v>0.63</v>
      </c>
      <c r="AD43" s="1243" t="n">
        <v>0.5</v>
      </c>
      <c r="AE43" s="1243" t="n">
        <v>0.87</v>
      </c>
      <c r="AF43" s="1243" t="n">
        <v>0.68</v>
      </c>
      <c r="AG43" s="1243" t="n">
        <v>0.35</v>
      </c>
      <c r="AH43" s="1243" t="n">
        <v>1.19</v>
      </c>
      <c r="AI43" s="1243" t="n">
        <v>0.81</v>
      </c>
      <c r="AJ43" s="1243" t="n">
        <v>0.53</v>
      </c>
      <c r="AK43" s="1243" t="n">
        <v>1.33</v>
      </c>
      <c r="AL43" s="1243" t="n">
        <v>0.8</v>
      </c>
      <c r="AM43" s="1243" t="n">
        <v>0.7</v>
      </c>
    </row>
    <row r="44" s="184" customFormat="true" ht="10.7" hidden="false" customHeight="true" outlineLevel="0" collapsed="false">
      <c r="A44" s="889" t="s">
        <v>217</v>
      </c>
      <c r="B44" s="908" t="n">
        <v>1.45</v>
      </c>
      <c r="C44" s="198" t="n">
        <v>0.42</v>
      </c>
      <c r="D44" s="198" t="n">
        <v>0</v>
      </c>
      <c r="E44" s="198" t="n">
        <v>1.53</v>
      </c>
      <c r="F44" s="198" t="n">
        <v>0.47</v>
      </c>
      <c r="G44" s="198" t="n">
        <v>0</v>
      </c>
      <c r="H44" s="198" t="n">
        <v>1.85</v>
      </c>
      <c r="I44" s="198" t="n">
        <v>0.65</v>
      </c>
      <c r="J44" s="198" t="n">
        <v>0</v>
      </c>
      <c r="K44" s="198" t="n">
        <v>1.83</v>
      </c>
      <c r="L44" s="198" t="n">
        <v>0.74</v>
      </c>
      <c r="M44" s="198" t="n">
        <v>0</v>
      </c>
      <c r="N44" s="889" t="s">
        <v>217</v>
      </c>
      <c r="O44" s="198" t="n">
        <v>1.28</v>
      </c>
      <c r="P44" s="198" t="n">
        <v>0.46</v>
      </c>
      <c r="Q44" s="198" t="n">
        <v>0.22</v>
      </c>
      <c r="R44" s="198" t="n">
        <v>1.21</v>
      </c>
      <c r="S44" s="198" t="n">
        <v>0.58</v>
      </c>
      <c r="T44" s="198" t="n">
        <v>0.19</v>
      </c>
      <c r="U44" s="198" t="n">
        <v>1.31</v>
      </c>
      <c r="V44" s="198" t="n">
        <v>0.58</v>
      </c>
      <c r="W44" s="198" t="n">
        <v>0.26</v>
      </c>
      <c r="X44" s="198" t="n">
        <v>1.5</v>
      </c>
      <c r="Y44" s="198" t="n">
        <v>0.71</v>
      </c>
      <c r="Z44" s="198" t="n">
        <v>0.32</v>
      </c>
      <c r="AA44" s="889" t="s">
        <v>217</v>
      </c>
      <c r="AB44" s="198" t="n">
        <v>0.84</v>
      </c>
      <c r="AC44" s="198" t="n">
        <v>0.64</v>
      </c>
      <c r="AD44" s="198" t="n">
        <v>0.57</v>
      </c>
      <c r="AE44" s="198" t="n">
        <v>0.76</v>
      </c>
      <c r="AF44" s="198" t="n">
        <v>0.67</v>
      </c>
      <c r="AG44" s="198" t="n">
        <v>0.37</v>
      </c>
      <c r="AH44" s="198" t="n">
        <v>1.03</v>
      </c>
      <c r="AI44" s="198" t="n">
        <v>0.82</v>
      </c>
      <c r="AJ44" s="198" t="n">
        <v>0.53</v>
      </c>
      <c r="AK44" s="198" t="n">
        <v>1.27</v>
      </c>
      <c r="AL44" s="198" t="n">
        <v>0.8</v>
      </c>
      <c r="AM44" s="198" t="n">
        <v>0.7</v>
      </c>
    </row>
    <row r="45" s="184" customFormat="true" ht="10.7" hidden="false" customHeight="true" outlineLevel="0" collapsed="false">
      <c r="A45" s="890" t="s">
        <v>218</v>
      </c>
      <c r="B45" s="183" t="n">
        <v>1.28</v>
      </c>
      <c r="C45" s="1243" t="n">
        <v>0.42</v>
      </c>
      <c r="D45" s="1243" t="n">
        <v>0</v>
      </c>
      <c r="E45" s="1243" t="n">
        <v>1.39</v>
      </c>
      <c r="F45" s="1243" t="n">
        <v>0.49</v>
      </c>
      <c r="G45" s="1243" t="n">
        <v>0</v>
      </c>
      <c r="H45" s="1243" t="n">
        <v>1.74</v>
      </c>
      <c r="I45" s="1243" t="n">
        <v>0.68</v>
      </c>
      <c r="J45" s="1243" t="n">
        <v>0</v>
      </c>
      <c r="K45" s="1243" t="n">
        <v>1.78</v>
      </c>
      <c r="L45" s="1243" t="n">
        <v>0.77</v>
      </c>
      <c r="M45" s="1243" t="n">
        <v>0</v>
      </c>
      <c r="N45" s="890" t="s">
        <v>218</v>
      </c>
      <c r="O45" s="1243" t="n">
        <v>1.24</v>
      </c>
      <c r="P45" s="1243" t="n">
        <v>0.46</v>
      </c>
      <c r="Q45" s="1243" t="n">
        <v>0.22</v>
      </c>
      <c r="R45" s="1243" t="n">
        <v>1.2</v>
      </c>
      <c r="S45" s="1243" t="n">
        <v>0.58</v>
      </c>
      <c r="T45" s="1243" t="n">
        <v>0.2</v>
      </c>
      <c r="U45" s="1243" t="n">
        <v>1.3</v>
      </c>
      <c r="V45" s="1243" t="n">
        <v>0.58</v>
      </c>
      <c r="W45" s="1243" t="n">
        <v>0.26</v>
      </c>
      <c r="X45" s="1243" t="n">
        <v>1.49</v>
      </c>
      <c r="Y45" s="1243" t="n">
        <v>0.7</v>
      </c>
      <c r="Z45" s="1243" t="n">
        <v>0.32</v>
      </c>
      <c r="AA45" s="890" t="s">
        <v>218</v>
      </c>
      <c r="AB45" s="1243" t="n">
        <v>0.91</v>
      </c>
      <c r="AC45" s="1243" t="n">
        <v>0.47</v>
      </c>
      <c r="AD45" s="1243" t="n">
        <v>0.57</v>
      </c>
      <c r="AE45" s="1243" t="n">
        <v>0.74</v>
      </c>
      <c r="AF45" s="1243" t="n">
        <v>0.69</v>
      </c>
      <c r="AG45" s="1243" t="n">
        <v>0.37</v>
      </c>
      <c r="AH45" s="1243" t="n">
        <v>1.03</v>
      </c>
      <c r="AI45" s="1243" t="n">
        <v>0.76</v>
      </c>
      <c r="AJ45" s="1243" t="n">
        <v>0.53</v>
      </c>
      <c r="AK45" s="1243" t="n">
        <v>1.25</v>
      </c>
      <c r="AL45" s="1243" t="n">
        <v>0.8</v>
      </c>
      <c r="AM45" s="1243" t="n">
        <v>0.7</v>
      </c>
    </row>
    <row r="46" s="184" customFormat="true" ht="10.7" hidden="false" customHeight="true" outlineLevel="0" collapsed="false">
      <c r="A46" s="889" t="s">
        <v>219</v>
      </c>
      <c r="B46" s="908" t="n">
        <v>1.24</v>
      </c>
      <c r="C46" s="198" t="n">
        <v>0.42</v>
      </c>
      <c r="D46" s="198" t="n">
        <v>0</v>
      </c>
      <c r="E46" s="198" t="n">
        <v>1.38</v>
      </c>
      <c r="F46" s="198" t="n">
        <v>0.49</v>
      </c>
      <c r="G46" s="198" t="n">
        <v>0</v>
      </c>
      <c r="H46" s="198" t="n">
        <v>1.72</v>
      </c>
      <c r="I46" s="198" t="n">
        <v>0.68</v>
      </c>
      <c r="J46" s="198" t="n">
        <v>0</v>
      </c>
      <c r="K46" s="198" t="n">
        <v>1.77</v>
      </c>
      <c r="L46" s="198" t="n">
        <v>0.78</v>
      </c>
      <c r="M46" s="198" t="n">
        <v>0</v>
      </c>
      <c r="N46" s="889" t="s">
        <v>219</v>
      </c>
      <c r="O46" s="198" t="n">
        <v>1.16</v>
      </c>
      <c r="P46" s="198" t="n">
        <v>0.46</v>
      </c>
      <c r="Q46" s="198" t="n">
        <v>0.22</v>
      </c>
      <c r="R46" s="198" t="n">
        <v>1.27</v>
      </c>
      <c r="S46" s="198" t="n">
        <v>0.58</v>
      </c>
      <c r="T46" s="198" t="n">
        <v>0.19</v>
      </c>
      <c r="U46" s="198" t="n">
        <v>1.28</v>
      </c>
      <c r="V46" s="198" t="n">
        <v>0.58</v>
      </c>
      <c r="W46" s="198" t="n">
        <v>0.25</v>
      </c>
      <c r="X46" s="198" t="n">
        <v>1.48</v>
      </c>
      <c r="Y46" s="198" t="n">
        <v>0.71</v>
      </c>
      <c r="Z46" s="198" t="n">
        <v>0.31</v>
      </c>
      <c r="AA46" s="889" t="s">
        <v>219</v>
      </c>
      <c r="AB46" s="198" t="n">
        <v>0.81</v>
      </c>
      <c r="AC46" s="198" t="n">
        <v>0.62</v>
      </c>
      <c r="AD46" s="198" t="n">
        <v>0.5</v>
      </c>
      <c r="AE46" s="198" t="n">
        <v>1.07</v>
      </c>
      <c r="AF46" s="198" t="n">
        <v>0.68</v>
      </c>
      <c r="AG46" s="198" t="n">
        <v>0.35</v>
      </c>
      <c r="AH46" s="198" t="n">
        <v>0.8</v>
      </c>
      <c r="AI46" s="198" t="n">
        <v>0.73</v>
      </c>
      <c r="AJ46" s="198" t="n">
        <v>0.53</v>
      </c>
      <c r="AK46" s="198" t="n">
        <v>1.05</v>
      </c>
      <c r="AL46" s="198" t="n">
        <v>0.8</v>
      </c>
      <c r="AM46" s="198" t="n">
        <v>0.7</v>
      </c>
    </row>
    <row r="47" s="184" customFormat="true" ht="10.7" hidden="false" customHeight="true" outlineLevel="0" collapsed="false">
      <c r="A47" s="890" t="s">
        <v>220</v>
      </c>
      <c r="B47" s="183" t="n">
        <v>1.17</v>
      </c>
      <c r="C47" s="1243" t="n">
        <v>0.34</v>
      </c>
      <c r="D47" s="1243" t="n">
        <v>0</v>
      </c>
      <c r="E47" s="1243" t="n">
        <v>1.29</v>
      </c>
      <c r="F47" s="1243" t="n">
        <v>0.4</v>
      </c>
      <c r="G47" s="1243" t="n">
        <v>0</v>
      </c>
      <c r="H47" s="1243" t="n">
        <v>1.61</v>
      </c>
      <c r="I47" s="1243" t="n">
        <v>0.57</v>
      </c>
      <c r="J47" s="1243" t="n">
        <v>0</v>
      </c>
      <c r="K47" s="1243" t="n">
        <v>1.69</v>
      </c>
      <c r="L47" s="1243" t="n">
        <v>0.65</v>
      </c>
      <c r="M47" s="1243" t="n">
        <v>0</v>
      </c>
      <c r="N47" s="890" t="s">
        <v>220</v>
      </c>
      <c r="O47" s="1243" t="n">
        <v>1.11</v>
      </c>
      <c r="P47" s="1243" t="n">
        <v>0.43</v>
      </c>
      <c r="Q47" s="1243" t="n">
        <v>0.22</v>
      </c>
      <c r="R47" s="1243" t="n">
        <v>1.21</v>
      </c>
      <c r="S47" s="1243" t="n">
        <v>0.54</v>
      </c>
      <c r="T47" s="1243" t="n">
        <v>0.19</v>
      </c>
      <c r="U47" s="1243" t="n">
        <v>1.23</v>
      </c>
      <c r="V47" s="1243" t="n">
        <v>0.53</v>
      </c>
      <c r="W47" s="1243" t="n">
        <v>0.25</v>
      </c>
      <c r="X47" s="1243" t="n">
        <v>1.44</v>
      </c>
      <c r="Y47" s="1243" t="n">
        <v>0.64</v>
      </c>
      <c r="Z47" s="1243" t="n">
        <v>0.32</v>
      </c>
      <c r="AA47" s="890" t="s">
        <v>220</v>
      </c>
      <c r="AB47" s="1243" t="n">
        <v>0.85</v>
      </c>
      <c r="AC47" s="1243" t="n">
        <v>0.64</v>
      </c>
      <c r="AD47" s="1243" t="n">
        <v>0.57</v>
      </c>
      <c r="AE47" s="1243" t="n">
        <v>1.01</v>
      </c>
      <c r="AF47" s="1243" t="n">
        <v>0.64</v>
      </c>
      <c r="AG47" s="1243" t="n">
        <v>0.37</v>
      </c>
      <c r="AH47" s="1243" t="n">
        <v>0.78</v>
      </c>
      <c r="AI47" s="1243" t="n">
        <v>0.73</v>
      </c>
      <c r="AJ47" s="1243" t="n">
        <v>0.53</v>
      </c>
      <c r="AK47" s="1243" t="n">
        <v>1.05</v>
      </c>
      <c r="AL47" s="1243" t="n">
        <v>0.8</v>
      </c>
      <c r="AM47" s="1243" t="n">
        <v>0.7</v>
      </c>
    </row>
    <row r="48" s="184" customFormat="true" ht="10.7" hidden="false" customHeight="true" outlineLevel="0" collapsed="false">
      <c r="A48" s="889" t="s">
        <v>221</v>
      </c>
      <c r="B48" s="908" t="n">
        <v>1.4</v>
      </c>
      <c r="C48" s="198" t="n">
        <v>0.43</v>
      </c>
      <c r="D48" s="198" t="n">
        <v>0</v>
      </c>
      <c r="E48" s="198" t="n">
        <v>1.48</v>
      </c>
      <c r="F48" s="198" t="n">
        <v>0.49</v>
      </c>
      <c r="G48" s="198" t="n">
        <v>0</v>
      </c>
      <c r="H48" s="198" t="n">
        <v>1.37</v>
      </c>
      <c r="I48" s="198" t="n">
        <v>0.54</v>
      </c>
      <c r="J48" s="198" t="n">
        <v>0</v>
      </c>
      <c r="K48" s="198" t="n">
        <v>1.56</v>
      </c>
      <c r="L48" s="198" t="n">
        <v>0.61</v>
      </c>
      <c r="M48" s="198" t="n">
        <v>0</v>
      </c>
      <c r="N48" s="889" t="s">
        <v>221</v>
      </c>
      <c r="O48" s="198" t="n">
        <v>1.27</v>
      </c>
      <c r="P48" s="198" t="n">
        <v>0.55</v>
      </c>
      <c r="Q48" s="198" t="n">
        <v>0.39</v>
      </c>
      <c r="R48" s="198" t="n">
        <v>1.43</v>
      </c>
      <c r="S48" s="198" t="n">
        <v>0.65</v>
      </c>
      <c r="T48" s="198" t="n">
        <v>0.27</v>
      </c>
      <c r="U48" s="198" t="n">
        <v>1.27</v>
      </c>
      <c r="V48" s="198" t="n">
        <v>0.6</v>
      </c>
      <c r="W48" s="198" t="n">
        <v>0.33</v>
      </c>
      <c r="X48" s="198" t="n">
        <v>1.44</v>
      </c>
      <c r="Y48" s="198" t="n">
        <v>1.16</v>
      </c>
      <c r="Z48" s="198" t="n">
        <v>0.41</v>
      </c>
      <c r="AA48" s="889" t="s">
        <v>221</v>
      </c>
      <c r="AB48" s="198" t="n">
        <v>1</v>
      </c>
      <c r="AC48" s="198" t="n">
        <v>0.52</v>
      </c>
      <c r="AD48" s="198" t="n">
        <v>0.57</v>
      </c>
      <c r="AE48" s="198" t="n">
        <v>1.19</v>
      </c>
      <c r="AF48" s="198" t="n">
        <v>0.6</v>
      </c>
      <c r="AG48" s="198" t="n">
        <v>0.45</v>
      </c>
      <c r="AH48" s="198" t="n">
        <v>0.9</v>
      </c>
      <c r="AI48" s="198" t="n">
        <v>0.9</v>
      </c>
      <c r="AJ48" s="198" t="n">
        <v>0.75</v>
      </c>
      <c r="AK48" s="198" t="n">
        <v>1.12</v>
      </c>
      <c r="AL48" s="198" t="n">
        <v>0.84</v>
      </c>
      <c r="AM48" s="198" t="n">
        <v>1</v>
      </c>
    </row>
    <row r="49" s="184" customFormat="true" ht="10.7" hidden="false" customHeight="true" outlineLevel="0" collapsed="false">
      <c r="A49" s="890" t="s">
        <v>222</v>
      </c>
      <c r="B49" s="183" t="n">
        <v>0.88</v>
      </c>
      <c r="C49" s="1243" t="n">
        <v>0.3</v>
      </c>
      <c r="D49" s="1243" t="n">
        <v>0</v>
      </c>
      <c r="E49" s="1243" t="n">
        <v>0.9</v>
      </c>
      <c r="F49" s="1243" t="n">
        <v>0.36</v>
      </c>
      <c r="G49" s="1243" t="n">
        <v>0</v>
      </c>
      <c r="H49" s="1243" t="n">
        <v>1.18</v>
      </c>
      <c r="I49" s="1243" t="n">
        <v>0.54</v>
      </c>
      <c r="J49" s="1243" t="n">
        <v>0</v>
      </c>
      <c r="K49" s="1243" t="n">
        <v>1.2</v>
      </c>
      <c r="L49" s="1243" t="n">
        <v>0.62</v>
      </c>
      <c r="M49" s="1243" t="n">
        <v>0</v>
      </c>
      <c r="N49" s="890" t="s">
        <v>222</v>
      </c>
      <c r="O49" s="1243" t="n">
        <v>0.8</v>
      </c>
      <c r="P49" s="1243" t="n">
        <v>0.34</v>
      </c>
      <c r="Q49" s="1243" t="n">
        <v>0.18</v>
      </c>
      <c r="R49" s="1243" t="n">
        <v>1.06</v>
      </c>
      <c r="S49" s="1243" t="n">
        <v>0.58</v>
      </c>
      <c r="T49" s="1243" t="n">
        <v>0.15</v>
      </c>
      <c r="U49" s="1243" t="n">
        <v>1.15</v>
      </c>
      <c r="V49" s="1243" t="n">
        <v>0.53</v>
      </c>
      <c r="W49" s="1243" t="n">
        <v>0.22</v>
      </c>
      <c r="X49" s="1243" t="n">
        <v>1.15</v>
      </c>
      <c r="Y49" s="1243" t="n">
        <v>0.69</v>
      </c>
      <c r="Z49" s="1243" t="n">
        <v>0.3</v>
      </c>
      <c r="AA49" s="890" t="s">
        <v>222</v>
      </c>
      <c r="AB49" s="1243" t="n">
        <v>0.55</v>
      </c>
      <c r="AC49" s="1243" t="n">
        <v>0.32</v>
      </c>
      <c r="AD49" s="1243" t="n">
        <v>0.33</v>
      </c>
      <c r="AE49" s="1243" t="n">
        <v>1.05</v>
      </c>
      <c r="AF49" s="1243" t="n">
        <v>0.57</v>
      </c>
      <c r="AG49" s="1243" t="n">
        <v>0.35</v>
      </c>
      <c r="AH49" s="1243" t="n">
        <v>0.77</v>
      </c>
      <c r="AI49" s="1243" t="n">
        <v>0.78</v>
      </c>
      <c r="AJ49" s="1243" t="n">
        <v>0.53</v>
      </c>
      <c r="AK49" s="1243" t="n">
        <v>0.92</v>
      </c>
      <c r="AL49" s="1243" t="n">
        <v>0.81</v>
      </c>
      <c r="AM49" s="1243" t="n">
        <v>0.7</v>
      </c>
    </row>
    <row r="50" s="184" customFormat="true" ht="10.7" hidden="false" customHeight="true" outlineLevel="0" collapsed="false">
      <c r="A50" s="889" t="s">
        <v>223</v>
      </c>
      <c r="B50" s="908" t="n">
        <v>2.72</v>
      </c>
      <c r="C50" s="198" t="n">
        <v>0.13</v>
      </c>
      <c r="D50" s="198" t="n">
        <v>0</v>
      </c>
      <c r="E50" s="198" t="n">
        <v>0.81</v>
      </c>
      <c r="F50" s="198" t="n">
        <v>0.32</v>
      </c>
      <c r="G50" s="198" t="n">
        <v>0</v>
      </c>
      <c r="H50" s="198" t="n">
        <v>0.94</v>
      </c>
      <c r="I50" s="198" t="n">
        <v>0.53</v>
      </c>
      <c r="J50" s="198" t="n">
        <v>0</v>
      </c>
      <c r="K50" s="198" t="n">
        <v>0.83</v>
      </c>
      <c r="L50" s="198" t="n">
        <v>0.64</v>
      </c>
      <c r="M50" s="198" t="n">
        <v>0</v>
      </c>
      <c r="N50" s="889" t="s">
        <v>223</v>
      </c>
      <c r="O50" s="198" t="n">
        <v>0.56</v>
      </c>
      <c r="P50" s="198" t="n">
        <v>0.3</v>
      </c>
      <c r="Q50" s="198" t="n">
        <v>0.18</v>
      </c>
      <c r="R50" s="198" t="n">
        <v>0.79</v>
      </c>
      <c r="S50" s="198" t="n">
        <v>0.56</v>
      </c>
      <c r="T50" s="198" t="n">
        <v>0.17</v>
      </c>
      <c r="U50" s="198" t="n">
        <v>0.92</v>
      </c>
      <c r="V50" s="198" t="n">
        <v>0.47</v>
      </c>
      <c r="W50" s="198" t="n">
        <v>0.23</v>
      </c>
      <c r="X50" s="198" t="n">
        <v>0.92</v>
      </c>
      <c r="Y50" s="198" t="n">
        <v>0.6</v>
      </c>
      <c r="Z50" s="198" t="n">
        <v>0.29</v>
      </c>
      <c r="AA50" s="889" t="s">
        <v>223</v>
      </c>
      <c r="AB50" s="198" t="n">
        <v>0.7</v>
      </c>
      <c r="AC50" s="198" t="n">
        <v>0.32</v>
      </c>
      <c r="AD50" s="198" t="n">
        <v>0.57</v>
      </c>
      <c r="AE50" s="198" t="n">
        <v>0.98</v>
      </c>
      <c r="AF50" s="198" t="n">
        <v>0.56</v>
      </c>
      <c r="AG50" s="198" t="n">
        <v>0.35</v>
      </c>
      <c r="AH50" s="198" t="n">
        <v>0.72</v>
      </c>
      <c r="AI50" s="198" t="n">
        <v>0.79</v>
      </c>
      <c r="AJ50" s="198" t="n">
        <v>0.53</v>
      </c>
      <c r="AK50" s="198" t="n">
        <v>0.92</v>
      </c>
      <c r="AL50" s="198" t="n">
        <v>0.81</v>
      </c>
      <c r="AM50" s="198" t="n">
        <v>0.7</v>
      </c>
    </row>
    <row r="51" s="184" customFormat="true" ht="10.7" hidden="false" customHeight="true" outlineLevel="0" collapsed="false">
      <c r="A51" s="890" t="s">
        <v>224</v>
      </c>
      <c r="B51" s="183" t="n">
        <v>0.21</v>
      </c>
      <c r="C51" s="1243" t="n">
        <v>0.24</v>
      </c>
      <c r="D51" s="1243" t="n">
        <v>0</v>
      </c>
      <c r="E51" s="1243" t="n">
        <v>0.42</v>
      </c>
      <c r="F51" s="1243" t="n">
        <v>0.26</v>
      </c>
      <c r="G51" s="1243" t="n">
        <v>0</v>
      </c>
      <c r="H51" s="1243" t="n">
        <v>0.68</v>
      </c>
      <c r="I51" s="1243" t="n">
        <v>0.47</v>
      </c>
      <c r="J51" s="1243" t="n">
        <v>0</v>
      </c>
      <c r="K51" s="1243" t="n">
        <v>0.71</v>
      </c>
      <c r="L51" s="1243" t="n">
        <v>0.62</v>
      </c>
      <c r="M51" s="1243" t="n">
        <v>0</v>
      </c>
      <c r="N51" s="890" t="s">
        <v>224</v>
      </c>
      <c r="O51" s="1243" t="n">
        <v>0.56</v>
      </c>
      <c r="P51" s="1243" t="n">
        <v>0.23</v>
      </c>
      <c r="Q51" s="1243" t="n">
        <v>0.21</v>
      </c>
      <c r="R51" s="1243" t="n">
        <v>0.77</v>
      </c>
      <c r="S51" s="1243" t="n">
        <v>0.48</v>
      </c>
      <c r="T51" s="1243" t="n">
        <v>0.18</v>
      </c>
      <c r="U51" s="1243" t="n">
        <v>0.8</v>
      </c>
      <c r="V51" s="1243" t="n">
        <v>0.46</v>
      </c>
      <c r="W51" s="1243" t="n">
        <v>0.23</v>
      </c>
      <c r="X51" s="1243" t="n">
        <v>0.96</v>
      </c>
      <c r="Y51" s="1243" t="n">
        <v>0.61</v>
      </c>
      <c r="Z51" s="1243" t="n">
        <v>0.29</v>
      </c>
      <c r="AA51" s="890" t="s">
        <v>224</v>
      </c>
      <c r="AB51" s="1243" t="n">
        <v>0.56</v>
      </c>
      <c r="AC51" s="1243" t="n">
        <v>0.32</v>
      </c>
      <c r="AD51" s="1243" t="n">
        <v>0.57</v>
      </c>
      <c r="AE51" s="1243" t="n">
        <v>0.9</v>
      </c>
      <c r="AF51" s="1243" t="n">
        <v>0.61</v>
      </c>
      <c r="AG51" s="1243" t="n">
        <v>0.35</v>
      </c>
      <c r="AH51" s="1243" t="n">
        <v>0.72</v>
      </c>
      <c r="AI51" s="1243" t="n">
        <v>0.8</v>
      </c>
      <c r="AJ51" s="1243" t="n">
        <v>0.53</v>
      </c>
      <c r="AK51" s="1243" t="n">
        <v>0.88</v>
      </c>
      <c r="AL51" s="1243" t="n">
        <v>0.81</v>
      </c>
      <c r="AM51" s="1243" t="n">
        <v>0.7</v>
      </c>
    </row>
    <row r="52" s="184" customFormat="true" ht="10.7" hidden="false" customHeight="true" outlineLevel="0" collapsed="false">
      <c r="A52" s="889" t="s">
        <v>225</v>
      </c>
      <c r="B52" s="908" t="n">
        <v>0.2</v>
      </c>
      <c r="C52" s="198" t="n">
        <v>0.14</v>
      </c>
      <c r="D52" s="198" t="n">
        <v>0</v>
      </c>
      <c r="E52" s="198" t="n">
        <v>0.14</v>
      </c>
      <c r="F52" s="198" t="n">
        <v>0.34</v>
      </c>
      <c r="G52" s="198" t="n">
        <v>0</v>
      </c>
      <c r="H52" s="198" t="n">
        <v>0.36</v>
      </c>
      <c r="I52" s="198" t="n">
        <v>0.25</v>
      </c>
      <c r="J52" s="198" t="n">
        <v>0</v>
      </c>
      <c r="K52" s="198" t="n">
        <v>0.51</v>
      </c>
      <c r="L52" s="198" t="n">
        <v>0.42</v>
      </c>
      <c r="M52" s="198" t="n">
        <v>0</v>
      </c>
      <c r="N52" s="889" t="s">
        <v>225</v>
      </c>
      <c r="O52" s="198" t="n">
        <v>0.45</v>
      </c>
      <c r="P52" s="198" t="n">
        <v>0.24</v>
      </c>
      <c r="Q52" s="198" t="n">
        <v>0.21</v>
      </c>
      <c r="R52" s="198" t="n">
        <v>0.68</v>
      </c>
      <c r="S52" s="198" t="n">
        <v>0.44</v>
      </c>
      <c r="T52" s="198" t="n">
        <v>0.19</v>
      </c>
      <c r="U52" s="198" t="n">
        <v>0.72</v>
      </c>
      <c r="V52" s="198" t="n">
        <v>0.42</v>
      </c>
      <c r="W52" s="198" t="n">
        <v>0.25</v>
      </c>
      <c r="X52" s="198" t="n">
        <v>0.91</v>
      </c>
      <c r="Y52" s="198" t="n">
        <v>0.58</v>
      </c>
      <c r="Z52" s="198" t="n">
        <v>0.31</v>
      </c>
      <c r="AA52" s="889" t="s">
        <v>225</v>
      </c>
      <c r="AB52" s="198" t="n">
        <v>0.43</v>
      </c>
      <c r="AC52" s="198" t="n">
        <v>0.28</v>
      </c>
      <c r="AD52" s="198" t="n">
        <v>0.44</v>
      </c>
      <c r="AE52" s="198" t="n">
        <v>0.97</v>
      </c>
      <c r="AF52" s="198" t="n">
        <v>0.63</v>
      </c>
      <c r="AG52" s="198" t="n">
        <v>0.5</v>
      </c>
      <c r="AH52" s="198" t="n">
        <v>0.78</v>
      </c>
      <c r="AI52" s="198" t="n">
        <v>0.92</v>
      </c>
      <c r="AJ52" s="198" t="n">
        <v>0.75</v>
      </c>
      <c r="AK52" s="198" t="n">
        <v>0.93</v>
      </c>
      <c r="AL52" s="198" t="n">
        <v>0.85</v>
      </c>
      <c r="AM52" s="198" t="n">
        <v>1</v>
      </c>
    </row>
    <row r="53" s="184" customFormat="true" ht="10.7" hidden="false" customHeight="true" outlineLevel="0" collapsed="false">
      <c r="A53" s="475" t="s">
        <v>284</v>
      </c>
      <c r="B53" s="183"/>
      <c r="C53" s="1243"/>
      <c r="D53" s="1243"/>
      <c r="E53" s="1243"/>
      <c r="F53" s="1243"/>
      <c r="G53" s="1243"/>
      <c r="H53" s="1243"/>
      <c r="I53" s="1243"/>
      <c r="J53" s="1243"/>
      <c r="K53" s="1243"/>
      <c r="L53" s="1243"/>
      <c r="M53" s="1243"/>
      <c r="N53" s="888" t="s">
        <v>284</v>
      </c>
      <c r="O53" s="1243"/>
      <c r="P53" s="1243"/>
      <c r="Q53" s="1243"/>
      <c r="R53" s="1243"/>
      <c r="S53" s="1243"/>
      <c r="T53" s="1243"/>
      <c r="U53" s="1243"/>
      <c r="V53" s="1243"/>
      <c r="W53" s="1243"/>
      <c r="X53" s="1243"/>
      <c r="Y53" s="1243"/>
      <c r="Z53" s="1243"/>
      <c r="AA53" s="888" t="s">
        <v>284</v>
      </c>
      <c r="AB53" s="1243"/>
      <c r="AC53" s="1243"/>
      <c r="AD53" s="1243"/>
      <c r="AE53" s="1243"/>
      <c r="AF53" s="1243"/>
      <c r="AG53" s="1243"/>
      <c r="AH53" s="1243"/>
      <c r="AI53" s="1243"/>
      <c r="AJ53" s="1243"/>
      <c r="AK53" s="1243"/>
      <c r="AL53" s="1243"/>
      <c r="AM53" s="1243"/>
    </row>
    <row r="54" s="184" customFormat="true" ht="10.7" hidden="false" customHeight="true" outlineLevel="0" collapsed="false">
      <c r="A54" s="1400" t="s">
        <v>214</v>
      </c>
      <c r="B54" s="1401" t="n">
        <v>0.18</v>
      </c>
      <c r="C54" s="1392" t="n">
        <v>0.1</v>
      </c>
      <c r="D54" s="1392" t="n">
        <v>0</v>
      </c>
      <c r="E54" s="1392" t="n">
        <v>0.12</v>
      </c>
      <c r="F54" s="1392" t="n">
        <v>0.19</v>
      </c>
      <c r="G54" s="1392" t="n">
        <v>0</v>
      </c>
      <c r="H54" s="1392" t="n">
        <v>0.21</v>
      </c>
      <c r="I54" s="1392" t="n">
        <v>0.12</v>
      </c>
      <c r="J54" s="1392" t="n">
        <v>0</v>
      </c>
      <c r="K54" s="1392" t="n">
        <v>0.37</v>
      </c>
      <c r="L54" s="1392" t="n">
        <v>0.27</v>
      </c>
      <c r="M54" s="1392" t="n">
        <v>0</v>
      </c>
      <c r="N54" s="1400" t="s">
        <v>214</v>
      </c>
      <c r="O54" s="1392" t="n">
        <v>0.43</v>
      </c>
      <c r="P54" s="1392" t="n">
        <v>0.25</v>
      </c>
      <c r="Q54" s="1392" t="n">
        <v>0.22</v>
      </c>
      <c r="R54" s="1392" t="n">
        <v>0.68</v>
      </c>
      <c r="S54" s="1392" t="n">
        <v>0.44</v>
      </c>
      <c r="T54" s="1392" t="n">
        <v>0.22</v>
      </c>
      <c r="U54" s="1392" t="n">
        <v>0.7</v>
      </c>
      <c r="V54" s="1392" t="n">
        <v>0.39</v>
      </c>
      <c r="W54" s="1392" t="n">
        <v>0.28</v>
      </c>
      <c r="X54" s="1392" t="n">
        <v>0.93</v>
      </c>
      <c r="Y54" s="1392" t="n">
        <v>0.53</v>
      </c>
      <c r="Z54" s="1392" t="n">
        <v>0.35</v>
      </c>
      <c r="AA54" s="1400" t="s">
        <v>214</v>
      </c>
      <c r="AB54" s="1392" t="n">
        <v>0.42</v>
      </c>
      <c r="AC54" s="1392" t="n">
        <v>0.49</v>
      </c>
      <c r="AD54" s="1392" t="n">
        <v>0.57</v>
      </c>
      <c r="AE54" s="1392" t="n">
        <v>0.87</v>
      </c>
      <c r="AF54" s="1392" t="n">
        <v>0.58</v>
      </c>
      <c r="AG54" s="1392" t="n">
        <v>0.35</v>
      </c>
      <c r="AH54" s="1392" t="n">
        <v>0.65</v>
      </c>
      <c r="AI54" s="1392" t="n">
        <v>0.81</v>
      </c>
      <c r="AJ54" s="1392" t="n">
        <v>0.53</v>
      </c>
      <c r="AK54" s="1392" t="n">
        <v>0.84</v>
      </c>
      <c r="AL54" s="1392" t="n">
        <v>0.81</v>
      </c>
      <c r="AM54" s="1392" t="n">
        <v>0.7</v>
      </c>
    </row>
    <row r="55" customFormat="false" ht="11.25" hidden="false" customHeight="false" outlineLevel="0" collapsed="false">
      <c r="A55" s="1402" t="s">
        <v>2411</v>
      </c>
      <c r="B55" s="1403" t="s">
        <v>398</v>
      </c>
      <c r="C55" s="1403"/>
      <c r="D55" s="1403"/>
      <c r="E55" s="1403"/>
      <c r="F55" s="1403"/>
      <c r="G55" s="1059"/>
      <c r="H55" s="155"/>
      <c r="I55" s="155"/>
      <c r="J55" s="155"/>
      <c r="K55" s="155"/>
      <c r="L55" s="155"/>
      <c r="M55" s="155"/>
      <c r="N55" s="1402" t="s">
        <v>2411</v>
      </c>
      <c r="O55" s="1403" t="s">
        <v>398</v>
      </c>
      <c r="P55" s="1403"/>
      <c r="Q55" s="1403"/>
      <c r="R55" s="1403"/>
      <c r="S55" s="1403"/>
      <c r="T55" s="1403"/>
      <c r="AA55" s="1402" t="s">
        <v>2412</v>
      </c>
      <c r="AB55" s="375" t="s">
        <v>398</v>
      </c>
      <c r="AC55" s="375"/>
      <c r="AD55" s="375"/>
      <c r="AE55" s="375"/>
      <c r="AF55" s="375"/>
      <c r="AG55" s="152"/>
      <c r="AH55" s="152"/>
      <c r="AI55" s="152"/>
      <c r="AJ55" s="152"/>
      <c r="AK55" s="152"/>
      <c r="AL55" s="152"/>
    </row>
    <row r="56" customFormat="false" ht="9.75" hidden="false" customHeight="true" outlineLevel="0" collapsed="false">
      <c r="A56" s="707" t="s">
        <v>728</v>
      </c>
      <c r="B56" s="375"/>
      <c r="C56" s="375"/>
      <c r="D56" s="375"/>
      <c r="E56" s="421"/>
      <c r="F56" s="421"/>
      <c r="G56" s="421"/>
      <c r="H56" s="155"/>
      <c r="I56" s="155"/>
      <c r="J56" s="155"/>
      <c r="K56" s="155"/>
      <c r="L56" s="155"/>
      <c r="M56" s="155"/>
      <c r="N56" s="1404" t="s">
        <v>2413</v>
      </c>
      <c r="O56" s="1405"/>
      <c r="P56" s="1405"/>
      <c r="Q56" s="1405"/>
      <c r="R56" s="1406"/>
      <c r="S56" s="1406"/>
      <c r="T56" s="1407"/>
      <c r="U56" s="1408"/>
      <c r="V56" s="1408"/>
      <c r="W56" s="1408"/>
      <c r="X56" s="1408"/>
      <c r="Y56" s="1408"/>
      <c r="Z56" s="1408"/>
      <c r="AA56" s="730" t="s">
        <v>2414</v>
      </c>
      <c r="AB56" s="421"/>
      <c r="AC56" s="421"/>
      <c r="AD56" s="421"/>
      <c r="AE56" s="1062"/>
      <c r="AF56" s="1062"/>
      <c r="AG56" s="152"/>
      <c r="AH56" s="152"/>
      <c r="AI56" s="152"/>
      <c r="AJ56" s="152"/>
      <c r="AK56" s="152"/>
      <c r="AL56" s="152"/>
    </row>
    <row r="57" customFormat="false" ht="11.25" hidden="false" customHeight="false" outlineLevel="0" collapsed="false">
      <c r="AB57" s="152"/>
      <c r="AC57" s="152"/>
      <c r="AD57" s="152"/>
      <c r="AE57" s="152"/>
      <c r="AF57" s="152"/>
      <c r="AG57" s="152"/>
      <c r="AH57" s="152"/>
      <c r="AI57" s="152"/>
      <c r="AJ57" s="152"/>
      <c r="AK57" s="152"/>
      <c r="AL57" s="152"/>
    </row>
    <row r="58" s="107" customFormat="true" ht="11.25" hidden="false" customHeight="false" outlineLevel="0" collapsed="false">
      <c r="A58" s="730"/>
      <c r="O58" s="730"/>
      <c r="P58" s="730"/>
      <c r="Q58" s="730"/>
      <c r="R58" s="730"/>
      <c r="S58" s="730"/>
      <c r="T58" s="730"/>
      <c r="U58" s="730"/>
      <c r="V58" s="730"/>
      <c r="W58" s="730"/>
      <c r="X58" s="730"/>
      <c r="Y58" s="730"/>
      <c r="Z58" s="730"/>
      <c r="AC58" s="730"/>
      <c r="AE58" s="730"/>
      <c r="AI58" s="730"/>
      <c r="AK58" s="730"/>
      <c r="AM58" s="730"/>
      <c r="AN58" s="730"/>
    </row>
    <row r="59" s="107" customFormat="true" ht="9.6" hidden="false" customHeight="true" outlineLevel="0" collapsed="false">
      <c r="A59" s="730"/>
      <c r="B59" s="258"/>
      <c r="C59" s="258"/>
      <c r="D59" s="258"/>
      <c r="E59" s="258"/>
      <c r="F59" s="258"/>
      <c r="G59" s="258"/>
      <c r="H59" s="258"/>
      <c r="I59" s="258"/>
      <c r="J59" s="258"/>
      <c r="K59" s="258"/>
      <c r="L59" s="258"/>
      <c r="M59" s="258"/>
      <c r="O59" s="730"/>
      <c r="P59" s="730"/>
      <c r="Q59" s="730"/>
      <c r="R59" s="730"/>
      <c r="S59" s="730"/>
      <c r="T59" s="730"/>
      <c r="U59" s="730"/>
      <c r="V59" s="730"/>
      <c r="W59" s="730"/>
      <c r="X59" s="730"/>
      <c r="Y59" s="730"/>
      <c r="Z59" s="730"/>
      <c r="AB59" s="730"/>
      <c r="AC59" s="730"/>
      <c r="AD59" s="730"/>
      <c r="AE59" s="730"/>
      <c r="AF59" s="730"/>
      <c r="AG59" s="730"/>
      <c r="AH59" s="730"/>
      <c r="AI59" s="730"/>
      <c r="AJ59" s="730"/>
      <c r="AK59" s="730"/>
      <c r="AL59" s="730"/>
      <c r="AM59" s="730"/>
      <c r="AN59" s="730"/>
    </row>
    <row r="60" s="107" customFormat="true" ht="11.25" hidden="false" customHeight="false" outlineLevel="0" collapsed="false">
      <c r="A60" s="730"/>
      <c r="O60" s="730"/>
      <c r="P60" s="730"/>
      <c r="Q60" s="730"/>
      <c r="R60" s="730"/>
      <c r="S60" s="730"/>
      <c r="T60" s="730"/>
      <c r="U60" s="730"/>
      <c r="V60" s="730"/>
      <c r="W60" s="730"/>
      <c r="X60" s="730"/>
      <c r="Y60" s="730"/>
      <c r="Z60" s="730"/>
      <c r="AB60" s="730"/>
      <c r="AC60" s="730"/>
      <c r="AD60" s="730"/>
      <c r="AE60" s="730"/>
      <c r="AF60" s="730"/>
      <c r="AG60" s="730"/>
      <c r="AH60" s="730"/>
      <c r="AI60" s="730"/>
      <c r="AJ60" s="730"/>
      <c r="AK60" s="730"/>
      <c r="AL60" s="730"/>
      <c r="AM60" s="730"/>
      <c r="AN60" s="730"/>
    </row>
    <row r="61" s="107" customFormat="true" ht="11.25" hidden="false" customHeight="false" outlineLevel="0" collapsed="false">
      <c r="A61" s="730"/>
      <c r="B61" s="258"/>
      <c r="C61" s="258"/>
      <c r="D61" s="258"/>
      <c r="E61" s="258"/>
      <c r="F61" s="258"/>
      <c r="G61" s="258"/>
      <c r="H61" s="258"/>
      <c r="I61" s="258"/>
      <c r="J61" s="258"/>
      <c r="K61" s="258"/>
      <c r="L61" s="258"/>
      <c r="M61" s="258"/>
      <c r="O61" s="730"/>
      <c r="P61" s="730"/>
      <c r="Q61" s="730"/>
      <c r="R61" s="730"/>
      <c r="S61" s="730"/>
      <c r="T61" s="730"/>
      <c r="U61" s="258"/>
      <c r="V61" s="258"/>
      <c r="W61" s="258"/>
      <c r="X61" s="258"/>
      <c r="Y61" s="258"/>
      <c r="Z61" s="258"/>
      <c r="AB61" s="258"/>
      <c r="AC61" s="730"/>
      <c r="AD61" s="258"/>
      <c r="AE61" s="730"/>
      <c r="AF61" s="258"/>
      <c r="AG61" s="258"/>
      <c r="AH61" s="258"/>
      <c r="AI61" s="730"/>
      <c r="AJ61" s="258"/>
      <c r="AK61" s="730"/>
      <c r="AL61" s="258"/>
      <c r="AM61" s="258"/>
      <c r="AN61" s="258"/>
    </row>
    <row r="62" s="107" customFormat="true" ht="11.25" hidden="false" customHeight="false" outlineLevel="0" collapsed="false">
      <c r="A62" s="730"/>
      <c r="B62" s="258"/>
      <c r="C62" s="258"/>
      <c r="D62" s="258"/>
      <c r="E62" s="258"/>
      <c r="F62" s="258"/>
      <c r="G62" s="258"/>
      <c r="H62" s="258"/>
      <c r="I62" s="258"/>
      <c r="J62" s="258"/>
      <c r="K62" s="258"/>
      <c r="L62" s="258"/>
      <c r="M62" s="258"/>
      <c r="O62" s="730"/>
      <c r="P62" s="730"/>
      <c r="Q62" s="730"/>
      <c r="R62" s="730"/>
      <c r="S62" s="258"/>
      <c r="T62" s="258"/>
      <c r="U62" s="258"/>
      <c r="V62" s="258"/>
      <c r="W62" s="258"/>
      <c r="X62" s="258"/>
      <c r="Y62" s="258"/>
      <c r="Z62" s="258"/>
      <c r="AB62" s="258"/>
      <c r="AC62" s="730"/>
      <c r="AD62" s="258"/>
      <c r="AE62" s="730"/>
      <c r="AF62" s="258"/>
      <c r="AG62" s="258"/>
      <c r="AH62" s="258"/>
      <c r="AI62" s="258"/>
      <c r="AJ62" s="258"/>
      <c r="AK62" s="258"/>
      <c r="AL62" s="258"/>
      <c r="AM62" s="258"/>
      <c r="AN62" s="258"/>
    </row>
    <row r="63" s="107" customFormat="true" ht="11.25" hidden="false" customHeight="false" outlineLevel="0" collapsed="false">
      <c r="A63" s="730"/>
      <c r="B63" s="258"/>
      <c r="C63" s="258"/>
      <c r="D63" s="258"/>
      <c r="E63" s="258"/>
      <c r="F63" s="258"/>
      <c r="G63" s="258"/>
      <c r="H63" s="258"/>
      <c r="I63" s="258"/>
      <c r="J63" s="258"/>
      <c r="K63" s="258"/>
      <c r="L63" s="258"/>
      <c r="M63" s="258"/>
      <c r="O63" s="730"/>
      <c r="P63" s="258"/>
      <c r="Q63" s="258"/>
      <c r="R63" s="258"/>
      <c r="S63" s="258"/>
      <c r="T63" s="258"/>
      <c r="U63" s="258"/>
      <c r="V63" s="258"/>
      <c r="W63" s="258"/>
      <c r="X63" s="258"/>
      <c r="Y63" s="258"/>
      <c r="Z63" s="258"/>
      <c r="AB63" s="258"/>
      <c r="AC63" s="730"/>
      <c r="AD63" s="258"/>
      <c r="AE63" s="258"/>
      <c r="AF63" s="258"/>
      <c r="AG63" s="258"/>
      <c r="AH63" s="258"/>
      <c r="AI63" s="258"/>
      <c r="AJ63" s="258"/>
      <c r="AK63" s="258"/>
      <c r="AL63" s="258"/>
      <c r="AM63" s="258"/>
    </row>
    <row r="64" s="107" customFormat="true" ht="11.25" hidden="false" customHeight="false" outlineLevel="0" collapsed="false">
      <c r="A64" s="730"/>
      <c r="B64" s="258"/>
      <c r="C64" s="258"/>
      <c r="D64" s="258"/>
      <c r="E64" s="258"/>
      <c r="F64" s="258"/>
      <c r="G64" s="258"/>
      <c r="H64" s="258"/>
      <c r="I64" s="258"/>
      <c r="J64" s="258"/>
      <c r="K64" s="258"/>
      <c r="L64" s="258"/>
      <c r="M64" s="258"/>
      <c r="O64" s="258"/>
      <c r="P64" s="258"/>
      <c r="Q64" s="258"/>
      <c r="R64" s="258"/>
      <c r="S64" s="258"/>
      <c r="T64" s="258"/>
      <c r="U64" s="258"/>
      <c r="V64" s="258"/>
      <c r="W64" s="258"/>
      <c r="X64" s="258"/>
      <c r="Y64" s="258"/>
      <c r="Z64" s="258"/>
      <c r="AB64" s="258"/>
      <c r="AC64" s="258"/>
      <c r="AD64" s="258"/>
      <c r="AE64" s="258"/>
      <c r="AF64" s="258"/>
      <c r="AG64" s="258"/>
      <c r="AH64" s="258"/>
      <c r="AI64" s="258"/>
      <c r="AJ64" s="258"/>
      <c r="AK64" s="258"/>
      <c r="AL64" s="258"/>
      <c r="AM64" s="258"/>
    </row>
    <row r="65" customFormat="false" ht="11.25" hidden="false" customHeight="false" outlineLevel="0" collapsed="false">
      <c r="B65" s="258"/>
      <c r="C65" s="258"/>
      <c r="D65" s="258"/>
      <c r="E65" s="258"/>
      <c r="F65" s="258"/>
      <c r="G65" s="258"/>
      <c r="H65" s="258"/>
      <c r="I65" s="258"/>
      <c r="J65" s="258"/>
      <c r="K65" s="258"/>
      <c r="L65" s="258"/>
      <c r="M65" s="258"/>
      <c r="N65" s="258"/>
      <c r="O65" s="258"/>
      <c r="P65" s="258"/>
      <c r="Q65" s="258"/>
      <c r="R65" s="258"/>
      <c r="S65" s="258"/>
      <c r="T65" s="258"/>
      <c r="U65" s="258"/>
      <c r="V65" s="258"/>
      <c r="W65" s="258"/>
      <c r="X65" s="258"/>
      <c r="Y65" s="258"/>
      <c r="Z65" s="258"/>
      <c r="AA65" s="258"/>
      <c r="AB65" s="258"/>
      <c r="AC65" s="258"/>
      <c r="AD65" s="258"/>
      <c r="AE65" s="258"/>
      <c r="AF65" s="258"/>
      <c r="AG65" s="258"/>
      <c r="AH65" s="258"/>
      <c r="AI65" s="258"/>
      <c r="AJ65" s="258"/>
      <c r="AK65" s="258"/>
      <c r="AL65" s="258"/>
      <c r="AM65" s="258"/>
    </row>
    <row r="66" customFormat="false" ht="11.25" hidden="false" customHeight="false" outlineLevel="0" collapsed="false">
      <c r="B66" s="258"/>
      <c r="C66" s="258"/>
      <c r="D66" s="258"/>
      <c r="E66" s="258"/>
      <c r="F66" s="258"/>
      <c r="G66" s="258"/>
      <c r="H66" s="258"/>
      <c r="I66" s="258"/>
      <c r="J66" s="258"/>
      <c r="K66" s="258"/>
      <c r="L66" s="258"/>
      <c r="M66" s="258"/>
      <c r="N66" s="258"/>
      <c r="O66" s="258"/>
      <c r="P66" s="258"/>
      <c r="Q66" s="258"/>
      <c r="R66" s="258"/>
      <c r="S66" s="258"/>
      <c r="T66" s="258"/>
      <c r="U66" s="258"/>
      <c r="V66" s="258"/>
      <c r="W66" s="258"/>
      <c r="X66" s="258"/>
      <c r="Y66" s="258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</row>
    <row r="67" customFormat="false" ht="11.25" hidden="false" customHeight="false" outlineLevel="0" collapsed="false">
      <c r="B67" s="258"/>
      <c r="C67" s="258"/>
      <c r="D67" s="258"/>
      <c r="E67" s="258"/>
      <c r="F67" s="258"/>
      <c r="G67" s="258"/>
      <c r="H67" s="258"/>
      <c r="I67" s="258"/>
      <c r="J67" s="258"/>
      <c r="K67" s="258"/>
      <c r="L67" s="258"/>
      <c r="M67" s="258"/>
      <c r="N67" s="258"/>
      <c r="O67" s="258"/>
      <c r="P67" s="258"/>
      <c r="Q67" s="258"/>
      <c r="R67" s="258"/>
      <c r="S67" s="258"/>
      <c r="T67" s="258"/>
      <c r="U67" s="258"/>
      <c r="V67" s="258"/>
      <c r="W67" s="258"/>
      <c r="X67" s="258"/>
      <c r="Y67" s="258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</row>
    <row r="68" customFormat="false" ht="11.25" hidden="false" customHeight="false" outlineLevel="0" collapsed="false">
      <c r="B68" s="258"/>
      <c r="C68" s="258"/>
      <c r="D68" s="258"/>
      <c r="E68" s="258"/>
      <c r="F68" s="258"/>
      <c r="G68" s="258"/>
      <c r="H68" s="258"/>
      <c r="I68" s="258"/>
      <c r="J68" s="258"/>
      <c r="K68" s="258"/>
      <c r="L68" s="258"/>
      <c r="M68" s="258"/>
      <c r="N68" s="258"/>
      <c r="O68" s="258"/>
      <c r="P68" s="258"/>
      <c r="Q68" s="258"/>
      <c r="R68" s="258"/>
      <c r="S68" s="258"/>
      <c r="T68" s="258"/>
      <c r="U68" s="258"/>
      <c r="V68" s="258"/>
      <c r="W68" s="258"/>
      <c r="X68" s="258"/>
      <c r="Y68" s="258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</row>
    <row r="69" customFormat="false" ht="11.25" hidden="false" customHeight="false" outlineLevel="0" collapsed="false">
      <c r="B69" s="258"/>
      <c r="C69" s="258"/>
      <c r="D69" s="258"/>
      <c r="E69" s="258"/>
      <c r="F69" s="258"/>
      <c r="G69" s="258"/>
      <c r="H69" s="258"/>
      <c r="I69" s="258"/>
      <c r="J69" s="258"/>
      <c r="K69" s="258"/>
      <c r="L69" s="258"/>
      <c r="M69" s="258"/>
      <c r="N69" s="258"/>
      <c r="O69" s="258"/>
      <c r="P69" s="258"/>
      <c r="Q69" s="258"/>
      <c r="R69" s="258"/>
      <c r="S69" s="258"/>
      <c r="T69" s="258"/>
      <c r="U69" s="258"/>
      <c r="V69" s="258"/>
      <c r="W69" s="258"/>
      <c r="X69" s="258"/>
      <c r="Y69" s="258"/>
      <c r="Z69" s="258"/>
      <c r="AA69" s="258"/>
      <c r="AB69" s="258"/>
      <c r="AC69" s="258"/>
      <c r="AD69" s="258"/>
      <c r="AE69" s="258"/>
      <c r="AF69" s="258"/>
      <c r="AG69" s="258"/>
      <c r="AH69" s="258"/>
      <c r="AI69" s="258"/>
      <c r="AJ69" s="258"/>
      <c r="AK69" s="258"/>
      <c r="AL69" s="258"/>
      <c r="AM69" s="258"/>
    </row>
    <row r="70" customFormat="false" ht="11.25" hidden="false" customHeight="false" outlineLevel="0" collapsed="false">
      <c r="B70" s="258"/>
      <c r="C70" s="258"/>
      <c r="D70" s="258"/>
      <c r="E70" s="258"/>
      <c r="F70" s="258"/>
      <c r="G70" s="258"/>
      <c r="H70" s="258"/>
      <c r="I70" s="258"/>
      <c r="J70" s="258"/>
      <c r="K70" s="258"/>
      <c r="L70" s="258"/>
      <c r="M70" s="258"/>
      <c r="N70" s="258"/>
      <c r="O70" s="258"/>
      <c r="P70" s="258"/>
      <c r="Q70" s="258"/>
      <c r="R70" s="258"/>
      <c r="S70" s="258"/>
      <c r="T70" s="258"/>
      <c r="U70" s="258"/>
      <c r="V70" s="258"/>
      <c r="W70" s="258"/>
      <c r="X70" s="258"/>
      <c r="Y70" s="258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</row>
    <row r="71" customFormat="false" ht="11.25" hidden="false" customHeight="false" outlineLevel="0" collapsed="false">
      <c r="B71" s="258"/>
      <c r="C71" s="258"/>
      <c r="D71" s="258"/>
      <c r="E71" s="258"/>
      <c r="F71" s="258"/>
      <c r="G71" s="258"/>
      <c r="H71" s="258"/>
      <c r="I71" s="258"/>
      <c r="J71" s="258"/>
      <c r="K71" s="258"/>
      <c r="L71" s="258"/>
      <c r="M71" s="258"/>
      <c r="N71" s="258"/>
      <c r="O71" s="258"/>
      <c r="P71" s="258"/>
      <c r="Q71" s="258"/>
      <c r="R71" s="258"/>
      <c r="S71" s="258"/>
      <c r="T71" s="258"/>
      <c r="U71" s="258"/>
      <c r="V71" s="258"/>
      <c r="W71" s="258"/>
      <c r="X71" s="258"/>
      <c r="Y71" s="258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</row>
    <row r="72" customFormat="false" ht="11.25" hidden="false" customHeight="false" outlineLevel="0" collapsed="false">
      <c r="B72" s="258"/>
      <c r="C72" s="258"/>
      <c r="D72" s="258"/>
      <c r="E72" s="258"/>
      <c r="F72" s="258"/>
      <c r="G72" s="258"/>
      <c r="H72" s="258"/>
      <c r="I72" s="258"/>
      <c r="J72" s="258"/>
      <c r="K72" s="258"/>
      <c r="L72" s="258"/>
      <c r="M72" s="258"/>
      <c r="N72" s="258"/>
      <c r="O72" s="258"/>
      <c r="P72" s="258"/>
      <c r="Q72" s="258"/>
      <c r="R72" s="258"/>
      <c r="S72" s="258"/>
      <c r="T72" s="258"/>
      <c r="U72" s="258"/>
      <c r="V72" s="258"/>
      <c r="W72" s="258"/>
      <c r="X72" s="258"/>
      <c r="Y72" s="258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</row>
    <row r="73" customFormat="false" ht="11.25" hidden="false" customHeight="false" outlineLevel="0" collapsed="false">
      <c r="B73" s="258"/>
      <c r="C73" s="258"/>
      <c r="D73" s="258"/>
      <c r="E73" s="258"/>
      <c r="F73" s="258"/>
      <c r="G73" s="258"/>
      <c r="H73" s="258"/>
      <c r="I73" s="258"/>
      <c r="J73" s="258"/>
      <c r="K73" s="258"/>
      <c r="L73" s="258"/>
      <c r="M73" s="258"/>
      <c r="N73" s="258"/>
      <c r="O73" s="258"/>
      <c r="P73" s="258"/>
      <c r="Q73" s="258"/>
      <c r="R73" s="258"/>
      <c r="S73" s="258"/>
      <c r="T73" s="258"/>
      <c r="U73" s="258"/>
      <c r="V73" s="258"/>
      <c r="W73" s="258"/>
      <c r="X73" s="258"/>
      <c r="Y73" s="258"/>
      <c r="Z73" s="258"/>
      <c r="AA73" s="258"/>
      <c r="AB73" s="258"/>
      <c r="AC73" s="258"/>
      <c r="AD73" s="258"/>
      <c r="AE73" s="258"/>
      <c r="AF73" s="258"/>
      <c r="AG73" s="258"/>
      <c r="AH73" s="258"/>
      <c r="AI73" s="258"/>
      <c r="AJ73" s="258"/>
      <c r="AK73" s="258"/>
      <c r="AL73" s="258"/>
      <c r="AM73" s="258"/>
    </row>
    <row r="74" customFormat="false" ht="11.25" hidden="false" customHeight="false" outlineLevel="0" collapsed="false">
      <c r="B74" s="258"/>
      <c r="C74" s="258"/>
      <c r="D74" s="258"/>
      <c r="E74" s="258"/>
      <c r="F74" s="258"/>
      <c r="G74" s="258"/>
      <c r="H74" s="258"/>
      <c r="I74" s="258"/>
      <c r="J74" s="258"/>
      <c r="K74" s="258"/>
      <c r="L74" s="258"/>
      <c r="M74" s="258"/>
      <c r="N74" s="258"/>
      <c r="O74" s="258"/>
      <c r="P74" s="258"/>
      <c r="Q74" s="258"/>
      <c r="R74" s="258"/>
      <c r="S74" s="258"/>
      <c r="T74" s="258"/>
      <c r="U74" s="258"/>
      <c r="V74" s="258"/>
      <c r="W74" s="258"/>
      <c r="X74" s="258"/>
      <c r="Y74" s="258"/>
      <c r="Z74" s="258"/>
      <c r="AA74" s="258"/>
      <c r="AB74" s="258"/>
      <c r="AC74" s="258"/>
      <c r="AD74" s="258"/>
      <c r="AE74" s="258"/>
      <c r="AF74" s="258"/>
      <c r="AG74" s="258"/>
      <c r="AH74" s="258"/>
      <c r="AI74" s="258"/>
      <c r="AJ74" s="258"/>
      <c r="AK74" s="258"/>
      <c r="AL74" s="258"/>
      <c r="AM74" s="258"/>
    </row>
    <row r="75" customFormat="false" ht="11.25" hidden="false" customHeight="false" outlineLevel="0" collapsed="false">
      <c r="B75" s="258"/>
      <c r="C75" s="258"/>
      <c r="D75" s="258"/>
      <c r="E75" s="258"/>
      <c r="F75" s="258"/>
      <c r="G75" s="258"/>
      <c r="H75" s="258"/>
      <c r="I75" s="258"/>
      <c r="J75" s="258"/>
      <c r="K75" s="258"/>
      <c r="L75" s="258"/>
      <c r="M75" s="258"/>
      <c r="N75" s="258"/>
      <c r="O75" s="258"/>
      <c r="P75" s="258"/>
      <c r="Q75" s="258"/>
      <c r="R75" s="258"/>
      <c r="S75" s="258"/>
      <c r="T75" s="258"/>
      <c r="U75" s="258"/>
      <c r="V75" s="258"/>
      <c r="W75" s="258"/>
      <c r="X75" s="258"/>
      <c r="Y75" s="258"/>
      <c r="Z75" s="258"/>
      <c r="AA75" s="258"/>
      <c r="AB75" s="258"/>
      <c r="AC75" s="258"/>
      <c r="AD75" s="258"/>
      <c r="AE75" s="258"/>
      <c r="AF75" s="258"/>
      <c r="AG75" s="258"/>
      <c r="AH75" s="258"/>
      <c r="AI75" s="258"/>
      <c r="AJ75" s="258"/>
      <c r="AK75" s="258"/>
      <c r="AL75" s="258"/>
      <c r="AM75" s="258"/>
    </row>
    <row r="76" customFormat="false" ht="11.25" hidden="false" customHeight="false" outlineLevel="0" collapsed="false">
      <c r="B76" s="258"/>
      <c r="C76" s="258"/>
      <c r="D76" s="258"/>
      <c r="E76" s="258"/>
      <c r="F76" s="258"/>
      <c r="G76" s="258"/>
      <c r="H76" s="258"/>
      <c r="I76" s="258"/>
      <c r="J76" s="258"/>
      <c r="K76" s="258"/>
      <c r="L76" s="258"/>
      <c r="M76" s="258"/>
      <c r="N76" s="258"/>
      <c r="O76" s="258"/>
      <c r="P76" s="258"/>
      <c r="Q76" s="258"/>
      <c r="R76" s="258"/>
      <c r="S76" s="258"/>
      <c r="T76" s="258"/>
      <c r="U76" s="258"/>
      <c r="V76" s="258"/>
      <c r="W76" s="258"/>
      <c r="X76" s="258"/>
      <c r="Y76" s="258"/>
      <c r="Z76" s="258"/>
      <c r="AA76" s="258"/>
      <c r="AB76" s="258"/>
      <c r="AC76" s="258"/>
      <c r="AD76" s="258"/>
      <c r="AE76" s="258"/>
      <c r="AF76" s="258"/>
      <c r="AG76" s="258"/>
      <c r="AH76" s="258"/>
      <c r="AI76" s="258"/>
      <c r="AJ76" s="258"/>
      <c r="AK76" s="258"/>
      <c r="AL76" s="258"/>
      <c r="AM76" s="258"/>
    </row>
    <row r="77" customFormat="false" ht="11.25" hidden="false" customHeight="false" outlineLevel="0" collapsed="false">
      <c r="B77" s="258"/>
      <c r="C77" s="258"/>
      <c r="D77" s="258"/>
      <c r="E77" s="258"/>
      <c r="F77" s="258"/>
      <c r="G77" s="258"/>
      <c r="H77" s="258"/>
      <c r="I77" s="258"/>
      <c r="J77" s="258"/>
      <c r="K77" s="258"/>
      <c r="L77" s="258"/>
      <c r="M77" s="258"/>
      <c r="N77" s="258"/>
      <c r="O77" s="258"/>
      <c r="P77" s="258"/>
      <c r="Q77" s="258"/>
      <c r="R77" s="258"/>
      <c r="S77" s="258"/>
      <c r="T77" s="258"/>
      <c r="U77" s="258"/>
      <c r="V77" s="258"/>
      <c r="W77" s="258"/>
      <c r="X77" s="258"/>
      <c r="Y77" s="258"/>
      <c r="Z77" s="258"/>
      <c r="AA77" s="258"/>
      <c r="AB77" s="258"/>
      <c r="AC77" s="258"/>
      <c r="AD77" s="258"/>
      <c r="AE77" s="258"/>
      <c r="AF77" s="258"/>
      <c r="AG77" s="258"/>
      <c r="AH77" s="258"/>
      <c r="AI77" s="258"/>
      <c r="AJ77" s="258"/>
      <c r="AK77" s="258"/>
      <c r="AL77" s="258"/>
      <c r="AM77" s="258"/>
    </row>
    <row r="78" customFormat="false" ht="11.25" hidden="false" customHeight="false" outlineLevel="0" collapsed="false">
      <c r="B78" s="258"/>
      <c r="C78" s="258"/>
      <c r="D78" s="258"/>
      <c r="E78" s="258"/>
      <c r="F78" s="258"/>
      <c r="G78" s="258"/>
      <c r="H78" s="258"/>
      <c r="I78" s="258"/>
      <c r="J78" s="258"/>
      <c r="K78" s="258"/>
      <c r="L78" s="258"/>
      <c r="M78" s="258"/>
      <c r="N78" s="258"/>
      <c r="O78" s="258"/>
      <c r="P78" s="258"/>
      <c r="Q78" s="258"/>
      <c r="R78" s="258"/>
      <c r="S78" s="258"/>
      <c r="T78" s="258"/>
      <c r="U78" s="258"/>
      <c r="V78" s="258"/>
      <c r="W78" s="258"/>
      <c r="X78" s="258"/>
      <c r="Y78" s="258"/>
      <c r="Z78" s="258"/>
      <c r="AA78" s="258"/>
      <c r="AB78" s="258"/>
      <c r="AC78" s="258"/>
      <c r="AD78" s="258"/>
      <c r="AE78" s="258"/>
      <c r="AF78" s="258"/>
      <c r="AG78" s="258"/>
      <c r="AH78" s="258"/>
      <c r="AI78" s="258"/>
      <c r="AJ78" s="258"/>
      <c r="AK78" s="258"/>
      <c r="AL78" s="258"/>
      <c r="AM78" s="258"/>
    </row>
    <row r="79" customFormat="false" ht="11.25" hidden="false" customHeight="false" outlineLevel="0" collapsed="false">
      <c r="B79" s="258"/>
      <c r="C79" s="258"/>
      <c r="D79" s="258"/>
      <c r="E79" s="258"/>
      <c r="F79" s="258"/>
      <c r="G79" s="258"/>
      <c r="H79" s="258"/>
      <c r="I79" s="258"/>
      <c r="J79" s="258"/>
      <c r="K79" s="258"/>
      <c r="L79" s="258"/>
      <c r="M79" s="258"/>
      <c r="N79" s="258"/>
      <c r="O79" s="258"/>
      <c r="P79" s="258"/>
      <c r="Q79" s="258"/>
      <c r="R79" s="258"/>
      <c r="S79" s="258"/>
      <c r="T79" s="258"/>
      <c r="U79" s="258"/>
      <c r="V79" s="258"/>
      <c r="W79" s="258"/>
      <c r="X79" s="258"/>
      <c r="Y79" s="258"/>
      <c r="Z79" s="258"/>
      <c r="AA79" s="258"/>
      <c r="AB79" s="258"/>
      <c r="AC79" s="258"/>
      <c r="AD79" s="258"/>
      <c r="AE79" s="258"/>
      <c r="AF79" s="258"/>
      <c r="AG79" s="258"/>
      <c r="AH79" s="258"/>
      <c r="AI79" s="258"/>
      <c r="AJ79" s="258"/>
      <c r="AK79" s="258"/>
      <c r="AL79" s="258"/>
      <c r="AM79" s="258"/>
    </row>
    <row r="80" customFormat="false" ht="11.25" hidden="false" customHeight="false" outlineLevel="0" collapsed="false">
      <c r="B80" s="258"/>
      <c r="C80" s="258"/>
      <c r="D80" s="258"/>
      <c r="E80" s="258"/>
      <c r="F80" s="258"/>
      <c r="G80" s="258"/>
      <c r="H80" s="258"/>
      <c r="I80" s="258"/>
      <c r="J80" s="258"/>
      <c r="K80" s="258"/>
      <c r="L80" s="258"/>
      <c r="M80" s="258"/>
      <c r="N80" s="258"/>
      <c r="O80" s="258"/>
      <c r="P80" s="258"/>
      <c r="Q80" s="258"/>
      <c r="R80" s="258"/>
      <c r="S80" s="258"/>
      <c r="T80" s="258"/>
      <c r="U80" s="258"/>
      <c r="V80" s="258"/>
      <c r="W80" s="258"/>
      <c r="X80" s="258"/>
      <c r="Y80" s="258"/>
      <c r="Z80" s="258"/>
      <c r="AA80" s="258"/>
      <c r="AB80" s="258"/>
      <c r="AC80" s="258"/>
      <c r="AD80" s="258"/>
      <c r="AE80" s="258"/>
      <c r="AF80" s="258"/>
      <c r="AG80" s="258"/>
      <c r="AH80" s="258"/>
      <c r="AI80" s="258"/>
      <c r="AJ80" s="258"/>
      <c r="AK80" s="258"/>
      <c r="AL80" s="258"/>
      <c r="AM80" s="258"/>
    </row>
    <row r="81" customFormat="false" ht="11.25" hidden="false" customHeight="false" outlineLevel="0" collapsed="false">
      <c r="B81" s="258"/>
      <c r="C81" s="258"/>
      <c r="D81" s="258"/>
      <c r="E81" s="258"/>
      <c r="F81" s="258"/>
      <c r="G81" s="258"/>
      <c r="H81" s="258"/>
      <c r="I81" s="258"/>
      <c r="J81" s="258"/>
      <c r="K81" s="258"/>
      <c r="L81" s="258"/>
      <c r="M81" s="258"/>
      <c r="N81" s="258"/>
      <c r="O81" s="258"/>
      <c r="P81" s="258"/>
      <c r="Q81" s="258"/>
      <c r="R81" s="258"/>
      <c r="S81" s="258"/>
      <c r="T81" s="258"/>
      <c r="U81" s="258"/>
      <c r="V81" s="258"/>
      <c r="W81" s="258"/>
      <c r="X81" s="258"/>
      <c r="Y81" s="258"/>
      <c r="Z81" s="258"/>
      <c r="AA81" s="258"/>
      <c r="AB81" s="258"/>
      <c r="AC81" s="258"/>
      <c r="AD81" s="258"/>
      <c r="AE81" s="258"/>
      <c r="AF81" s="258"/>
      <c r="AG81" s="258"/>
      <c r="AH81" s="258"/>
      <c r="AI81" s="258"/>
      <c r="AJ81" s="258"/>
      <c r="AK81" s="258"/>
      <c r="AL81" s="258"/>
      <c r="AM81" s="258"/>
    </row>
    <row r="82" customFormat="false" ht="11.25" hidden="false" customHeight="false" outlineLevel="0" collapsed="false">
      <c r="B82" s="258"/>
      <c r="C82" s="258"/>
      <c r="D82" s="258"/>
      <c r="E82" s="258"/>
      <c r="F82" s="258"/>
      <c r="G82" s="258"/>
      <c r="H82" s="258"/>
      <c r="I82" s="258"/>
      <c r="J82" s="258"/>
      <c r="K82" s="258"/>
      <c r="L82" s="258"/>
      <c r="M82" s="258"/>
      <c r="N82" s="258"/>
      <c r="O82" s="258"/>
      <c r="P82" s="258"/>
      <c r="Q82" s="258"/>
      <c r="R82" s="258"/>
      <c r="S82" s="258"/>
      <c r="T82" s="258"/>
      <c r="U82" s="258"/>
      <c r="V82" s="258"/>
      <c r="W82" s="258"/>
      <c r="X82" s="258"/>
      <c r="Y82" s="258"/>
      <c r="Z82" s="258"/>
      <c r="AA82" s="258"/>
      <c r="AB82" s="258"/>
      <c r="AC82" s="258"/>
      <c r="AD82" s="258"/>
      <c r="AE82" s="258"/>
      <c r="AF82" s="258"/>
      <c r="AG82" s="258"/>
      <c r="AH82" s="258"/>
      <c r="AI82" s="258"/>
      <c r="AJ82" s="258"/>
      <c r="AK82" s="258"/>
      <c r="AL82" s="258"/>
      <c r="AM82" s="258"/>
    </row>
    <row r="83" customFormat="false" ht="11.25" hidden="false" customHeight="false" outlineLevel="0" collapsed="false">
      <c r="B83" s="258"/>
      <c r="C83" s="258"/>
      <c r="D83" s="258"/>
      <c r="E83" s="258"/>
      <c r="F83" s="258"/>
      <c r="G83" s="258"/>
      <c r="H83" s="258"/>
      <c r="I83" s="258"/>
      <c r="J83" s="258"/>
      <c r="K83" s="258"/>
      <c r="L83" s="258"/>
      <c r="M83" s="258"/>
      <c r="N83" s="258"/>
      <c r="O83" s="258"/>
      <c r="P83" s="258"/>
      <c r="Q83" s="258"/>
      <c r="R83" s="258"/>
      <c r="S83" s="258"/>
      <c r="T83" s="258"/>
      <c r="U83" s="258"/>
      <c r="V83" s="258"/>
      <c r="W83" s="258"/>
      <c r="X83" s="258"/>
      <c r="Y83" s="258"/>
      <c r="Z83" s="258"/>
      <c r="AA83" s="258"/>
      <c r="AB83" s="258"/>
      <c r="AC83" s="258"/>
      <c r="AD83" s="258"/>
      <c r="AE83" s="258"/>
      <c r="AF83" s="258"/>
      <c r="AG83" s="258"/>
      <c r="AH83" s="258"/>
      <c r="AI83" s="258"/>
      <c r="AJ83" s="258"/>
      <c r="AK83" s="258"/>
      <c r="AL83" s="258"/>
      <c r="AM83" s="258"/>
    </row>
  </sheetData>
  <mergeCells count="33">
    <mergeCell ref="B1:I1"/>
    <mergeCell ref="K1:M1"/>
    <mergeCell ref="O1:V1"/>
    <mergeCell ref="X1:Z1"/>
    <mergeCell ref="AB1:AI1"/>
    <mergeCell ref="AK1:AM1"/>
    <mergeCell ref="K2:M2"/>
    <mergeCell ref="X2:Z2"/>
    <mergeCell ref="AK2:AM2"/>
    <mergeCell ref="A3:A5"/>
    <mergeCell ref="B3:M3"/>
    <mergeCell ref="N3:N5"/>
    <mergeCell ref="O3:Z3"/>
    <mergeCell ref="AA3:AA5"/>
    <mergeCell ref="AB3:AM3"/>
    <mergeCell ref="B4:D4"/>
    <mergeCell ref="E4:G4"/>
    <mergeCell ref="H4:J4"/>
    <mergeCell ref="K4:M4"/>
    <mergeCell ref="O4:Q4"/>
    <mergeCell ref="R4:T4"/>
    <mergeCell ref="U4:W4"/>
    <mergeCell ref="X4:Z4"/>
    <mergeCell ref="AB4:AD4"/>
    <mergeCell ref="AE4:AG4"/>
    <mergeCell ref="AH4:AJ4"/>
    <mergeCell ref="AK4:AM4"/>
    <mergeCell ref="B55:F55"/>
    <mergeCell ref="O55:T55"/>
    <mergeCell ref="AB55:AF55"/>
    <mergeCell ref="B56:D56"/>
    <mergeCell ref="O56:Q56"/>
    <mergeCell ref="AB56:AD56"/>
  </mergeCells>
  <printOptions headings="false" gridLines="false" gridLinesSet="true" horizontalCentered="false" verticalCentered="false"/>
  <pageMargins left="0.590277777777778" right="0.511805555555555" top="0.511805555555555" bottom="0.511805555555556" header="0.511805555555555" footer="0.433333333333333"/>
  <pageSetup paperSize="1" scale="100" firstPageNumber="75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>&amp;C&amp;"Times New Roman,Regular"&amp;8&amp;P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1"/>
  <sheetViews>
    <sheetView showFormulas="false" showGridLines="true" showRowColHeaders="true" showZeros="true" rightToLeft="false" tabSelected="false" showOutlineSymbols="true" defaultGridColor="true" view="normal" topLeftCell="A28" colorId="64" zoomScale="130" zoomScaleNormal="130" zoomScalePageLayoutView="100" workbookViewId="0">
      <selection pane="topLeft" activeCell="C58" activeCellId="0" sqref="C58"/>
    </sheetView>
  </sheetViews>
  <sheetFormatPr defaultColWidth="9.15625" defaultRowHeight="11.25" zeroHeight="false" outlineLevelRow="0" outlineLevelCol="0"/>
  <cols>
    <col collapsed="false" customWidth="true" hidden="false" outlineLevel="0" max="1" min="1" style="107" width="8.57"/>
    <col collapsed="false" customWidth="true" hidden="false" outlineLevel="0" max="2" min="2" style="107" width="9.42"/>
    <col collapsed="false" customWidth="true" hidden="false" outlineLevel="0" max="4" min="3" style="107" width="11.71"/>
    <col collapsed="false" customWidth="true" hidden="false" outlineLevel="0" max="5" min="5" style="107" width="11.99"/>
    <col collapsed="false" customWidth="true" hidden="false" outlineLevel="0" max="6" min="6" style="107" width="11.86"/>
    <col collapsed="false" customWidth="true" hidden="false" outlineLevel="0" max="7" min="7" style="107" width="11.14"/>
    <col collapsed="false" customWidth="false" hidden="false" outlineLevel="0" max="1024" min="8" style="107" width="9.14"/>
  </cols>
  <sheetData>
    <row r="1" s="108" customFormat="true" ht="36" hidden="false" customHeight="true" outlineLevel="0" collapsed="false">
      <c r="B1" s="1409" t="s">
        <v>2415</v>
      </c>
      <c r="C1" s="1409"/>
      <c r="D1" s="1409"/>
      <c r="E1" s="1409"/>
      <c r="F1" s="1410" t="s">
        <v>2416</v>
      </c>
      <c r="G1" s="1410"/>
    </row>
    <row r="2" customFormat="false" ht="11.25" hidden="false" customHeight="true" outlineLevel="0" collapsed="false">
      <c r="A2" s="849"/>
      <c r="B2" s="849"/>
      <c r="C2" s="849"/>
      <c r="D2" s="849"/>
      <c r="E2" s="849"/>
      <c r="F2" s="1411" t="s">
        <v>2113</v>
      </c>
      <c r="G2" s="1411"/>
    </row>
    <row r="3" s="100" customFormat="true" ht="15.75" hidden="false" customHeight="true" outlineLevel="0" collapsed="false">
      <c r="A3" s="834" t="s">
        <v>260</v>
      </c>
      <c r="B3" s="1412" t="s">
        <v>2417</v>
      </c>
      <c r="C3" s="1412"/>
      <c r="D3" s="1412"/>
      <c r="E3" s="835" t="s">
        <v>2418</v>
      </c>
      <c r="F3" s="835"/>
      <c r="G3" s="835"/>
    </row>
    <row r="4" s="100" customFormat="true" ht="15.75" hidden="false" customHeight="true" outlineLevel="0" collapsed="false">
      <c r="A4" s="834"/>
      <c r="B4" s="1413" t="s">
        <v>2419</v>
      </c>
      <c r="C4" s="1414" t="s">
        <v>2420</v>
      </c>
      <c r="D4" s="1415" t="s">
        <v>2421</v>
      </c>
      <c r="E4" s="749" t="s">
        <v>2419</v>
      </c>
      <c r="F4" s="749" t="s">
        <v>2420</v>
      </c>
      <c r="G4" s="749" t="s">
        <v>2421</v>
      </c>
    </row>
    <row r="5" customFormat="false" ht="13.35" hidden="false" customHeight="true" outlineLevel="0" collapsed="false">
      <c r="A5" s="783" t="n">
        <v>2009</v>
      </c>
      <c r="B5" s="1370" t="n">
        <v>19</v>
      </c>
      <c r="C5" s="1370" t="n">
        <v>0.05</v>
      </c>
      <c r="D5" s="1370" t="n">
        <v>4.38833333333333</v>
      </c>
      <c r="E5" s="1370" t="n">
        <v>19</v>
      </c>
      <c r="F5" s="1370" t="n">
        <v>0.05</v>
      </c>
      <c r="G5" s="1370" t="n">
        <v>4.38833333333333</v>
      </c>
    </row>
    <row r="6" customFormat="false" ht="13.35" hidden="false" customHeight="true" outlineLevel="0" collapsed="false">
      <c r="A6" s="840" t="n">
        <v>2010</v>
      </c>
      <c r="B6" s="1043" t="n">
        <v>190</v>
      </c>
      <c r="C6" s="1043" t="n">
        <v>2</v>
      </c>
      <c r="D6" s="1043" t="n">
        <v>8.055</v>
      </c>
      <c r="E6" s="1043" t="n">
        <v>190</v>
      </c>
      <c r="F6" s="1043" t="n">
        <v>2</v>
      </c>
      <c r="G6" s="1043" t="n">
        <v>8.055</v>
      </c>
    </row>
    <row r="7" s="222" customFormat="true" ht="13.35" hidden="false" customHeight="true" outlineLevel="0" collapsed="false">
      <c r="A7" s="842" t="n">
        <v>2011</v>
      </c>
      <c r="B7" s="883" t="n">
        <v>24</v>
      </c>
      <c r="C7" s="883" t="n">
        <v>3</v>
      </c>
      <c r="D7" s="883" t="n">
        <v>11.16</v>
      </c>
      <c r="E7" s="883" t="n">
        <v>24</v>
      </c>
      <c r="F7" s="883" t="n">
        <v>3</v>
      </c>
      <c r="G7" s="883" t="n">
        <v>11.16</v>
      </c>
    </row>
    <row r="8" s="222" customFormat="true" ht="13.35" hidden="false" customHeight="true" outlineLevel="0" collapsed="false">
      <c r="A8" s="840" t="n">
        <v>2012</v>
      </c>
      <c r="B8" s="1043" t="n">
        <v>22</v>
      </c>
      <c r="C8" s="1043" t="n">
        <v>3</v>
      </c>
      <c r="D8" s="1043" t="n">
        <v>12.8225</v>
      </c>
      <c r="E8" s="1043" t="n">
        <v>22</v>
      </c>
      <c r="F8" s="1043" t="n">
        <v>3</v>
      </c>
      <c r="G8" s="1043" t="n">
        <v>12.8225</v>
      </c>
    </row>
    <row r="9" s="207" customFormat="true" ht="13.35" hidden="false" customHeight="true" outlineLevel="0" collapsed="false">
      <c r="A9" s="506" t="n">
        <v>2013</v>
      </c>
      <c r="B9" s="160" t="n">
        <v>13</v>
      </c>
      <c r="C9" s="160" t="n">
        <v>5.1</v>
      </c>
      <c r="D9" s="160" t="n">
        <v>7.77583333333333</v>
      </c>
      <c r="E9" s="160" t="n">
        <v>13</v>
      </c>
      <c r="F9" s="160" t="n">
        <v>5.1</v>
      </c>
      <c r="G9" s="160" t="n">
        <v>7.77583333333333</v>
      </c>
    </row>
    <row r="10" s="207" customFormat="true" ht="13.35" hidden="false" customHeight="true" outlineLevel="0" collapsed="false">
      <c r="A10" s="507" t="n">
        <v>2014</v>
      </c>
      <c r="B10" s="172" t="n">
        <v>9.9</v>
      </c>
      <c r="C10" s="172" t="n">
        <v>5</v>
      </c>
      <c r="D10" s="172" t="n">
        <v>7.14</v>
      </c>
      <c r="E10" s="172" t="n">
        <v>9.9</v>
      </c>
      <c r="F10" s="172" t="n">
        <v>5</v>
      </c>
      <c r="G10" s="172" t="n">
        <v>7.14</v>
      </c>
    </row>
    <row r="11" s="207" customFormat="true" ht="13.35" hidden="false" customHeight="true" outlineLevel="0" collapsed="false">
      <c r="A11" s="506" t="n">
        <v>2015</v>
      </c>
      <c r="B11" s="160" t="n">
        <v>9.9</v>
      </c>
      <c r="C11" s="160" t="n">
        <v>1.25</v>
      </c>
      <c r="D11" s="160" t="n">
        <v>6.19833333333333</v>
      </c>
      <c r="E11" s="160" t="n">
        <v>9.9</v>
      </c>
      <c r="F11" s="160" t="n">
        <v>1.25</v>
      </c>
      <c r="G11" s="160" t="n">
        <v>6.14583333333333</v>
      </c>
    </row>
    <row r="12" s="1081" customFormat="true" ht="13.35" hidden="false" customHeight="true" outlineLevel="0" collapsed="false">
      <c r="A12" s="305" t="n">
        <v>2016</v>
      </c>
      <c r="B12" s="172" t="n">
        <v>5</v>
      </c>
      <c r="C12" s="172" t="n">
        <v>1</v>
      </c>
      <c r="D12" s="172" t="n">
        <v>3.66916666666667</v>
      </c>
      <c r="E12" s="172" t="n">
        <v>5</v>
      </c>
      <c r="F12" s="172" t="n">
        <v>1</v>
      </c>
      <c r="G12" s="172" t="n">
        <v>3.66916666666667</v>
      </c>
      <c r="H12" s="207"/>
      <c r="I12" s="1416"/>
      <c r="J12" s="207"/>
      <c r="K12" s="207"/>
      <c r="L12" s="207"/>
      <c r="M12" s="207"/>
      <c r="N12" s="207"/>
      <c r="O12" s="207"/>
    </row>
    <row r="13" s="1081" customFormat="true" ht="13.35" hidden="false" customHeight="true" outlineLevel="0" collapsed="false">
      <c r="A13" s="1047" t="n">
        <v>2017</v>
      </c>
      <c r="B13" s="886" t="n">
        <v>4.5</v>
      </c>
      <c r="C13" s="886" t="n">
        <v>1.5</v>
      </c>
      <c r="D13" s="886" t="n">
        <v>3.7675</v>
      </c>
      <c r="E13" s="886" t="n">
        <v>4.5</v>
      </c>
      <c r="F13" s="886" t="n">
        <v>1.5</v>
      </c>
      <c r="G13" s="886" t="n">
        <v>3.7675</v>
      </c>
      <c r="H13" s="207"/>
      <c r="I13" s="1416"/>
      <c r="J13" s="207"/>
      <c r="K13" s="207"/>
      <c r="L13" s="207"/>
      <c r="M13" s="207"/>
      <c r="N13" s="207"/>
      <c r="O13" s="207"/>
    </row>
    <row r="14" s="207" customFormat="true" ht="13.35" hidden="false" customHeight="true" outlineLevel="0" collapsed="false">
      <c r="A14" s="510" t="n">
        <v>2018</v>
      </c>
      <c r="B14" s="887" t="n">
        <f aca="false">MAX(B15:B26)</f>
        <v>5.5</v>
      </c>
      <c r="C14" s="887" t="n">
        <f aca="false">MIN(C15:C26)</f>
        <v>0.1</v>
      </c>
      <c r="D14" s="887" t="n">
        <f aca="false">AVERAGE(D15:D26)</f>
        <v>3.66916666666667</v>
      </c>
      <c r="E14" s="887" t="n">
        <f aca="false">MAX(E15:E26)</f>
        <v>5.5</v>
      </c>
      <c r="F14" s="887" t="n">
        <f aca="false">MIN(F15:F26)</f>
        <v>0.1</v>
      </c>
      <c r="G14" s="887" t="n">
        <f aca="false">AVERAGE(G15:G26)</f>
        <v>3.66916666666667</v>
      </c>
    </row>
    <row r="15" s="207" customFormat="true" ht="13.35" hidden="false" customHeight="true" outlineLevel="0" collapsed="false">
      <c r="A15" s="304" t="s">
        <v>220</v>
      </c>
      <c r="B15" s="187" t="n">
        <v>4.5</v>
      </c>
      <c r="C15" s="187" t="n">
        <v>1.8</v>
      </c>
      <c r="D15" s="187" t="n">
        <v>3.9</v>
      </c>
      <c r="E15" s="187" t="n">
        <v>4.5</v>
      </c>
      <c r="F15" s="187" t="n">
        <v>1.8</v>
      </c>
      <c r="G15" s="187" t="n">
        <v>3.9</v>
      </c>
    </row>
    <row r="16" s="207" customFormat="true" ht="13.35" hidden="false" customHeight="true" outlineLevel="0" collapsed="false">
      <c r="A16" s="305" t="s">
        <v>221</v>
      </c>
      <c r="B16" s="193" t="n">
        <v>4.75</v>
      </c>
      <c r="C16" s="193" t="n">
        <v>1.8</v>
      </c>
      <c r="D16" s="193" t="n">
        <v>4.11</v>
      </c>
      <c r="E16" s="193" t="n">
        <v>4.75</v>
      </c>
      <c r="F16" s="193" t="n">
        <v>1.8</v>
      </c>
      <c r="G16" s="193" t="n">
        <v>4.11</v>
      </c>
      <c r="H16" s="1416"/>
      <c r="I16" s="1416"/>
      <c r="J16" s="1416"/>
      <c r="K16" s="1416"/>
      <c r="L16" s="1416"/>
      <c r="M16" s="1416"/>
    </row>
    <row r="17" s="207" customFormat="true" ht="13.35" hidden="false" customHeight="true" outlineLevel="0" collapsed="false">
      <c r="A17" s="304" t="s">
        <v>222</v>
      </c>
      <c r="B17" s="187" t="n">
        <v>5</v>
      </c>
      <c r="C17" s="187" t="n">
        <v>2</v>
      </c>
      <c r="D17" s="187" t="n">
        <v>4.4</v>
      </c>
      <c r="E17" s="187" t="n">
        <v>5</v>
      </c>
      <c r="F17" s="187" t="n">
        <v>2</v>
      </c>
      <c r="G17" s="187" t="n">
        <v>4.4</v>
      </c>
    </row>
    <row r="18" s="207" customFormat="true" ht="13.35" hidden="false" customHeight="true" outlineLevel="0" collapsed="false">
      <c r="A18" s="305" t="s">
        <v>223</v>
      </c>
      <c r="B18" s="193" t="n">
        <v>5</v>
      </c>
      <c r="C18" s="193" t="n">
        <v>1</v>
      </c>
      <c r="D18" s="193" t="n">
        <v>4.31</v>
      </c>
      <c r="E18" s="193" t="n">
        <v>5</v>
      </c>
      <c r="F18" s="193" t="n">
        <v>1</v>
      </c>
      <c r="G18" s="193" t="n">
        <v>4.31</v>
      </c>
    </row>
    <row r="19" s="207" customFormat="true" ht="13.35" hidden="false" customHeight="true" outlineLevel="0" collapsed="false">
      <c r="A19" s="304" t="s">
        <v>224</v>
      </c>
      <c r="B19" s="187" t="n">
        <v>5</v>
      </c>
      <c r="C19" s="187" t="n">
        <v>0.25</v>
      </c>
      <c r="D19" s="187" t="n">
        <v>2.96</v>
      </c>
      <c r="E19" s="187" t="n">
        <v>5</v>
      </c>
      <c r="F19" s="187" t="n">
        <v>0.25</v>
      </c>
      <c r="G19" s="187" t="n">
        <v>2.96</v>
      </c>
    </row>
    <row r="20" s="207" customFormat="true" ht="13.35" hidden="false" customHeight="true" outlineLevel="0" collapsed="false">
      <c r="A20" s="305" t="s">
        <v>225</v>
      </c>
      <c r="B20" s="193" t="n">
        <v>5</v>
      </c>
      <c r="C20" s="193" t="n">
        <v>0.5</v>
      </c>
      <c r="D20" s="193" t="n">
        <v>3.41</v>
      </c>
      <c r="E20" s="193" t="n">
        <v>5</v>
      </c>
      <c r="F20" s="193" t="n">
        <v>0.5</v>
      </c>
      <c r="G20" s="193" t="n">
        <v>3.41</v>
      </c>
    </row>
    <row r="21" s="207" customFormat="true" ht="13.35" hidden="false" customHeight="true" outlineLevel="0" collapsed="false">
      <c r="A21" s="304" t="s">
        <v>214</v>
      </c>
      <c r="B21" s="187" t="n">
        <v>5</v>
      </c>
      <c r="C21" s="187" t="n">
        <v>0.1</v>
      </c>
      <c r="D21" s="187" t="n">
        <v>2.17</v>
      </c>
      <c r="E21" s="187" t="n">
        <v>5</v>
      </c>
      <c r="F21" s="187" t="n">
        <v>0.1</v>
      </c>
      <c r="G21" s="187" t="n">
        <v>2.17</v>
      </c>
    </row>
    <row r="22" s="207" customFormat="true" ht="13.35" hidden="false" customHeight="true" outlineLevel="0" collapsed="false">
      <c r="A22" s="305" t="s">
        <v>215</v>
      </c>
      <c r="B22" s="193" t="n">
        <v>5.5</v>
      </c>
      <c r="C22" s="193" t="n">
        <v>0.1</v>
      </c>
      <c r="D22" s="193" t="n">
        <v>3.31</v>
      </c>
      <c r="E22" s="193" t="n">
        <v>5.5</v>
      </c>
      <c r="F22" s="193" t="n">
        <v>0.1</v>
      </c>
      <c r="G22" s="193" t="n">
        <v>3.31</v>
      </c>
    </row>
    <row r="23" s="221" customFormat="true" ht="13.35" hidden="false" customHeight="true" outlineLevel="0" collapsed="false">
      <c r="A23" s="304" t="s">
        <v>216</v>
      </c>
      <c r="B23" s="187" t="n">
        <v>5</v>
      </c>
      <c r="C23" s="187" t="n">
        <v>0.5</v>
      </c>
      <c r="D23" s="187" t="n">
        <v>4.22</v>
      </c>
      <c r="E23" s="187" t="n">
        <v>5</v>
      </c>
      <c r="F23" s="187" t="n">
        <v>0.5</v>
      </c>
      <c r="G23" s="187" t="n">
        <v>4.22</v>
      </c>
    </row>
    <row r="24" s="221" customFormat="true" ht="13.35" hidden="false" customHeight="true" outlineLevel="0" collapsed="false">
      <c r="A24" s="305" t="s">
        <v>217</v>
      </c>
      <c r="B24" s="193" t="n">
        <v>5</v>
      </c>
      <c r="C24" s="193" t="n">
        <v>1.25</v>
      </c>
      <c r="D24" s="193" t="n">
        <v>3.65</v>
      </c>
      <c r="E24" s="193" t="n">
        <v>5</v>
      </c>
      <c r="F24" s="193" t="n">
        <v>1.25</v>
      </c>
      <c r="G24" s="193" t="n">
        <v>3.65</v>
      </c>
    </row>
    <row r="25" s="221" customFormat="true" ht="13.35" hidden="false" customHeight="true" outlineLevel="0" collapsed="false">
      <c r="A25" s="304" t="s">
        <v>218</v>
      </c>
      <c r="B25" s="187" t="n">
        <v>5</v>
      </c>
      <c r="C25" s="187" t="n">
        <v>1.15</v>
      </c>
      <c r="D25" s="187" t="n">
        <v>3.5</v>
      </c>
      <c r="E25" s="187" t="n">
        <v>5</v>
      </c>
      <c r="F25" s="187" t="n">
        <v>1.15</v>
      </c>
      <c r="G25" s="187" t="n">
        <v>3.5</v>
      </c>
    </row>
    <row r="26" s="221" customFormat="true" ht="13.35" hidden="false" customHeight="true" outlineLevel="0" collapsed="false">
      <c r="A26" s="305" t="s">
        <v>219</v>
      </c>
      <c r="B26" s="193" t="n">
        <v>5</v>
      </c>
      <c r="C26" s="193" t="n">
        <v>1.25</v>
      </c>
      <c r="D26" s="193" t="n">
        <v>4.09</v>
      </c>
      <c r="E26" s="193" t="n">
        <v>5</v>
      </c>
      <c r="F26" s="193" t="n">
        <v>1.25</v>
      </c>
      <c r="G26" s="193" t="n">
        <v>4.09</v>
      </c>
    </row>
    <row r="27" s="221" customFormat="true" ht="13.35" hidden="false" customHeight="true" outlineLevel="0" collapsed="false">
      <c r="A27" s="1047" t="n">
        <v>2019</v>
      </c>
      <c r="B27" s="886" t="n">
        <f aca="false">MAX(B28:B39)</f>
        <v>5.5</v>
      </c>
      <c r="C27" s="886" t="n">
        <f aca="false">MIN(C28:C39)</f>
        <v>0.75</v>
      </c>
      <c r="D27" s="886" t="n">
        <f aca="false">AVERAGE(D28:D39)</f>
        <v>4.4275</v>
      </c>
      <c r="E27" s="886" t="n">
        <f aca="false">MAX(E28:E39)</f>
        <v>5.5</v>
      </c>
      <c r="F27" s="886" t="n">
        <f aca="false">MIN(F28:F39)</f>
        <v>0.75</v>
      </c>
      <c r="G27" s="886" t="n">
        <f aca="false">AVERAGE(G28:G39)</f>
        <v>4.4275</v>
      </c>
    </row>
    <row r="28" s="221" customFormat="true" ht="13.35" hidden="false" customHeight="true" outlineLevel="0" collapsed="false">
      <c r="A28" s="305" t="s">
        <v>220</v>
      </c>
      <c r="B28" s="193" t="n">
        <v>5</v>
      </c>
      <c r="C28" s="193" t="n">
        <v>1.75</v>
      </c>
      <c r="D28" s="193" t="n">
        <v>4.12</v>
      </c>
      <c r="E28" s="193" t="n">
        <v>5</v>
      </c>
      <c r="F28" s="193" t="n">
        <v>1.75</v>
      </c>
      <c r="G28" s="193" t="n">
        <v>4.12</v>
      </c>
    </row>
    <row r="29" s="221" customFormat="true" ht="13.35" hidden="false" customHeight="true" outlineLevel="0" collapsed="false">
      <c r="A29" s="304" t="s">
        <v>221</v>
      </c>
      <c r="B29" s="187" t="n">
        <v>5</v>
      </c>
      <c r="C29" s="187" t="n">
        <v>1.75</v>
      </c>
      <c r="D29" s="187" t="n">
        <v>4.36</v>
      </c>
      <c r="E29" s="187" t="n">
        <v>5</v>
      </c>
      <c r="F29" s="187" t="n">
        <v>1.75</v>
      </c>
      <c r="G29" s="187" t="n">
        <v>4.36</v>
      </c>
    </row>
    <row r="30" s="221" customFormat="true" ht="13.35" hidden="false" customHeight="true" outlineLevel="0" collapsed="false">
      <c r="A30" s="305" t="s">
        <v>222</v>
      </c>
      <c r="B30" s="193" t="n">
        <v>5</v>
      </c>
      <c r="C30" s="193" t="n">
        <v>3</v>
      </c>
      <c r="D30" s="193" t="n">
        <v>4.54</v>
      </c>
      <c r="E30" s="193" t="n">
        <v>5</v>
      </c>
      <c r="F30" s="193" t="n">
        <v>3</v>
      </c>
      <c r="G30" s="193" t="n">
        <v>4.54</v>
      </c>
    </row>
    <row r="31" s="207" customFormat="true" ht="13.35" hidden="false" customHeight="true" outlineLevel="0" collapsed="false">
      <c r="A31" s="304" t="s">
        <v>223</v>
      </c>
      <c r="B31" s="187" t="n">
        <v>5</v>
      </c>
      <c r="C31" s="187" t="n">
        <v>3.55</v>
      </c>
      <c r="D31" s="187" t="n">
        <v>4.57</v>
      </c>
      <c r="E31" s="187" t="n">
        <v>5</v>
      </c>
      <c r="F31" s="187" t="n">
        <v>3.55</v>
      </c>
      <c r="G31" s="187" t="n">
        <v>4.57</v>
      </c>
    </row>
    <row r="32" s="207" customFormat="true" ht="13.35" hidden="false" customHeight="true" outlineLevel="0" collapsed="false">
      <c r="A32" s="305" t="s">
        <v>224</v>
      </c>
      <c r="B32" s="193" t="n">
        <v>5</v>
      </c>
      <c r="C32" s="193" t="n">
        <v>3.25</v>
      </c>
      <c r="D32" s="193" t="n">
        <v>4.54</v>
      </c>
      <c r="E32" s="193" t="n">
        <v>5</v>
      </c>
      <c r="F32" s="193" t="n">
        <v>3.25</v>
      </c>
      <c r="G32" s="193" t="n">
        <v>4.54</v>
      </c>
    </row>
    <row r="33" s="207" customFormat="true" ht="13.35" hidden="false" customHeight="true" outlineLevel="0" collapsed="false">
      <c r="A33" s="304" t="s">
        <v>225</v>
      </c>
      <c r="B33" s="187" t="n">
        <v>5</v>
      </c>
      <c r="C33" s="187" t="n">
        <v>3.75</v>
      </c>
      <c r="D33" s="187" t="n">
        <v>4.55</v>
      </c>
      <c r="E33" s="187" t="n">
        <v>5</v>
      </c>
      <c r="F33" s="187" t="n">
        <v>3.75</v>
      </c>
      <c r="G33" s="187" t="n">
        <v>4.55</v>
      </c>
    </row>
    <row r="34" s="207" customFormat="true" ht="13.35" hidden="false" customHeight="true" outlineLevel="0" collapsed="false">
      <c r="A34" s="305" t="s">
        <v>214</v>
      </c>
      <c r="B34" s="193" t="n">
        <v>5</v>
      </c>
      <c r="C34" s="193" t="n">
        <v>0.75</v>
      </c>
      <c r="D34" s="193" t="n">
        <v>3.46</v>
      </c>
      <c r="E34" s="193" t="n">
        <v>5</v>
      </c>
      <c r="F34" s="193" t="n">
        <v>0.75</v>
      </c>
      <c r="G34" s="193" t="n">
        <v>3.46</v>
      </c>
    </row>
    <row r="35" s="207" customFormat="true" ht="13.35" hidden="false" customHeight="true" outlineLevel="0" collapsed="false">
      <c r="A35" s="304" t="s">
        <v>215</v>
      </c>
      <c r="B35" s="187" t="n">
        <v>5.5</v>
      </c>
      <c r="C35" s="187" t="n">
        <v>3.5</v>
      </c>
      <c r="D35" s="187" t="n">
        <v>4.69</v>
      </c>
      <c r="E35" s="187" t="n">
        <v>5.5</v>
      </c>
      <c r="F35" s="187" t="n">
        <v>3.5</v>
      </c>
      <c r="G35" s="187" t="n">
        <v>4.69</v>
      </c>
    </row>
    <row r="36" s="207" customFormat="true" ht="13.35" hidden="false" customHeight="true" outlineLevel="0" collapsed="false">
      <c r="A36" s="305" t="s">
        <v>216</v>
      </c>
      <c r="B36" s="193" t="n">
        <v>5.5</v>
      </c>
      <c r="C36" s="193" t="n">
        <v>4</v>
      </c>
      <c r="D36" s="193" t="n">
        <v>5.04</v>
      </c>
      <c r="E36" s="193" t="n">
        <v>5.5</v>
      </c>
      <c r="F36" s="193" t="n">
        <v>4</v>
      </c>
      <c r="G36" s="193" t="n">
        <v>5.04</v>
      </c>
    </row>
    <row r="37" s="207" customFormat="true" ht="13.35" hidden="false" customHeight="true" outlineLevel="0" collapsed="false">
      <c r="A37" s="304" t="s">
        <v>217</v>
      </c>
      <c r="B37" s="187" t="n">
        <v>5.5</v>
      </c>
      <c r="C37" s="187" t="n">
        <v>2</v>
      </c>
      <c r="D37" s="187" t="n">
        <v>4.64</v>
      </c>
      <c r="E37" s="187" t="n">
        <v>5.5</v>
      </c>
      <c r="F37" s="187" t="n">
        <v>2</v>
      </c>
      <c r="G37" s="187" t="n">
        <v>4.64</v>
      </c>
    </row>
    <row r="38" s="207" customFormat="true" ht="13.35" hidden="false" customHeight="true" outlineLevel="0" collapsed="false">
      <c r="A38" s="305" t="s">
        <v>218</v>
      </c>
      <c r="B38" s="193" t="n">
        <v>5.5</v>
      </c>
      <c r="C38" s="193" t="n">
        <v>1.75</v>
      </c>
      <c r="D38" s="193" t="n">
        <v>4.12</v>
      </c>
      <c r="E38" s="193" t="n">
        <v>5.5</v>
      </c>
      <c r="F38" s="193" t="n">
        <v>1.75</v>
      </c>
      <c r="G38" s="193" t="n">
        <v>4.12</v>
      </c>
    </row>
    <row r="39" s="207" customFormat="true" ht="13.35" hidden="false" customHeight="true" outlineLevel="0" collapsed="false">
      <c r="A39" s="304" t="s">
        <v>219</v>
      </c>
      <c r="B39" s="187" t="n">
        <v>5.5</v>
      </c>
      <c r="C39" s="187" t="n">
        <v>2.5</v>
      </c>
      <c r="D39" s="187" t="n">
        <v>4.5</v>
      </c>
      <c r="E39" s="187" t="n">
        <v>5.5</v>
      </c>
      <c r="F39" s="187" t="n">
        <v>2.5</v>
      </c>
      <c r="G39" s="187" t="n">
        <v>4.5</v>
      </c>
    </row>
    <row r="40" s="207" customFormat="true" ht="13.35" hidden="false" customHeight="true" outlineLevel="0" collapsed="false">
      <c r="A40" s="510" t="n">
        <v>2020</v>
      </c>
      <c r="B40" s="193"/>
      <c r="C40" s="193"/>
      <c r="D40" s="193"/>
      <c r="E40" s="193"/>
      <c r="F40" s="193"/>
      <c r="G40" s="193"/>
    </row>
    <row r="41" s="207" customFormat="true" ht="13.35" hidden="false" customHeight="true" outlineLevel="0" collapsed="false">
      <c r="A41" s="304" t="s">
        <v>220</v>
      </c>
      <c r="B41" s="187" t="n">
        <v>5.5</v>
      </c>
      <c r="C41" s="187" t="n">
        <v>2.9</v>
      </c>
      <c r="D41" s="187" t="n">
        <v>4.84</v>
      </c>
      <c r="E41" s="187" t="n">
        <v>5.5</v>
      </c>
      <c r="F41" s="187" t="n">
        <v>2.9</v>
      </c>
      <c r="G41" s="187" t="n">
        <v>4.84</v>
      </c>
    </row>
    <row r="42" s="207" customFormat="true" ht="13.35" hidden="false" customHeight="true" outlineLevel="0" collapsed="false">
      <c r="A42" s="305" t="s">
        <v>221</v>
      </c>
      <c r="B42" s="193" t="n">
        <v>5.5</v>
      </c>
      <c r="C42" s="193" t="n">
        <v>4.25</v>
      </c>
      <c r="D42" s="193" t="n">
        <v>5.06</v>
      </c>
      <c r="E42" s="193" t="n">
        <v>5.5</v>
      </c>
      <c r="F42" s="193" t="n">
        <v>4.25</v>
      </c>
      <c r="G42" s="193" t="n">
        <v>5.06</v>
      </c>
    </row>
    <row r="43" s="207" customFormat="true" ht="13.35" hidden="false" customHeight="true" outlineLevel="0" collapsed="false">
      <c r="A43" s="304" t="s">
        <v>222</v>
      </c>
      <c r="B43" s="187" t="n">
        <v>5.5</v>
      </c>
      <c r="C43" s="187" t="n">
        <v>4.25</v>
      </c>
      <c r="D43" s="187" t="n">
        <v>5.14</v>
      </c>
      <c r="E43" s="187" t="n">
        <v>5.5</v>
      </c>
      <c r="F43" s="187" t="n">
        <v>4.25</v>
      </c>
      <c r="G43" s="187" t="n">
        <v>5.14</v>
      </c>
    </row>
    <row r="44" s="207" customFormat="true" ht="13.35" hidden="false" customHeight="true" outlineLevel="0" collapsed="false">
      <c r="A44" s="305" t="s">
        <v>223</v>
      </c>
      <c r="B44" s="193" t="n">
        <v>5</v>
      </c>
      <c r="C44" s="193" t="n">
        <v>3</v>
      </c>
      <c r="D44" s="193" t="n">
        <v>4.89</v>
      </c>
      <c r="E44" s="193" t="n">
        <v>5</v>
      </c>
      <c r="F44" s="193" t="n">
        <v>3</v>
      </c>
      <c r="G44" s="193" t="n">
        <v>4.89</v>
      </c>
    </row>
    <row r="45" s="207" customFormat="true" ht="13.35" hidden="false" customHeight="true" outlineLevel="0" collapsed="false">
      <c r="A45" s="304" t="s">
        <v>224</v>
      </c>
      <c r="B45" s="187" t="n">
        <v>5.5</v>
      </c>
      <c r="C45" s="187" t="n">
        <v>3.5</v>
      </c>
      <c r="D45" s="187" t="n">
        <v>4.97</v>
      </c>
      <c r="E45" s="187" t="n">
        <v>5.5</v>
      </c>
      <c r="F45" s="187" t="n">
        <v>3.5</v>
      </c>
      <c r="G45" s="187" t="n">
        <v>4.97</v>
      </c>
    </row>
    <row r="46" s="207" customFormat="true" ht="13.35" hidden="false" customHeight="true" outlineLevel="0" collapsed="false">
      <c r="A46" s="305" t="s">
        <v>225</v>
      </c>
      <c r="B46" s="193" t="n">
        <v>5.5</v>
      </c>
      <c r="C46" s="193" t="n">
        <v>3.75</v>
      </c>
      <c r="D46" s="193" t="n">
        <v>5.01</v>
      </c>
      <c r="E46" s="193" t="n">
        <v>5.5</v>
      </c>
      <c r="F46" s="193" t="n">
        <v>3.75</v>
      </c>
      <c r="G46" s="193" t="n">
        <v>5.01</v>
      </c>
    </row>
    <row r="47" s="207" customFormat="true" ht="13.35" hidden="false" customHeight="true" outlineLevel="0" collapsed="false">
      <c r="A47" s="1417" t="s">
        <v>214</v>
      </c>
      <c r="B47" s="229" t="n">
        <v>5.5</v>
      </c>
      <c r="C47" s="229" t="n">
        <v>1</v>
      </c>
      <c r="D47" s="229" t="n">
        <v>4.23</v>
      </c>
      <c r="E47" s="229" t="n">
        <v>5.5</v>
      </c>
      <c r="F47" s="229" t="n">
        <v>1</v>
      </c>
      <c r="G47" s="229" t="n">
        <v>4.23</v>
      </c>
    </row>
    <row r="48" customFormat="false" ht="11.25" hidden="false" customHeight="false" outlineLevel="0" collapsed="false">
      <c r="A48" s="1402" t="s">
        <v>2422</v>
      </c>
      <c r="B48" s="1418" t="s">
        <v>2423</v>
      </c>
      <c r="C48" s="1418"/>
      <c r="D48" s="1418"/>
      <c r="E48" s="1418"/>
      <c r="F48" s="423"/>
      <c r="G48" s="221"/>
    </row>
    <row r="51" customFormat="false" ht="11.25" hidden="false" customHeight="false" outlineLevel="0" collapsed="false">
      <c r="C51" s="258"/>
    </row>
  </sheetData>
  <mergeCells count="7">
    <mergeCell ref="B1:E1"/>
    <mergeCell ref="F1:G1"/>
    <mergeCell ref="A2:E2"/>
    <mergeCell ref="F2:G2"/>
    <mergeCell ref="A3:A4"/>
    <mergeCell ref="B3:D3"/>
    <mergeCell ref="E3:G3"/>
  </mergeCells>
  <printOptions headings="false" gridLines="false" gridLinesSet="true" horizontalCentered="false" verticalCentered="false"/>
  <pageMargins left="0.629861111111111" right="0.511805555555555" top="0.39375" bottom="0.118055555555556" header="0.511805555555555" footer="0"/>
  <pageSetup paperSize="1" scale="100" firstPageNumber="78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>&amp;C&amp;"Times New Roman,Regular"&amp;8 78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F112"/>
  <sheetViews>
    <sheetView showFormulas="false" showGridLines="true" showRowColHeaders="true" showZeros="true" rightToLeft="false" tabSelected="false" showOutlineSymbols="true" defaultGridColor="true" view="normal" topLeftCell="BV1" colorId="64" zoomScale="180" zoomScaleNormal="180" zoomScalePageLayoutView="100" workbookViewId="0">
      <pane xSplit="0" ySplit="6" topLeftCell="A39" activePane="bottomLeft" state="frozen"/>
      <selection pane="topLeft" activeCell="BV1" activeCellId="0" sqref="BV1"/>
      <selection pane="bottomLeft" activeCell="BP54" activeCellId="0" sqref="BP54"/>
    </sheetView>
  </sheetViews>
  <sheetFormatPr defaultColWidth="9.15625" defaultRowHeight="11.25" zeroHeight="false" outlineLevelRow="0" outlineLevelCol="0"/>
  <cols>
    <col collapsed="false" customWidth="true" hidden="false" outlineLevel="0" max="7" min="1" style="107" width="8.86"/>
    <col collapsed="false" customWidth="true" hidden="false" outlineLevel="0" max="8" min="8" style="107" width="8.71"/>
    <col collapsed="false" customWidth="true" hidden="false" outlineLevel="0" max="9" min="9" style="107" width="9.29"/>
    <col collapsed="false" customWidth="true" hidden="false" outlineLevel="0" max="10" min="10" style="107" width="9"/>
    <col collapsed="false" customWidth="true" hidden="false" outlineLevel="0" max="11" min="11" style="107" width="9.58"/>
    <col collapsed="false" customWidth="true" hidden="false" outlineLevel="0" max="13" min="12" style="107" width="8.57"/>
    <col collapsed="false" customWidth="true" hidden="false" outlineLevel="0" max="14" min="14" style="107" width="8.86"/>
    <col collapsed="false" customWidth="true" hidden="false" outlineLevel="0" max="15" min="15" style="107" width="7.86"/>
    <col collapsed="false" customWidth="true" hidden="false" outlineLevel="0" max="16" min="16" style="107" width="8.42"/>
    <col collapsed="false" customWidth="true" hidden="false" outlineLevel="0" max="17" min="17" style="107" width="8"/>
    <col collapsed="false" customWidth="true" hidden="false" outlineLevel="0" max="19" min="18" style="107" width="9.42"/>
    <col collapsed="false" customWidth="true" hidden="false" outlineLevel="0" max="20" min="20" style="107" width="9"/>
    <col collapsed="false" customWidth="false" hidden="false" outlineLevel="0" max="21" min="21" style="107" width="9.14"/>
    <col collapsed="false" customWidth="true" hidden="false" outlineLevel="0" max="22" min="22" style="107" width="9.71"/>
    <col collapsed="false" customWidth="true" hidden="false" outlineLevel="0" max="23" min="23" style="107" width="9.85"/>
    <col collapsed="false" customWidth="false" hidden="false" outlineLevel="0" max="24" min="24" style="107" width="9.14"/>
    <col collapsed="false" customWidth="true" hidden="false" outlineLevel="0" max="25" min="25" style="107" width="9.29"/>
    <col collapsed="false" customWidth="true" hidden="false" outlineLevel="0" max="26" min="26" style="107" width="8.86"/>
    <col collapsed="false" customWidth="true" hidden="false" outlineLevel="0" max="27" min="27" style="107" width="6.86"/>
    <col collapsed="false" customWidth="true" hidden="false" outlineLevel="0" max="28" min="28" style="107" width="7.71"/>
    <col collapsed="false" customWidth="true" hidden="false" outlineLevel="0" max="29" min="29" style="107" width="8.57"/>
    <col collapsed="false" customWidth="true" hidden="false" outlineLevel="0" max="30" min="30" style="107" width="10.29"/>
    <col collapsed="false" customWidth="true" hidden="false" outlineLevel="0" max="31" min="31" style="107" width="8.71"/>
    <col collapsed="false" customWidth="true" hidden="false" outlineLevel="0" max="32" min="32" style="107" width="8.57"/>
    <col collapsed="false" customWidth="true" hidden="false" outlineLevel="0" max="33" min="33" style="107" width="9"/>
    <col collapsed="false" customWidth="true" hidden="false" outlineLevel="0" max="34" min="34" style="107" width="9.29"/>
    <col collapsed="false" customWidth="true" hidden="false" outlineLevel="0" max="35" min="35" style="107" width="8.86"/>
    <col collapsed="false" customWidth="true" hidden="false" outlineLevel="0" max="36" min="36" style="107" width="9"/>
    <col collapsed="false" customWidth="true" hidden="false" outlineLevel="0" max="37" min="37" style="107" width="8.57"/>
    <col collapsed="false" customWidth="true" hidden="false" outlineLevel="0" max="38" min="38" style="107" width="11.42"/>
    <col collapsed="false" customWidth="true" hidden="false" outlineLevel="0" max="39" min="39" style="107" width="9.58"/>
    <col collapsed="false" customWidth="true" hidden="false" outlineLevel="0" max="40" min="40" style="107" width="9.29"/>
    <col collapsed="false" customWidth="true" hidden="false" outlineLevel="0" max="41" min="41" style="107" width="10.14"/>
    <col collapsed="false" customWidth="true" hidden="false" outlineLevel="0" max="42" min="42" style="107" width="10.99"/>
    <col collapsed="false" customWidth="true" hidden="false" outlineLevel="0" max="43" min="43" style="107" width="9"/>
    <col collapsed="false" customWidth="true" hidden="false" outlineLevel="0" max="44" min="44" style="107" width="9.29"/>
    <col collapsed="false" customWidth="true" hidden="false" outlineLevel="0" max="45" min="45" style="107" width="10.29"/>
    <col collapsed="false" customWidth="true" hidden="false" outlineLevel="0" max="46" min="46" style="107" width="9.29"/>
    <col collapsed="false" customWidth="true" hidden="false" outlineLevel="0" max="47" min="47" style="107" width="9.58"/>
    <col collapsed="false" customWidth="true" hidden="false" outlineLevel="0" max="48" min="48" style="107" width="10"/>
    <col collapsed="false" customWidth="true" hidden="false" outlineLevel="0" max="50" min="49" style="107" width="10.58"/>
    <col collapsed="false" customWidth="true" hidden="false" outlineLevel="0" max="51" min="51" style="107" width="8.29"/>
    <col collapsed="false" customWidth="true" hidden="false" outlineLevel="0" max="52" min="52" style="107" width="7.86"/>
    <col collapsed="false" customWidth="true" hidden="false" outlineLevel="0" max="53" min="53" style="107" width="7.29"/>
    <col collapsed="false" customWidth="true" hidden="false" outlineLevel="0" max="54" min="54" style="107" width="8.71"/>
    <col collapsed="false" customWidth="true" hidden="false" outlineLevel="0" max="55" min="55" style="107" width="7.42"/>
    <col collapsed="false" customWidth="true" hidden="false" outlineLevel="0" max="56" min="56" style="107" width="7.71"/>
    <col collapsed="false" customWidth="true" hidden="false" outlineLevel="0" max="57" min="57" style="107" width="7.42"/>
    <col collapsed="false" customWidth="true" hidden="false" outlineLevel="0" max="58" min="58" style="107" width="7.29"/>
    <col collapsed="false" customWidth="true" hidden="false" outlineLevel="0" max="59" min="59" style="107" width="8"/>
    <col collapsed="false" customWidth="true" hidden="false" outlineLevel="0" max="60" min="60" style="107" width="8.42"/>
    <col collapsed="false" customWidth="true" hidden="false" outlineLevel="0" max="61" min="61" style="107" width="8.71"/>
    <col collapsed="false" customWidth="true" hidden="false" outlineLevel="0" max="62" min="62" style="107" width="6.28"/>
    <col collapsed="false" customWidth="true" hidden="false" outlineLevel="0" max="64" min="63" style="107" width="6.01"/>
    <col collapsed="false" customWidth="true" hidden="false" outlineLevel="0" max="65" min="65" style="107" width="7.29"/>
    <col collapsed="false" customWidth="true" hidden="false" outlineLevel="0" max="66" min="66" style="107" width="5.86"/>
    <col collapsed="false" customWidth="true" hidden="false" outlineLevel="0" max="67" min="67" style="107" width="6.57"/>
    <col collapsed="false" customWidth="true" hidden="false" outlineLevel="0" max="68" min="68" style="107" width="8.86"/>
    <col collapsed="false" customWidth="true" hidden="false" outlineLevel="0" max="69" min="69" style="107" width="8.57"/>
    <col collapsed="false" customWidth="true" hidden="false" outlineLevel="0" max="70" min="70" style="107" width="7.86"/>
    <col collapsed="false" customWidth="true" hidden="false" outlineLevel="0" max="71" min="71" style="107" width="7.15"/>
    <col collapsed="false" customWidth="true" hidden="false" outlineLevel="0" max="72" min="72" style="107" width="6.71"/>
    <col collapsed="false" customWidth="true" hidden="false" outlineLevel="0" max="73" min="73" style="107" width="6.28"/>
    <col collapsed="false" customWidth="true" hidden="false" outlineLevel="0" max="74" min="74" style="107" width="6.57"/>
    <col collapsed="false" customWidth="true" hidden="false" outlineLevel="0" max="75" min="75" style="107" width="8"/>
    <col collapsed="false" customWidth="true" hidden="false" outlineLevel="0" max="76" min="76" style="107" width="5.14"/>
    <col collapsed="false" customWidth="true" hidden="false" outlineLevel="0" max="77" min="77" style="107" width="6.57"/>
    <col collapsed="false" customWidth="true" hidden="false" outlineLevel="0" max="78" min="78" style="107" width="7.71"/>
    <col collapsed="false" customWidth="true" hidden="false" outlineLevel="0" max="79" min="79" style="107" width="6.57"/>
    <col collapsed="false" customWidth="true" hidden="false" outlineLevel="0" max="80" min="80" style="107" width="6.71"/>
    <col collapsed="false" customWidth="true" hidden="false" outlineLevel="0" max="81" min="81" style="107" width="7.42"/>
    <col collapsed="false" customWidth="true" hidden="false" outlineLevel="0" max="82" min="82" style="107" width="7.15"/>
    <col collapsed="false" customWidth="false" hidden="false" outlineLevel="0" max="1024" min="83" style="107" width="9.14"/>
  </cols>
  <sheetData>
    <row r="1" s="108" customFormat="true" ht="13.5" hidden="false" customHeight="true" outlineLevel="0" collapsed="false">
      <c r="I1" s="109" t="s">
        <v>103</v>
      </c>
      <c r="J1" s="109"/>
      <c r="K1" s="109"/>
      <c r="L1" s="109"/>
      <c r="M1" s="109"/>
      <c r="N1" s="109"/>
      <c r="O1" s="109"/>
      <c r="P1" s="109"/>
      <c r="Q1" s="109"/>
      <c r="R1" s="110" t="s">
        <v>104</v>
      </c>
      <c r="W1" s="109" t="s">
        <v>105</v>
      </c>
      <c r="X1" s="109"/>
      <c r="Y1" s="109"/>
      <c r="Z1" s="111"/>
      <c r="AE1" s="112" t="s">
        <v>103</v>
      </c>
      <c r="AF1" s="112"/>
      <c r="AG1" s="112"/>
      <c r="AH1" s="112"/>
      <c r="AI1" s="113" t="s">
        <v>106</v>
      </c>
      <c r="AJ1" s="113"/>
      <c r="AN1" s="109" t="s">
        <v>105</v>
      </c>
      <c r="AO1" s="109"/>
      <c r="AP1" s="109"/>
      <c r="AQ1" s="114"/>
      <c r="AR1" s="115"/>
      <c r="AS1" s="115"/>
      <c r="AT1" s="115"/>
      <c r="AU1" s="115"/>
      <c r="AV1" s="116" t="s">
        <v>103</v>
      </c>
      <c r="AW1" s="116"/>
      <c r="AX1" s="116"/>
      <c r="AY1" s="117" t="s">
        <v>106</v>
      </c>
      <c r="AZ1" s="117"/>
      <c r="BA1" s="117"/>
      <c r="BB1" s="117"/>
      <c r="BC1" s="117"/>
      <c r="BD1" s="117"/>
      <c r="BE1" s="117"/>
      <c r="BF1" s="109" t="s">
        <v>105</v>
      </c>
      <c r="BG1" s="109"/>
      <c r="BH1" s="109"/>
      <c r="BJ1" s="111"/>
      <c r="BK1" s="111"/>
      <c r="BL1" s="111"/>
      <c r="BM1" s="111"/>
      <c r="BN1" s="111"/>
      <c r="BO1" s="111"/>
      <c r="BP1" s="116" t="s">
        <v>103</v>
      </c>
      <c r="BQ1" s="116"/>
      <c r="BR1" s="116"/>
      <c r="BS1" s="116"/>
      <c r="BT1" s="117" t="s">
        <v>106</v>
      </c>
      <c r="BU1" s="117"/>
      <c r="BV1" s="117"/>
      <c r="BW1" s="118"/>
      <c r="BX1" s="118"/>
      <c r="CA1" s="118"/>
      <c r="CB1" s="114" t="s">
        <v>107</v>
      </c>
      <c r="CC1" s="114"/>
      <c r="CD1" s="114"/>
    </row>
    <row r="2" s="100" customFormat="true" ht="11.25" hidden="false" customHeight="true" outlineLevel="0" collapsed="false">
      <c r="I2" s="119"/>
      <c r="J2" s="119"/>
      <c r="K2" s="119"/>
      <c r="L2" s="119"/>
      <c r="M2" s="119"/>
      <c r="N2" s="119"/>
      <c r="O2" s="119"/>
      <c r="P2" s="120" t="s">
        <v>108</v>
      </c>
      <c r="Q2" s="120"/>
      <c r="R2" s="100" t="s">
        <v>109</v>
      </c>
      <c r="W2" s="121"/>
      <c r="X2" s="120" t="s">
        <v>110</v>
      </c>
      <c r="Y2" s="120"/>
      <c r="Z2" s="121"/>
      <c r="AF2" s="121"/>
      <c r="AG2" s="120" t="s">
        <v>108</v>
      </c>
      <c r="AH2" s="120"/>
      <c r="AI2" s="100" t="s">
        <v>109</v>
      </c>
      <c r="AN2" s="121"/>
      <c r="AO2" s="120" t="s">
        <v>110</v>
      </c>
      <c r="AP2" s="120"/>
      <c r="AQ2" s="122"/>
      <c r="AR2" s="122"/>
      <c r="AS2" s="122"/>
      <c r="AT2" s="122"/>
      <c r="AU2" s="122"/>
      <c r="AV2" s="122"/>
      <c r="AW2" s="120" t="s">
        <v>111</v>
      </c>
      <c r="AX2" s="120"/>
      <c r="AY2" s="123" t="s">
        <v>109</v>
      </c>
      <c r="AZ2" s="121"/>
      <c r="BA2" s="121"/>
      <c r="BB2" s="121"/>
      <c r="BC2" s="121"/>
      <c r="BD2" s="121"/>
      <c r="BE2" s="121"/>
      <c r="BF2" s="121"/>
      <c r="BG2" s="120" t="s">
        <v>110</v>
      </c>
      <c r="BH2" s="120"/>
      <c r="BJ2" s="121"/>
      <c r="BK2" s="121"/>
      <c r="BL2" s="121"/>
      <c r="BM2" s="121"/>
      <c r="BN2" s="121"/>
      <c r="BO2" s="121"/>
      <c r="BP2" s="122"/>
      <c r="BR2" s="124" t="s">
        <v>112</v>
      </c>
      <c r="BS2" s="124"/>
      <c r="BT2" s="125" t="s">
        <v>109</v>
      </c>
      <c r="BU2" s="125"/>
      <c r="BV2" s="121"/>
      <c r="BW2" s="121"/>
      <c r="BX2" s="121"/>
      <c r="CA2" s="126"/>
      <c r="CB2" s="127"/>
      <c r="CC2" s="124" t="s">
        <v>110</v>
      </c>
      <c r="CD2" s="124"/>
    </row>
    <row r="3" s="128" customFormat="true" ht="24.75" hidden="false" customHeight="true" outlineLevel="0" collapsed="false">
      <c r="I3" s="129" t="s">
        <v>113</v>
      </c>
      <c r="J3" s="130" t="s">
        <v>114</v>
      </c>
      <c r="K3" s="130"/>
      <c r="L3" s="130"/>
      <c r="M3" s="131" t="s">
        <v>115</v>
      </c>
      <c r="N3" s="131" t="s">
        <v>116</v>
      </c>
      <c r="O3" s="132" t="s">
        <v>117</v>
      </c>
      <c r="P3" s="132"/>
      <c r="Q3" s="132"/>
      <c r="R3" s="133" t="s">
        <v>118</v>
      </c>
      <c r="S3" s="133"/>
      <c r="T3" s="133"/>
      <c r="U3" s="134" t="s">
        <v>119</v>
      </c>
      <c r="V3" s="130" t="s">
        <v>120</v>
      </c>
      <c r="W3" s="130"/>
      <c r="X3" s="130"/>
      <c r="Y3" s="130"/>
      <c r="Z3" s="135" t="s">
        <v>121</v>
      </c>
      <c r="AA3" s="130" t="s">
        <v>122</v>
      </c>
      <c r="AB3" s="130"/>
      <c r="AC3" s="130"/>
      <c r="AD3" s="130"/>
      <c r="AE3" s="136" t="s">
        <v>123</v>
      </c>
      <c r="AF3" s="136"/>
      <c r="AG3" s="136"/>
      <c r="AH3" s="136"/>
      <c r="AI3" s="130" t="s">
        <v>124</v>
      </c>
      <c r="AJ3" s="130"/>
      <c r="AK3" s="130"/>
      <c r="AL3" s="130"/>
      <c r="AM3" s="136" t="s">
        <v>125</v>
      </c>
      <c r="AN3" s="136"/>
      <c r="AO3" s="136"/>
      <c r="AP3" s="136"/>
      <c r="AQ3" s="135" t="s">
        <v>121</v>
      </c>
      <c r="AR3" s="130" t="s">
        <v>126</v>
      </c>
      <c r="AS3" s="130"/>
      <c r="AT3" s="130"/>
      <c r="AU3" s="130"/>
      <c r="AV3" s="130" t="s">
        <v>127</v>
      </c>
      <c r="AW3" s="130"/>
      <c r="AX3" s="130"/>
      <c r="AY3" s="130" t="s">
        <v>128</v>
      </c>
      <c r="AZ3" s="130"/>
      <c r="BA3" s="130"/>
      <c r="BB3" s="131" t="s">
        <v>129</v>
      </c>
      <c r="BC3" s="131" t="s">
        <v>130</v>
      </c>
      <c r="BD3" s="136" t="s">
        <v>131</v>
      </c>
      <c r="BE3" s="136"/>
      <c r="BF3" s="136"/>
      <c r="BG3" s="136"/>
      <c r="BH3" s="136"/>
      <c r="BI3" s="129" t="s">
        <v>121</v>
      </c>
      <c r="BJ3" s="136" t="s">
        <v>132</v>
      </c>
      <c r="BK3" s="136"/>
      <c r="BL3" s="136"/>
      <c r="BM3" s="136"/>
      <c r="BN3" s="136"/>
      <c r="BO3" s="131" t="s">
        <v>133</v>
      </c>
      <c r="BP3" s="137" t="s">
        <v>134</v>
      </c>
      <c r="BQ3" s="137"/>
      <c r="BR3" s="131" t="s">
        <v>135</v>
      </c>
      <c r="BS3" s="138" t="s">
        <v>136</v>
      </c>
      <c r="BT3" s="136" t="s">
        <v>137</v>
      </c>
      <c r="BU3" s="136"/>
      <c r="BV3" s="136"/>
      <c r="BW3" s="136"/>
      <c r="BX3" s="136"/>
      <c r="BY3" s="136"/>
      <c r="BZ3" s="136"/>
      <c r="CA3" s="136"/>
      <c r="CB3" s="136"/>
      <c r="CC3" s="136"/>
      <c r="CD3" s="136"/>
    </row>
    <row r="4" s="128" customFormat="true" ht="27" hidden="false" customHeight="true" outlineLevel="0" collapsed="false">
      <c r="I4" s="129"/>
      <c r="J4" s="131" t="s">
        <v>138</v>
      </c>
      <c r="K4" s="131" t="s">
        <v>139</v>
      </c>
      <c r="L4" s="131" t="s">
        <v>140</v>
      </c>
      <c r="M4" s="131"/>
      <c r="N4" s="131"/>
      <c r="O4" s="131" t="s">
        <v>141</v>
      </c>
      <c r="P4" s="131" t="s">
        <v>142</v>
      </c>
      <c r="Q4" s="139" t="s">
        <v>143</v>
      </c>
      <c r="R4" s="140" t="s">
        <v>144</v>
      </c>
      <c r="S4" s="140"/>
      <c r="T4" s="141" t="s">
        <v>145</v>
      </c>
      <c r="U4" s="134"/>
      <c r="V4" s="131" t="s">
        <v>146</v>
      </c>
      <c r="W4" s="142" t="s">
        <v>147</v>
      </c>
      <c r="X4" s="131" t="s">
        <v>148</v>
      </c>
      <c r="Y4" s="131" t="s">
        <v>149</v>
      </c>
      <c r="Z4" s="135"/>
      <c r="AA4" s="131" t="s">
        <v>150</v>
      </c>
      <c r="AB4" s="131" t="s">
        <v>151</v>
      </c>
      <c r="AC4" s="131" t="s">
        <v>152</v>
      </c>
      <c r="AD4" s="131" t="s">
        <v>153</v>
      </c>
      <c r="AE4" s="131" t="s">
        <v>154</v>
      </c>
      <c r="AF4" s="131" t="s">
        <v>155</v>
      </c>
      <c r="AG4" s="131" t="s">
        <v>156</v>
      </c>
      <c r="AH4" s="131" t="s">
        <v>157</v>
      </c>
      <c r="AI4" s="131" t="s">
        <v>158</v>
      </c>
      <c r="AJ4" s="131" t="s">
        <v>159</v>
      </c>
      <c r="AK4" s="131" t="s">
        <v>160</v>
      </c>
      <c r="AL4" s="131" t="s">
        <v>161</v>
      </c>
      <c r="AM4" s="131" t="s">
        <v>162</v>
      </c>
      <c r="AN4" s="138" t="s">
        <v>163</v>
      </c>
      <c r="AO4" s="131" t="s">
        <v>164</v>
      </c>
      <c r="AP4" s="131" t="s">
        <v>165</v>
      </c>
      <c r="AQ4" s="135"/>
      <c r="AR4" s="131" t="s">
        <v>166</v>
      </c>
      <c r="AS4" s="131" t="s">
        <v>167</v>
      </c>
      <c r="AT4" s="131" t="s">
        <v>168</v>
      </c>
      <c r="AU4" s="131" t="s">
        <v>169</v>
      </c>
      <c r="AV4" s="131" t="s">
        <v>170</v>
      </c>
      <c r="AW4" s="131" t="s">
        <v>171</v>
      </c>
      <c r="AX4" s="131" t="s">
        <v>172</v>
      </c>
      <c r="AY4" s="131" t="s">
        <v>173</v>
      </c>
      <c r="AZ4" s="131" t="s">
        <v>174</v>
      </c>
      <c r="BA4" s="143" t="s">
        <v>175</v>
      </c>
      <c r="BB4" s="131"/>
      <c r="BC4" s="131"/>
      <c r="BD4" s="143" t="s">
        <v>176</v>
      </c>
      <c r="BE4" s="143"/>
      <c r="BF4" s="143" t="s">
        <v>177</v>
      </c>
      <c r="BG4" s="143"/>
      <c r="BH4" s="131" t="s">
        <v>178</v>
      </c>
      <c r="BI4" s="129"/>
      <c r="BJ4" s="131" t="s">
        <v>179</v>
      </c>
      <c r="BK4" s="131" t="s">
        <v>180</v>
      </c>
      <c r="BL4" s="144" t="s">
        <v>181</v>
      </c>
      <c r="BM4" s="138" t="s">
        <v>182</v>
      </c>
      <c r="BN4" s="131" t="s">
        <v>183</v>
      </c>
      <c r="BO4" s="131"/>
      <c r="BP4" s="131" t="s">
        <v>184</v>
      </c>
      <c r="BQ4" s="138" t="s">
        <v>185</v>
      </c>
      <c r="BR4" s="131"/>
      <c r="BS4" s="138"/>
      <c r="BT4" s="145" t="s">
        <v>186</v>
      </c>
      <c r="BU4" s="145" t="s">
        <v>187</v>
      </c>
      <c r="BV4" s="145" t="s">
        <v>188</v>
      </c>
      <c r="BW4" s="146" t="s">
        <v>189</v>
      </c>
      <c r="BX4" s="147" t="s">
        <v>190</v>
      </c>
      <c r="BY4" s="137" t="s">
        <v>191</v>
      </c>
      <c r="BZ4" s="137"/>
      <c r="CA4" s="137"/>
      <c r="CB4" s="137" t="s">
        <v>192</v>
      </c>
      <c r="CC4" s="137"/>
      <c r="CD4" s="137"/>
    </row>
    <row r="5" s="128" customFormat="true" ht="45.6" hidden="false" customHeight="true" outlineLevel="0" collapsed="false">
      <c r="H5" s="148"/>
      <c r="I5" s="129"/>
      <c r="J5" s="131"/>
      <c r="K5" s="131"/>
      <c r="L5" s="131"/>
      <c r="M5" s="131"/>
      <c r="N5" s="131"/>
      <c r="O5" s="131"/>
      <c r="P5" s="131"/>
      <c r="Q5" s="147" t="s">
        <v>193</v>
      </c>
      <c r="R5" s="147" t="s">
        <v>194</v>
      </c>
      <c r="S5" s="147" t="s">
        <v>195</v>
      </c>
      <c r="T5" s="141"/>
      <c r="U5" s="134"/>
      <c r="V5" s="131"/>
      <c r="W5" s="142"/>
      <c r="X5" s="131"/>
      <c r="Y5" s="131"/>
      <c r="Z5" s="135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8"/>
      <c r="AO5" s="131"/>
      <c r="AP5" s="131"/>
      <c r="AQ5" s="135"/>
      <c r="AR5" s="131"/>
      <c r="AS5" s="131"/>
      <c r="AT5" s="131"/>
      <c r="AU5" s="131"/>
      <c r="AV5" s="131"/>
      <c r="AW5" s="131"/>
      <c r="AX5" s="131"/>
      <c r="AY5" s="131"/>
      <c r="AZ5" s="131"/>
      <c r="BA5" s="143"/>
      <c r="BB5" s="131"/>
      <c r="BC5" s="131"/>
      <c r="BD5" s="138" t="s">
        <v>196</v>
      </c>
      <c r="BE5" s="131" t="s">
        <v>197</v>
      </c>
      <c r="BF5" s="138" t="s">
        <v>198</v>
      </c>
      <c r="BG5" s="131" t="s">
        <v>197</v>
      </c>
      <c r="BH5" s="131"/>
      <c r="BI5" s="129"/>
      <c r="BJ5" s="131"/>
      <c r="BK5" s="131"/>
      <c r="BL5" s="144"/>
      <c r="BM5" s="138"/>
      <c r="BN5" s="131"/>
      <c r="BO5" s="131"/>
      <c r="BP5" s="131"/>
      <c r="BQ5" s="138"/>
      <c r="BR5" s="131"/>
      <c r="BS5" s="138"/>
      <c r="BT5" s="145"/>
      <c r="BU5" s="145"/>
      <c r="BV5" s="145"/>
      <c r="BW5" s="146"/>
      <c r="BX5" s="147"/>
      <c r="BY5" s="145" t="s">
        <v>199</v>
      </c>
      <c r="BZ5" s="146" t="s">
        <v>200</v>
      </c>
      <c r="CA5" s="146" t="s">
        <v>201</v>
      </c>
      <c r="CB5" s="146" t="s">
        <v>199</v>
      </c>
      <c r="CC5" s="146" t="s">
        <v>200</v>
      </c>
      <c r="CD5" s="146" t="s">
        <v>202</v>
      </c>
    </row>
    <row r="6" s="149" customFormat="true" ht="13.5" hidden="false" customHeight="true" outlineLevel="0" collapsed="false">
      <c r="I6" s="129"/>
      <c r="J6" s="150" t="n">
        <v>1</v>
      </c>
      <c r="K6" s="150" t="n">
        <v>2</v>
      </c>
      <c r="L6" s="150" t="n">
        <v>3</v>
      </c>
      <c r="M6" s="150" t="n">
        <v>4</v>
      </c>
      <c r="N6" s="150" t="n">
        <v>5</v>
      </c>
      <c r="O6" s="150" t="n">
        <v>6</v>
      </c>
      <c r="P6" s="150" t="n">
        <v>7</v>
      </c>
      <c r="Q6" s="150" t="n">
        <v>8</v>
      </c>
      <c r="R6" s="150" t="n">
        <v>9</v>
      </c>
      <c r="S6" s="150" t="n">
        <v>10</v>
      </c>
      <c r="T6" s="150" t="n">
        <v>11</v>
      </c>
      <c r="U6" s="150" t="n">
        <v>12</v>
      </c>
      <c r="V6" s="150" t="n">
        <v>13</v>
      </c>
      <c r="W6" s="150" t="n">
        <v>14</v>
      </c>
      <c r="X6" s="150" t="n">
        <v>15</v>
      </c>
      <c r="Y6" s="150" t="n">
        <v>16</v>
      </c>
      <c r="Z6" s="135"/>
      <c r="AA6" s="150" t="n">
        <v>17</v>
      </c>
      <c r="AB6" s="150" t="n">
        <v>18</v>
      </c>
      <c r="AC6" s="150" t="n">
        <v>19</v>
      </c>
      <c r="AD6" s="150" t="n">
        <v>20</v>
      </c>
      <c r="AE6" s="150" t="n">
        <v>21</v>
      </c>
      <c r="AF6" s="150" t="n">
        <v>22</v>
      </c>
      <c r="AG6" s="150" t="n">
        <v>23</v>
      </c>
      <c r="AH6" s="150" t="n">
        <v>24</v>
      </c>
      <c r="AI6" s="150" t="n">
        <v>25</v>
      </c>
      <c r="AJ6" s="150" t="n">
        <v>26</v>
      </c>
      <c r="AK6" s="150" t="n">
        <v>27</v>
      </c>
      <c r="AL6" s="150" t="n">
        <v>28</v>
      </c>
      <c r="AM6" s="150" t="n">
        <v>29</v>
      </c>
      <c r="AN6" s="150" t="n">
        <v>30</v>
      </c>
      <c r="AO6" s="150" t="n">
        <v>31</v>
      </c>
      <c r="AP6" s="150" t="n">
        <v>32</v>
      </c>
      <c r="AQ6" s="135"/>
      <c r="AR6" s="150" t="n">
        <v>33</v>
      </c>
      <c r="AS6" s="150" t="n">
        <v>34</v>
      </c>
      <c r="AT6" s="150" t="n">
        <v>35</v>
      </c>
      <c r="AU6" s="150" t="n">
        <v>36</v>
      </c>
      <c r="AV6" s="150" t="n">
        <v>37</v>
      </c>
      <c r="AW6" s="150" t="n">
        <v>38</v>
      </c>
      <c r="AX6" s="150" t="n">
        <v>39</v>
      </c>
      <c r="AY6" s="150" t="n">
        <v>40</v>
      </c>
      <c r="AZ6" s="150" t="n">
        <v>41</v>
      </c>
      <c r="BA6" s="150" t="n">
        <v>42</v>
      </c>
      <c r="BB6" s="150" t="n">
        <v>43</v>
      </c>
      <c r="BC6" s="150" t="n">
        <v>44</v>
      </c>
      <c r="BD6" s="150" t="n">
        <v>45</v>
      </c>
      <c r="BE6" s="150" t="n">
        <v>46</v>
      </c>
      <c r="BF6" s="150" t="n">
        <v>47</v>
      </c>
      <c r="BG6" s="150" t="n">
        <v>48</v>
      </c>
      <c r="BH6" s="150" t="n">
        <v>49</v>
      </c>
      <c r="BI6" s="129"/>
      <c r="BJ6" s="151" t="n">
        <v>50</v>
      </c>
      <c r="BK6" s="151" t="n">
        <v>51</v>
      </c>
      <c r="BL6" s="151" t="n">
        <v>52</v>
      </c>
      <c r="BM6" s="151" t="n">
        <v>53</v>
      </c>
      <c r="BN6" s="151" t="n">
        <v>54</v>
      </c>
      <c r="BO6" s="151" t="n">
        <v>55</v>
      </c>
      <c r="BP6" s="151" t="n">
        <v>56</v>
      </c>
      <c r="BQ6" s="151" t="n">
        <v>57</v>
      </c>
      <c r="BR6" s="151" t="n">
        <v>58</v>
      </c>
      <c r="BS6" s="151" t="n">
        <v>59</v>
      </c>
      <c r="BT6" s="151" t="n">
        <v>60</v>
      </c>
      <c r="BU6" s="151" t="n">
        <v>61</v>
      </c>
      <c r="BV6" s="151" t="n">
        <v>62</v>
      </c>
      <c r="BW6" s="151" t="n">
        <v>63</v>
      </c>
      <c r="BX6" s="151" t="n">
        <v>64</v>
      </c>
      <c r="BY6" s="151" t="n">
        <v>65</v>
      </c>
      <c r="BZ6" s="151" t="n">
        <v>66</v>
      </c>
      <c r="CA6" s="150" t="n">
        <v>67</v>
      </c>
      <c r="CB6" s="151" t="n">
        <v>68</v>
      </c>
      <c r="CC6" s="150" t="n">
        <v>69</v>
      </c>
      <c r="CD6" s="151" t="n">
        <v>70</v>
      </c>
    </row>
    <row r="7" s="152" customFormat="true" ht="10.35" hidden="false" customHeight="true" outlineLevel="0" collapsed="false">
      <c r="I7" s="153" t="s">
        <v>203</v>
      </c>
      <c r="J7" s="154" t="n">
        <v>49947.3</v>
      </c>
      <c r="K7" s="155" t="n">
        <v>518.1</v>
      </c>
      <c r="L7" s="156" t="n">
        <v>50465.4</v>
      </c>
      <c r="M7" s="155" t="n">
        <v>4308.3</v>
      </c>
      <c r="N7" s="156" t="n">
        <v>46157.1</v>
      </c>
      <c r="O7" s="154" t="n">
        <v>7971.5</v>
      </c>
      <c r="P7" s="155" t="n">
        <v>20181.1</v>
      </c>
      <c r="Q7" s="155" t="n">
        <v>41621.8</v>
      </c>
      <c r="R7" s="154" t="n">
        <v>275042.8</v>
      </c>
      <c r="S7" s="155" t="n">
        <v>316664.6</v>
      </c>
      <c r="T7" s="154" t="n">
        <v>336845.7</v>
      </c>
      <c r="U7" s="155" t="n">
        <v>209.4</v>
      </c>
      <c r="V7" s="154" t="n">
        <v>87988.3</v>
      </c>
      <c r="W7" s="154" t="n">
        <v>363031.1</v>
      </c>
      <c r="X7" s="155" t="n">
        <v>6935.3</v>
      </c>
      <c r="Y7" s="155" t="n">
        <v>369966.4</v>
      </c>
      <c r="Z7" s="153" t="s">
        <v>203</v>
      </c>
      <c r="AA7" s="156" t="n">
        <v>0</v>
      </c>
      <c r="AB7" s="154" t="n">
        <v>10726.3</v>
      </c>
      <c r="AC7" s="155" t="n">
        <v>253455.9</v>
      </c>
      <c r="AD7" s="155" t="n">
        <v>264182.2</v>
      </c>
      <c r="AE7" s="156" t="n">
        <v>0</v>
      </c>
      <c r="AF7" s="154" t="n">
        <v>3865.2</v>
      </c>
      <c r="AG7" s="155" t="n">
        <v>10202.4</v>
      </c>
      <c r="AH7" s="155" t="n">
        <v>14067.6</v>
      </c>
      <c r="AI7" s="155" t="n">
        <v>2127.4</v>
      </c>
      <c r="AJ7" s="155" t="n">
        <v>51891.3</v>
      </c>
      <c r="AK7" s="154" t="n">
        <v>4513.7</v>
      </c>
      <c r="AL7" s="154" t="n">
        <v>56405</v>
      </c>
      <c r="AM7" s="154" t="n">
        <v>2127.4</v>
      </c>
      <c r="AN7" s="155" t="n">
        <v>66482.8</v>
      </c>
      <c r="AO7" s="154" t="n">
        <v>268172</v>
      </c>
      <c r="AP7" s="154" t="n">
        <v>334654.8</v>
      </c>
      <c r="AQ7" s="153" t="s">
        <v>203</v>
      </c>
      <c r="AR7" s="155" t="n">
        <v>1749.5</v>
      </c>
      <c r="AS7" s="154" t="n">
        <v>5852.1</v>
      </c>
      <c r="AT7" s="155" t="n">
        <v>5087.3</v>
      </c>
      <c r="AU7" s="155" t="n">
        <v>1561.7</v>
      </c>
      <c r="AV7" s="155" t="n">
        <v>336869.7</v>
      </c>
      <c r="AW7" s="155" t="n">
        <v>3885.6</v>
      </c>
      <c r="AX7" s="155" t="n">
        <v>340755.3</v>
      </c>
      <c r="AY7" s="154" t="n">
        <f aca="false">AX7*0.055</f>
        <v>18741.5415</v>
      </c>
      <c r="AZ7" s="157" t="n">
        <f aca="false">BA7-AY7</f>
        <v>4726.4585</v>
      </c>
      <c r="BA7" s="154" t="n">
        <v>23468</v>
      </c>
      <c r="BB7" s="155" t="n">
        <v>863330.4</v>
      </c>
      <c r="BC7" s="156" t="n">
        <v>81350</v>
      </c>
      <c r="BD7" s="154" t="n">
        <v>5.1</v>
      </c>
      <c r="BE7" s="155" t="n">
        <v>21788.2</v>
      </c>
      <c r="BF7" s="155" t="n">
        <v>3141.2</v>
      </c>
      <c r="BG7" s="155" t="n">
        <v>49111.5</v>
      </c>
      <c r="BH7" s="154" t="n">
        <v>74046</v>
      </c>
      <c r="BI7" s="153" t="s">
        <v>203</v>
      </c>
      <c r="BJ7" s="158" t="n">
        <v>-6.52</v>
      </c>
      <c r="BK7" s="159" t="n">
        <v>20.77</v>
      </c>
      <c r="BL7" s="159" t="n">
        <v>24.24</v>
      </c>
      <c r="BM7" s="159" t="n">
        <v>17.89</v>
      </c>
      <c r="BN7" s="159" t="n">
        <v>22.44</v>
      </c>
      <c r="BO7" s="159" t="n">
        <v>2.2</v>
      </c>
      <c r="BP7" s="160" t="n">
        <v>933097.39</v>
      </c>
      <c r="BQ7" s="161" t="n">
        <v>30670124</v>
      </c>
      <c r="BR7" s="162" t="n">
        <v>7246</v>
      </c>
      <c r="BS7" s="155" t="n">
        <v>3394</v>
      </c>
      <c r="BT7" s="159" t="n">
        <v>99.3425054256883</v>
      </c>
      <c r="BU7" s="159" t="n">
        <v>46.4904361026773</v>
      </c>
      <c r="BV7" s="159" t="n">
        <v>46.1847640077284</v>
      </c>
      <c r="BW7" s="159" t="n">
        <v>10.4470363466943</v>
      </c>
      <c r="BX7" s="159" t="n">
        <v>5</v>
      </c>
      <c r="BY7" s="159" t="n">
        <v>6.01</v>
      </c>
      <c r="BZ7" s="163" t="n">
        <v>11.31</v>
      </c>
      <c r="CA7" s="164" t="n">
        <f aca="false">BZ7-BY7</f>
        <v>5.3</v>
      </c>
      <c r="CB7" s="157" t="s">
        <v>204</v>
      </c>
      <c r="CC7" s="165" t="s">
        <v>204</v>
      </c>
      <c r="CD7" s="166" t="s">
        <v>204</v>
      </c>
    </row>
    <row r="8" s="155" customFormat="true" ht="10.35" hidden="false" customHeight="true" outlineLevel="0" collapsed="false">
      <c r="I8" s="167" t="s">
        <v>205</v>
      </c>
      <c r="J8" s="168" t="n">
        <v>59915.5</v>
      </c>
      <c r="K8" s="168" t="n">
        <v>611.4</v>
      </c>
      <c r="L8" s="169" t="n">
        <v>60526.9</v>
      </c>
      <c r="M8" s="168" t="n">
        <v>5731.8</v>
      </c>
      <c r="N8" s="169" t="n">
        <v>54795.1</v>
      </c>
      <c r="O8" s="168" t="n">
        <v>9482</v>
      </c>
      <c r="P8" s="168" t="n">
        <v>24919.8</v>
      </c>
      <c r="Q8" s="168" t="n">
        <v>48106.2</v>
      </c>
      <c r="R8" s="168" t="n">
        <v>337418.9</v>
      </c>
      <c r="S8" s="170" t="n">
        <v>385525.1</v>
      </c>
      <c r="T8" s="168" t="n">
        <v>410444.9</v>
      </c>
      <c r="U8" s="168" t="n">
        <v>199.8</v>
      </c>
      <c r="V8" s="168" t="n">
        <v>103101.1</v>
      </c>
      <c r="W8" s="168" t="n">
        <v>440520</v>
      </c>
      <c r="X8" s="168" t="n">
        <v>4976</v>
      </c>
      <c r="Y8" s="168" t="n">
        <v>445496</v>
      </c>
      <c r="Z8" s="167" t="s">
        <v>205</v>
      </c>
      <c r="AA8" s="168" t="n">
        <v>0</v>
      </c>
      <c r="AB8" s="168" t="n">
        <v>13830.7</v>
      </c>
      <c r="AC8" s="168" t="n">
        <v>312803.5</v>
      </c>
      <c r="AD8" s="168" t="n">
        <v>326634.2</v>
      </c>
      <c r="AE8" s="168" t="n">
        <v>0</v>
      </c>
      <c r="AF8" s="168" t="n">
        <v>4371.9</v>
      </c>
      <c r="AG8" s="168" t="n">
        <v>16670.4</v>
      </c>
      <c r="AH8" s="168" t="n">
        <v>21042.3</v>
      </c>
      <c r="AI8" s="168" t="n">
        <v>3080.3</v>
      </c>
      <c r="AJ8" s="168" t="n">
        <v>66704</v>
      </c>
      <c r="AK8" s="168" t="n">
        <v>8095.2</v>
      </c>
      <c r="AL8" s="168" t="n">
        <v>74799.2</v>
      </c>
      <c r="AM8" s="168" t="n">
        <v>3080.3</v>
      </c>
      <c r="AN8" s="168" t="n">
        <v>84906.6</v>
      </c>
      <c r="AO8" s="168" t="n">
        <v>337569.1</v>
      </c>
      <c r="AP8" s="168" t="n">
        <v>422475.7</v>
      </c>
      <c r="AQ8" s="167" t="s">
        <v>205</v>
      </c>
      <c r="AR8" s="168" t="n">
        <v>1959.3</v>
      </c>
      <c r="AS8" s="168" t="n">
        <v>17833.4</v>
      </c>
      <c r="AT8" s="168" t="n">
        <v>3960.3</v>
      </c>
      <c r="AU8" s="168" t="n">
        <v>2329.2</v>
      </c>
      <c r="AV8" s="168" t="n">
        <v>410470.7</v>
      </c>
      <c r="AW8" s="168" t="n">
        <v>5461.7</v>
      </c>
      <c r="AX8" s="168" t="n">
        <v>415932.4</v>
      </c>
      <c r="AY8" s="168" t="n">
        <v>24955.944</v>
      </c>
      <c r="AZ8" s="171" t="n">
        <v>4051.756</v>
      </c>
      <c r="BA8" s="169" t="n">
        <v>29007.7</v>
      </c>
      <c r="BB8" s="168" t="n">
        <v>1087850.3</v>
      </c>
      <c r="BC8" s="169" t="n">
        <v>89534.6</v>
      </c>
      <c r="BD8" s="168" t="n">
        <v>10732.9</v>
      </c>
      <c r="BE8" s="168" t="n">
        <v>20625.2</v>
      </c>
      <c r="BF8" s="168" t="n">
        <v>2591</v>
      </c>
      <c r="BG8" s="168" t="n">
        <v>63715.1</v>
      </c>
      <c r="BH8" s="168" t="n">
        <v>97664.2</v>
      </c>
      <c r="BI8" s="167" t="s">
        <v>205</v>
      </c>
      <c r="BJ8" s="172" t="n">
        <v>34.89</v>
      </c>
      <c r="BK8" s="172" t="n">
        <v>28.72</v>
      </c>
      <c r="BL8" s="172" t="n">
        <v>25.84</v>
      </c>
      <c r="BM8" s="172" t="n">
        <v>27.41</v>
      </c>
      <c r="BN8" s="172" t="n">
        <v>21.34</v>
      </c>
      <c r="BO8" s="172" t="n">
        <v>2.08</v>
      </c>
      <c r="BP8" s="172" t="n">
        <v>1149439.29</v>
      </c>
      <c r="BQ8" s="173" t="n">
        <v>26162053</v>
      </c>
      <c r="BR8" s="173" t="n">
        <v>7712</v>
      </c>
      <c r="BS8" s="173" t="n">
        <v>3414</v>
      </c>
      <c r="BT8" s="172" t="n">
        <v>102.924691092446</v>
      </c>
      <c r="BU8" s="172" t="n">
        <v>53.2249351659751</v>
      </c>
      <c r="BV8" s="172" t="n">
        <v>54.7816001037344</v>
      </c>
      <c r="BW8" s="172" t="n">
        <v>8.46333246197597</v>
      </c>
      <c r="BX8" s="172" t="n">
        <v>5</v>
      </c>
      <c r="BY8" s="172" t="n">
        <v>7.27</v>
      </c>
      <c r="BZ8" s="172" t="n">
        <v>12.42</v>
      </c>
      <c r="CA8" s="174" t="n">
        <f aca="false">BZ8-BY8</f>
        <v>5.15</v>
      </c>
      <c r="CB8" s="171" t="s">
        <v>204</v>
      </c>
      <c r="CC8" s="175" t="s">
        <v>204</v>
      </c>
      <c r="CD8" s="176" t="s">
        <v>204</v>
      </c>
    </row>
    <row r="9" s="161" customFormat="true" ht="10.35" hidden="false" customHeight="true" outlineLevel="0" collapsed="false">
      <c r="I9" s="177" t="s">
        <v>206</v>
      </c>
      <c r="J9" s="178" t="n">
        <v>64200.7</v>
      </c>
      <c r="K9" s="178" t="n">
        <v>695.8</v>
      </c>
      <c r="L9" s="179" t="n">
        <v>64896.5</v>
      </c>
      <c r="M9" s="178" t="n">
        <v>6479.4</v>
      </c>
      <c r="N9" s="179" t="n">
        <v>58417.1</v>
      </c>
      <c r="O9" s="178" t="n">
        <v>11992.2</v>
      </c>
      <c r="P9" s="178" t="n">
        <v>31574.2</v>
      </c>
      <c r="Q9" s="178" t="n">
        <v>51060.4</v>
      </c>
      <c r="R9" s="178" t="n">
        <v>407388.1</v>
      </c>
      <c r="S9" s="161" t="n">
        <v>458448.5</v>
      </c>
      <c r="T9" s="178" t="n">
        <v>490022.7</v>
      </c>
      <c r="U9" s="178" t="n">
        <v>243.9</v>
      </c>
      <c r="V9" s="178" t="n">
        <v>109721.4</v>
      </c>
      <c r="W9" s="178" t="n">
        <v>517109.5</v>
      </c>
      <c r="X9" s="178" t="n">
        <v>2533.7</v>
      </c>
      <c r="Y9" s="178" t="n">
        <v>519643.2</v>
      </c>
      <c r="Z9" s="177" t="s">
        <v>206</v>
      </c>
      <c r="AA9" s="178" t="n">
        <v>0</v>
      </c>
      <c r="AB9" s="178" t="n">
        <v>14190.3</v>
      </c>
      <c r="AC9" s="178" t="n">
        <v>373614.6</v>
      </c>
      <c r="AD9" s="178" t="n">
        <v>387804.9</v>
      </c>
      <c r="AE9" s="178" t="n">
        <v>0</v>
      </c>
      <c r="AF9" s="178" t="n">
        <v>2534.7</v>
      </c>
      <c r="AG9" s="178" t="n">
        <v>21317.5</v>
      </c>
      <c r="AH9" s="178" t="n">
        <v>23852.2</v>
      </c>
      <c r="AI9" s="178" t="n">
        <v>5173</v>
      </c>
      <c r="AJ9" s="178" t="n">
        <v>86057.1</v>
      </c>
      <c r="AK9" s="178" t="n">
        <v>9370.8</v>
      </c>
      <c r="AL9" s="178" t="n">
        <v>95427.9</v>
      </c>
      <c r="AM9" s="178" t="n">
        <v>5173</v>
      </c>
      <c r="AN9" s="178" t="n">
        <v>102782.1</v>
      </c>
      <c r="AO9" s="178" t="n">
        <v>404302.9</v>
      </c>
      <c r="AP9" s="178" t="n">
        <v>507085</v>
      </c>
      <c r="AQ9" s="177" t="s">
        <v>206</v>
      </c>
      <c r="AR9" s="178" t="n">
        <v>2320</v>
      </c>
      <c r="AS9" s="178" t="n">
        <v>21671.6</v>
      </c>
      <c r="AT9" s="178" t="n">
        <v>9197</v>
      </c>
      <c r="AU9" s="178" t="n">
        <v>3377.7</v>
      </c>
      <c r="AV9" s="178" t="n">
        <v>490038.8</v>
      </c>
      <c r="AW9" s="178" t="n">
        <v>7141.5</v>
      </c>
      <c r="AX9" s="178" t="n">
        <v>497180.3</v>
      </c>
      <c r="AY9" s="178" t="n">
        <v>29830.818</v>
      </c>
      <c r="AZ9" s="180" t="n">
        <v>2831.482</v>
      </c>
      <c r="BA9" s="179" t="n">
        <v>32662.3</v>
      </c>
      <c r="BB9" s="178" t="n">
        <v>1296703.2</v>
      </c>
      <c r="BC9" s="179" t="n">
        <v>97558.8</v>
      </c>
      <c r="BD9" s="178" t="n">
        <v>9829.8</v>
      </c>
      <c r="BE9" s="178" t="n">
        <v>27482.1</v>
      </c>
      <c r="BF9" s="178" t="n">
        <v>3379.1</v>
      </c>
      <c r="BG9" s="178" t="n">
        <v>82057.9</v>
      </c>
      <c r="BH9" s="178" t="n">
        <v>122748.9</v>
      </c>
      <c r="BI9" s="177" t="s">
        <v>206</v>
      </c>
      <c r="BJ9" s="160" t="n">
        <v>25.15</v>
      </c>
      <c r="BK9" s="160" t="n">
        <v>-5.01</v>
      </c>
      <c r="BL9" s="160" t="n">
        <v>19.72</v>
      </c>
      <c r="BM9" s="160" t="n">
        <v>19.53</v>
      </c>
      <c r="BN9" s="160" t="n">
        <v>17.39</v>
      </c>
      <c r="BO9" s="160" t="n">
        <v>2.04</v>
      </c>
      <c r="BP9" s="160" t="n">
        <v>1032945.56</v>
      </c>
      <c r="BQ9" s="181" t="n">
        <v>22064500</v>
      </c>
      <c r="BR9" s="181" t="n">
        <v>8059</v>
      </c>
      <c r="BS9" s="181" t="n">
        <v>3449</v>
      </c>
      <c r="BT9" s="160" t="n">
        <v>103.478540882885</v>
      </c>
      <c r="BU9" s="160" t="n">
        <v>60.8064027795012</v>
      </c>
      <c r="BV9" s="160" t="n">
        <v>62.921578359598</v>
      </c>
      <c r="BW9" s="160" t="n">
        <v>7.98746956363455</v>
      </c>
      <c r="BX9" s="160" t="n">
        <v>5</v>
      </c>
      <c r="BY9" s="160" t="n">
        <v>8.15</v>
      </c>
      <c r="BZ9" s="160" t="n">
        <v>13.75</v>
      </c>
      <c r="CA9" s="164" t="n">
        <f aca="false">BZ9-BY9</f>
        <v>5.6</v>
      </c>
      <c r="CB9" s="180" t="s">
        <v>204</v>
      </c>
      <c r="CC9" s="182" t="s">
        <v>204</v>
      </c>
      <c r="CD9" s="128" t="s">
        <v>204</v>
      </c>
    </row>
    <row r="10" s="161" customFormat="true" ht="10.35" hidden="false" customHeight="true" outlineLevel="0" collapsed="false">
      <c r="I10" s="167" t="s">
        <v>207</v>
      </c>
      <c r="J10" s="168" t="n">
        <v>74633.6</v>
      </c>
      <c r="K10" s="168" t="n">
        <v>738.7</v>
      </c>
      <c r="L10" s="169" t="n">
        <v>75372.3</v>
      </c>
      <c r="M10" s="168" t="n">
        <v>7819.4</v>
      </c>
      <c r="N10" s="169" t="n">
        <v>67552.9</v>
      </c>
      <c r="O10" s="168" t="n">
        <v>16749.2</v>
      </c>
      <c r="P10" s="168" t="n">
        <v>37251.7</v>
      </c>
      <c r="Q10" s="168" t="n">
        <v>55736.5</v>
      </c>
      <c r="R10" s="168" t="n">
        <v>479902.3</v>
      </c>
      <c r="S10" s="170" t="n">
        <v>535638.8</v>
      </c>
      <c r="T10" s="168" t="n">
        <v>572890.5</v>
      </c>
      <c r="U10" s="168" t="n">
        <v>313.7</v>
      </c>
      <c r="V10" s="168" t="n">
        <v>123603.1</v>
      </c>
      <c r="W10" s="168" t="n">
        <v>603505.4</v>
      </c>
      <c r="X10" s="168" t="n">
        <v>52.2</v>
      </c>
      <c r="Y10" s="168" t="n">
        <v>603557.6</v>
      </c>
      <c r="Z10" s="167" t="s">
        <v>207</v>
      </c>
      <c r="AA10" s="168" t="n">
        <v>0</v>
      </c>
      <c r="AB10" s="168" t="n">
        <v>10424.6</v>
      </c>
      <c r="AC10" s="168" t="n">
        <v>417890.5</v>
      </c>
      <c r="AD10" s="168" t="n">
        <v>428315.1</v>
      </c>
      <c r="AE10" s="168" t="n">
        <v>0</v>
      </c>
      <c r="AF10" s="168" t="n">
        <v>939.6</v>
      </c>
      <c r="AG10" s="168" t="n">
        <v>18961.2</v>
      </c>
      <c r="AH10" s="168" t="n">
        <v>19900.8</v>
      </c>
      <c r="AI10" s="168" t="n">
        <v>6677.8</v>
      </c>
      <c r="AJ10" s="168" t="n">
        <v>123736.6</v>
      </c>
      <c r="AK10" s="168" t="n">
        <v>11125.2</v>
      </c>
      <c r="AL10" s="168" t="n">
        <v>134861.8</v>
      </c>
      <c r="AM10" s="168" t="n">
        <v>6677.8</v>
      </c>
      <c r="AN10" s="168" t="n">
        <v>135100.8</v>
      </c>
      <c r="AO10" s="168" t="n">
        <v>447976.9</v>
      </c>
      <c r="AP10" s="168" t="n">
        <v>583077.7</v>
      </c>
      <c r="AQ10" s="167" t="s">
        <v>207</v>
      </c>
      <c r="AR10" s="168" t="n">
        <v>9784.5</v>
      </c>
      <c r="AS10" s="168" t="n">
        <v>9441.9</v>
      </c>
      <c r="AT10" s="168" t="n">
        <v>9640.8</v>
      </c>
      <c r="AU10" s="168" t="n">
        <v>147</v>
      </c>
      <c r="AV10" s="168" t="n">
        <v>572957.5</v>
      </c>
      <c r="AW10" s="168" t="n">
        <v>6509</v>
      </c>
      <c r="AX10" s="168" t="n">
        <v>579466.5</v>
      </c>
      <c r="AY10" s="168" t="n">
        <v>34767.99</v>
      </c>
      <c r="AZ10" s="171" t="n">
        <v>2035.41</v>
      </c>
      <c r="BA10" s="169" t="n">
        <v>36803.4</v>
      </c>
      <c r="BB10" s="168" t="n">
        <v>1462258.7</v>
      </c>
      <c r="BC10" s="169" t="n">
        <v>112175.7</v>
      </c>
      <c r="BD10" s="168" t="n">
        <v>9204.5</v>
      </c>
      <c r="BE10" s="168" t="n">
        <v>21263.2</v>
      </c>
      <c r="BF10" s="168" t="n">
        <v>3720.1</v>
      </c>
      <c r="BG10" s="168" t="n">
        <v>123280</v>
      </c>
      <c r="BH10" s="168" t="n">
        <v>157467.8</v>
      </c>
      <c r="BI10" s="167" t="s">
        <v>207</v>
      </c>
      <c r="BJ10" s="172" t="n">
        <v>19.91</v>
      </c>
      <c r="BK10" s="172" t="n">
        <v>9.06</v>
      </c>
      <c r="BL10" s="172" t="n">
        <v>10.85</v>
      </c>
      <c r="BM10" s="172" t="n">
        <v>12.4</v>
      </c>
      <c r="BN10" s="172" t="n">
        <v>16.71</v>
      </c>
      <c r="BO10" s="172" t="n">
        <v>1.99</v>
      </c>
      <c r="BP10" s="172" t="n">
        <v>1206241.4</v>
      </c>
      <c r="BQ10" s="173" t="n">
        <v>23019773</v>
      </c>
      <c r="BR10" s="173" t="n">
        <v>8427</v>
      </c>
      <c r="BS10" s="173" t="n">
        <v>3499</v>
      </c>
      <c r="BT10" s="172" t="n">
        <v>101.76630901943</v>
      </c>
      <c r="BU10" s="172" t="n">
        <v>67.9906847039279</v>
      </c>
      <c r="BV10" s="172" t="n">
        <v>69.1916103002255</v>
      </c>
      <c r="BW10" s="172" t="n">
        <v>7.78815182626984</v>
      </c>
      <c r="BX10" s="172" t="n">
        <v>5</v>
      </c>
      <c r="BY10" s="172" t="n">
        <v>8.54</v>
      </c>
      <c r="BZ10" s="172" t="n">
        <v>13.67</v>
      </c>
      <c r="CA10" s="174" t="n">
        <f aca="false">BZ10-BY10</f>
        <v>5.13</v>
      </c>
      <c r="CB10" s="183" t="n">
        <v>14.21</v>
      </c>
      <c r="CC10" s="174" t="n">
        <v>17.44</v>
      </c>
      <c r="CD10" s="174" t="n">
        <f aca="false">CC10-CB10</f>
        <v>3.23</v>
      </c>
      <c r="CE10" s="160"/>
      <c r="CF10" s="160"/>
    </row>
    <row r="11" s="184" customFormat="true" ht="10.35" hidden="false" customHeight="true" outlineLevel="0" collapsed="false">
      <c r="I11" s="185" t="s">
        <v>208</v>
      </c>
      <c r="J11" s="186" t="n">
        <v>84714.1</v>
      </c>
      <c r="K11" s="186" t="n">
        <v>771.1</v>
      </c>
      <c r="L11" s="186" t="n">
        <v>85485.2</v>
      </c>
      <c r="M11" s="186" t="n">
        <v>8576.8</v>
      </c>
      <c r="N11" s="186" t="n">
        <v>76908.4</v>
      </c>
      <c r="O11" s="186" t="n">
        <v>14653.7</v>
      </c>
      <c r="P11" s="186" t="n">
        <v>39217.7</v>
      </c>
      <c r="Q11" s="186" t="n">
        <v>64344.3</v>
      </c>
      <c r="R11" s="186" t="n">
        <v>558978.4</v>
      </c>
      <c r="S11" s="186" t="n">
        <v>623322.7</v>
      </c>
      <c r="T11" s="186" t="n">
        <v>662540.4</v>
      </c>
      <c r="U11" s="186" t="n">
        <v>392.4</v>
      </c>
      <c r="V11" s="186" t="n">
        <v>141645.1</v>
      </c>
      <c r="W11" s="186" t="n">
        <v>700623.5</v>
      </c>
      <c r="X11" s="186" t="s">
        <v>204</v>
      </c>
      <c r="Y11" s="186" t="s">
        <v>204</v>
      </c>
      <c r="Z11" s="185" t="s">
        <v>208</v>
      </c>
      <c r="AA11" s="186" t="n">
        <v>0</v>
      </c>
      <c r="AB11" s="186" t="n">
        <v>12682.9</v>
      </c>
      <c r="AC11" s="186" t="n">
        <v>472716.8</v>
      </c>
      <c r="AD11" s="186" t="n">
        <v>485399.7</v>
      </c>
      <c r="AE11" s="186" t="n">
        <v>0</v>
      </c>
      <c r="AF11" s="186" t="n">
        <v>1119.4</v>
      </c>
      <c r="AG11" s="186" t="n">
        <v>18229.8</v>
      </c>
      <c r="AH11" s="186" t="n">
        <v>19349.2</v>
      </c>
      <c r="AI11" s="186" t="n">
        <v>7694</v>
      </c>
      <c r="AJ11" s="186" t="n">
        <v>152996.8</v>
      </c>
      <c r="AK11" s="186" t="n">
        <v>12420.6</v>
      </c>
      <c r="AL11" s="186" t="n">
        <v>165417.4</v>
      </c>
      <c r="AM11" s="186" t="n">
        <v>7694</v>
      </c>
      <c r="AN11" s="186" t="n">
        <v>166799.1</v>
      </c>
      <c r="AO11" s="186" t="n">
        <v>503367.2</v>
      </c>
      <c r="AP11" s="186" t="n">
        <v>670166.3</v>
      </c>
      <c r="AQ11" s="185" t="s">
        <v>208</v>
      </c>
      <c r="AR11" s="186" t="n">
        <v>5706.9</v>
      </c>
      <c r="AS11" s="186" t="n">
        <v>5526.6</v>
      </c>
      <c r="AT11" s="186" t="n">
        <v>9945.7</v>
      </c>
      <c r="AU11" s="186" t="n">
        <v>26.2</v>
      </c>
      <c r="AV11" s="186" t="n">
        <v>662559.3</v>
      </c>
      <c r="AW11" s="186" t="n">
        <v>6612.1</v>
      </c>
      <c r="AX11" s="186" t="n">
        <v>669171.4</v>
      </c>
      <c r="AY11" s="186" t="n">
        <v>43496.141</v>
      </c>
      <c r="AZ11" s="186" t="n">
        <v>501.558999999994</v>
      </c>
      <c r="BA11" s="186" t="n">
        <v>43997.7</v>
      </c>
      <c r="BB11" s="186" t="n">
        <v>1689948.5</v>
      </c>
      <c r="BC11" s="186" t="n">
        <v>129482.9</v>
      </c>
      <c r="BD11" s="186" t="n">
        <v>78.1</v>
      </c>
      <c r="BE11" s="186" t="n">
        <v>16886.2</v>
      </c>
      <c r="BF11" s="186" t="n">
        <v>2769.5</v>
      </c>
      <c r="BG11" s="186" t="n">
        <v>152495.4</v>
      </c>
      <c r="BH11" s="186" t="n">
        <v>172229.2</v>
      </c>
      <c r="BI11" s="185" t="s">
        <v>208</v>
      </c>
      <c r="BJ11" s="187" t="n">
        <v>6.72</v>
      </c>
      <c r="BK11" s="187" t="n">
        <v>34.71</v>
      </c>
      <c r="BL11" s="187" t="n">
        <v>12.27</v>
      </c>
      <c r="BM11" s="187" t="n">
        <v>11.57</v>
      </c>
      <c r="BN11" s="187" t="n">
        <v>15.46</v>
      </c>
      <c r="BO11" s="160" t="n">
        <v>1.92</v>
      </c>
      <c r="BP11" s="187" t="n">
        <v>1349860.75</v>
      </c>
      <c r="BQ11" s="188" t="n">
        <v>25358417</v>
      </c>
      <c r="BR11" s="188" t="n">
        <v>8794</v>
      </c>
      <c r="BS11" s="188" t="n">
        <v>3536</v>
      </c>
      <c r="BT11" s="187" t="n">
        <v>101.148123647197</v>
      </c>
      <c r="BU11" s="187" t="n">
        <v>75.3421992267455</v>
      </c>
      <c r="BV11" s="187" t="n">
        <v>76.2072208323857</v>
      </c>
      <c r="BW11" s="187" t="n">
        <v>7.93506332187926</v>
      </c>
      <c r="BX11" s="187" t="n">
        <v>5</v>
      </c>
      <c r="BY11" s="187" t="n">
        <v>7.79</v>
      </c>
      <c r="BZ11" s="187" t="n">
        <v>13.1</v>
      </c>
      <c r="CA11" s="187" t="n">
        <v>5.31</v>
      </c>
      <c r="CB11" s="187" t="n">
        <v>12.52</v>
      </c>
      <c r="CC11" s="187" t="n">
        <v>16.9</v>
      </c>
      <c r="CD11" s="187" t="n">
        <v>4.38</v>
      </c>
    </row>
    <row r="12" s="184" customFormat="true" ht="10.35" hidden="false" customHeight="true" outlineLevel="0" collapsed="false">
      <c r="I12" s="189" t="s">
        <v>209</v>
      </c>
      <c r="J12" s="190" t="n">
        <v>97361.5</v>
      </c>
      <c r="K12" s="190" t="n">
        <v>792.4</v>
      </c>
      <c r="L12" s="190" t="n">
        <v>98153.9</v>
      </c>
      <c r="M12" s="190" t="n">
        <v>10213.1</v>
      </c>
      <c r="N12" s="190" t="n">
        <v>87940.8</v>
      </c>
      <c r="O12" s="190" t="n">
        <v>13317.8</v>
      </c>
      <c r="P12" s="190" t="n">
        <v>47116.6</v>
      </c>
      <c r="Q12" s="190" t="n">
        <v>72383.7</v>
      </c>
      <c r="R12" s="190" t="n">
        <v>626799.9</v>
      </c>
      <c r="S12" s="190" t="n">
        <v>699183.6</v>
      </c>
      <c r="T12" s="190" t="n">
        <v>746300.2</v>
      </c>
      <c r="U12" s="190" t="n">
        <v>489.7</v>
      </c>
      <c r="V12" s="190" t="n">
        <v>160814.2</v>
      </c>
      <c r="W12" s="190" t="n">
        <v>787614.1</v>
      </c>
      <c r="X12" s="191" t="s">
        <v>204</v>
      </c>
      <c r="Y12" s="191" t="s">
        <v>204</v>
      </c>
      <c r="Z12" s="189" t="s">
        <v>209</v>
      </c>
      <c r="AA12" s="192" t="n">
        <v>0</v>
      </c>
      <c r="AB12" s="192" t="n">
        <v>15343.1</v>
      </c>
      <c r="AC12" s="192" t="n">
        <v>537605.1</v>
      </c>
      <c r="AD12" s="192" t="n">
        <v>552948.2</v>
      </c>
      <c r="AE12" s="192" t="n">
        <v>0</v>
      </c>
      <c r="AF12" s="192" t="n">
        <v>1250.4</v>
      </c>
      <c r="AG12" s="192" t="n">
        <v>18779.3</v>
      </c>
      <c r="AH12" s="192" t="n">
        <v>20029.7</v>
      </c>
      <c r="AI12" s="192" t="n">
        <v>7130.6</v>
      </c>
      <c r="AJ12" s="192" t="n">
        <v>157018.4</v>
      </c>
      <c r="AK12" s="192" t="n">
        <v>13569.3</v>
      </c>
      <c r="AL12" s="192" t="n">
        <v>170587.7</v>
      </c>
      <c r="AM12" s="192" t="n">
        <v>7130.6</v>
      </c>
      <c r="AN12" s="192" t="n">
        <v>173611.9</v>
      </c>
      <c r="AO12" s="192" t="n">
        <v>569953.7</v>
      </c>
      <c r="AP12" s="192" t="n">
        <v>743565.6</v>
      </c>
      <c r="AQ12" s="189" t="s">
        <v>209</v>
      </c>
      <c r="AR12" s="190" t="n">
        <v>5604.1</v>
      </c>
      <c r="AS12" s="190" t="n">
        <v>4823.6</v>
      </c>
      <c r="AT12" s="190" t="n">
        <v>7890.2</v>
      </c>
      <c r="AU12" s="190" t="n">
        <v>217.9</v>
      </c>
      <c r="AV12" s="190" t="n">
        <v>746329.9</v>
      </c>
      <c r="AW12" s="190" t="n">
        <v>6653.4</v>
      </c>
      <c r="AX12" s="190" t="n">
        <v>752983.3</v>
      </c>
      <c r="AY12" s="190" t="n">
        <v>48943.9145</v>
      </c>
      <c r="AZ12" s="190" t="n">
        <v>894.985499999995</v>
      </c>
      <c r="BA12" s="190" t="n">
        <v>49838.9</v>
      </c>
      <c r="BB12" s="190" t="n">
        <v>1962638.4</v>
      </c>
      <c r="BC12" s="190" t="n">
        <v>147992.8</v>
      </c>
      <c r="BD12" s="190" t="n">
        <v>2435.4</v>
      </c>
      <c r="BE12" s="190" t="n">
        <v>8796.4</v>
      </c>
      <c r="BF12" s="190" t="n">
        <v>3334.2</v>
      </c>
      <c r="BG12" s="190" t="n">
        <v>155768.7</v>
      </c>
      <c r="BH12" s="190" t="n">
        <v>170334.7</v>
      </c>
      <c r="BI12" s="189" t="s">
        <v>209</v>
      </c>
      <c r="BJ12" s="193" t="n">
        <v>-6.19</v>
      </c>
      <c r="BK12" s="193" t="n">
        <v>34.71</v>
      </c>
      <c r="BL12" s="193" t="n">
        <v>12.27</v>
      </c>
      <c r="BM12" s="193" t="n">
        <v>11.57</v>
      </c>
      <c r="BN12" s="193" t="n">
        <v>16.09</v>
      </c>
      <c r="BO12" s="172" t="n">
        <v>1.92</v>
      </c>
      <c r="BP12" s="193" t="s">
        <v>204</v>
      </c>
      <c r="BQ12" s="194" t="s">
        <v>204</v>
      </c>
      <c r="BR12" s="194" t="n">
        <v>9131</v>
      </c>
      <c r="BS12" s="194" t="n">
        <v>3669</v>
      </c>
      <c r="BT12" s="193" t="n">
        <v>99.6296141960814</v>
      </c>
      <c r="BU12" s="193" t="n">
        <v>81.7358339721827</v>
      </c>
      <c r="BV12" s="193" t="n">
        <v>81.4330960464352</v>
      </c>
      <c r="BW12" s="193" t="n">
        <v>8.04630767171461</v>
      </c>
      <c r="BX12" s="193" t="n">
        <v>5</v>
      </c>
      <c r="BY12" s="193" t="n">
        <v>6.8</v>
      </c>
      <c r="BZ12" s="193" t="n">
        <v>11.67</v>
      </c>
      <c r="CA12" s="193" t="n">
        <v>4.87</v>
      </c>
      <c r="CB12" s="193" t="n">
        <v>10.61</v>
      </c>
      <c r="CC12" s="193" t="n">
        <v>15.12</v>
      </c>
      <c r="CD12" s="193" t="n">
        <v>4.51</v>
      </c>
    </row>
    <row r="13" s="184" customFormat="true" ht="10.35" hidden="false" customHeight="true" outlineLevel="0" collapsed="false">
      <c r="C13" s="195" t="s">
        <v>210</v>
      </c>
      <c r="D13" s="195"/>
      <c r="E13" s="195"/>
      <c r="F13" s="195"/>
      <c r="G13" s="195"/>
      <c r="I13" s="185" t="s">
        <v>211</v>
      </c>
      <c r="J13" s="196" t="n">
        <v>130728.7</v>
      </c>
      <c r="K13" s="196" t="n">
        <v>1576.5</v>
      </c>
      <c r="L13" s="196" t="n">
        <v>132305.2</v>
      </c>
      <c r="M13" s="196" t="n">
        <v>10230.7</v>
      </c>
      <c r="N13" s="196" t="n">
        <v>122074.5</v>
      </c>
      <c r="O13" s="196" t="n">
        <v>17126.2</v>
      </c>
      <c r="P13" s="196" t="n">
        <v>55874.7</v>
      </c>
      <c r="Q13" s="196" t="n">
        <v>89759.1</v>
      </c>
      <c r="R13" s="196" t="n">
        <v>703947.2</v>
      </c>
      <c r="S13" s="196" t="n">
        <v>793706.3</v>
      </c>
      <c r="T13" s="196" t="n">
        <v>849581</v>
      </c>
      <c r="U13" s="196" t="n">
        <v>597.1</v>
      </c>
      <c r="V13" s="196" t="n">
        <v>212430.7</v>
      </c>
      <c r="W13" s="196" t="n">
        <v>916377.9</v>
      </c>
      <c r="X13" s="197" t="s">
        <v>204</v>
      </c>
      <c r="Y13" s="197" t="s">
        <v>204</v>
      </c>
      <c r="Z13" s="185" t="s">
        <v>211</v>
      </c>
      <c r="AA13" s="196" t="n">
        <v>0</v>
      </c>
      <c r="AB13" s="196" t="n">
        <v>14977.5</v>
      </c>
      <c r="AC13" s="196" t="n">
        <v>627918.2</v>
      </c>
      <c r="AD13" s="196" t="n">
        <v>642895.7</v>
      </c>
      <c r="AE13" s="196" t="n">
        <v>0</v>
      </c>
      <c r="AF13" s="196" t="n">
        <v>1589</v>
      </c>
      <c r="AG13" s="196" t="n">
        <v>22461</v>
      </c>
      <c r="AH13" s="196" t="n">
        <v>24050</v>
      </c>
      <c r="AI13" s="196" t="n">
        <v>8613</v>
      </c>
      <c r="AJ13" s="196" t="n">
        <v>157964.3</v>
      </c>
      <c r="AK13" s="196" t="n">
        <v>15663.2</v>
      </c>
      <c r="AL13" s="196" t="n">
        <v>173627.5</v>
      </c>
      <c r="AM13" s="196" t="n">
        <v>8613</v>
      </c>
      <c r="AN13" s="196" t="n">
        <v>174530.8</v>
      </c>
      <c r="AO13" s="196" t="n">
        <v>666042.4</v>
      </c>
      <c r="AP13" s="196" t="n">
        <v>840573.2</v>
      </c>
      <c r="AQ13" s="185" t="s">
        <v>211</v>
      </c>
      <c r="AR13" s="196" t="n">
        <v>5436.7</v>
      </c>
      <c r="AS13" s="196" t="n">
        <v>18388.4</v>
      </c>
      <c r="AT13" s="196" t="n">
        <v>12975.5</v>
      </c>
      <c r="AU13" s="196" t="n">
        <v>50.7</v>
      </c>
      <c r="AV13" s="196" t="n">
        <v>849617.2</v>
      </c>
      <c r="AW13" s="196" t="n">
        <v>6908.3</v>
      </c>
      <c r="AX13" s="196" t="n">
        <v>856525.5</v>
      </c>
      <c r="AY13" s="196" t="n">
        <v>55674.1575</v>
      </c>
      <c r="AZ13" s="196" t="n">
        <v>4624.84249999999</v>
      </c>
      <c r="BA13" s="196" t="n">
        <v>60299</v>
      </c>
      <c r="BB13" s="196" t="n">
        <v>2370730.1</v>
      </c>
      <c r="BC13" s="196" t="n">
        <v>192604.2</v>
      </c>
      <c r="BD13" s="196" t="n">
        <v>4000</v>
      </c>
      <c r="BE13" s="196" t="n">
        <v>15984.8</v>
      </c>
      <c r="BF13" s="196" t="n">
        <v>3911.6</v>
      </c>
      <c r="BG13" s="196" t="n">
        <v>156583.5</v>
      </c>
      <c r="BH13" s="196" t="n">
        <v>180479.9</v>
      </c>
      <c r="BI13" s="185" t="s">
        <v>211</v>
      </c>
      <c r="BJ13" s="198" t="n">
        <v>3.59</v>
      </c>
      <c r="BK13" s="198" t="n">
        <v>-3.71</v>
      </c>
      <c r="BL13" s="198" t="n">
        <v>16.78</v>
      </c>
      <c r="BM13" s="198" t="n">
        <v>14.22</v>
      </c>
      <c r="BN13" s="198" t="n">
        <v>16.35</v>
      </c>
      <c r="BO13" s="187" t="n">
        <v>1.890992788019</v>
      </c>
      <c r="BP13" s="187" t="s">
        <v>204</v>
      </c>
      <c r="BQ13" s="188" t="s">
        <v>204</v>
      </c>
      <c r="BR13" s="199" t="n">
        <v>9453</v>
      </c>
      <c r="BS13" s="199" t="n">
        <v>3700</v>
      </c>
      <c r="BT13" s="198" t="n">
        <v>98.9355206085752</v>
      </c>
      <c r="BU13" s="198" t="n">
        <v>89.8780492965196</v>
      </c>
      <c r="BV13" s="198" t="n">
        <v>88.9213159843436</v>
      </c>
      <c r="BW13" s="198" t="n">
        <v>8.30135030223023</v>
      </c>
      <c r="BX13" s="198" t="n">
        <v>5</v>
      </c>
      <c r="BY13" s="198" t="n">
        <v>5.54</v>
      </c>
      <c r="BZ13" s="198" t="n">
        <v>10.39</v>
      </c>
      <c r="CA13" s="198" t="n">
        <v>4.85</v>
      </c>
      <c r="CB13" s="198" t="n">
        <v>8.95</v>
      </c>
      <c r="CC13" s="198" t="n">
        <v>13.07</v>
      </c>
      <c r="CD13" s="198" t="n">
        <v>4.12</v>
      </c>
    </row>
    <row r="14" s="184" customFormat="true" ht="10.35" hidden="false" customHeight="true" outlineLevel="0" collapsed="false">
      <c r="C14" s="195"/>
      <c r="D14" s="195"/>
      <c r="E14" s="195"/>
      <c r="F14" s="195"/>
      <c r="G14" s="195"/>
      <c r="I14" s="200" t="s">
        <v>212</v>
      </c>
      <c r="J14" s="201" t="n">
        <v>149724.7</v>
      </c>
      <c r="K14" s="201" t="n">
        <v>1540.5</v>
      </c>
      <c r="L14" s="201" t="n">
        <v>151265.2</v>
      </c>
      <c r="M14" s="201" t="n">
        <v>13733.4</v>
      </c>
      <c r="N14" s="201" t="n">
        <v>137531.8</v>
      </c>
      <c r="O14" s="201" t="n">
        <v>22096.9</v>
      </c>
      <c r="P14" s="201" t="n">
        <v>64651.3</v>
      </c>
      <c r="Q14" s="201" t="n">
        <v>101885.2</v>
      </c>
      <c r="R14" s="201" t="n">
        <v>775997.6</v>
      </c>
      <c r="S14" s="201" t="n">
        <v>877882.8</v>
      </c>
      <c r="T14" s="201" t="n">
        <v>942534.1</v>
      </c>
      <c r="U14" s="201" t="n">
        <v>661.5</v>
      </c>
      <c r="V14" s="201" t="n">
        <v>240078.5</v>
      </c>
      <c r="W14" s="201" t="n">
        <v>1016076.1</v>
      </c>
      <c r="X14" s="202" t="s">
        <v>204</v>
      </c>
      <c r="Y14" s="202" t="s">
        <v>204</v>
      </c>
      <c r="Z14" s="200" t="s">
        <v>212</v>
      </c>
      <c r="AA14" s="201" t="n">
        <v>0</v>
      </c>
      <c r="AB14" s="201" t="n">
        <v>15533.2</v>
      </c>
      <c r="AC14" s="201" t="n">
        <v>728117</v>
      </c>
      <c r="AD14" s="201" t="n">
        <v>743650.2</v>
      </c>
      <c r="AE14" s="201" t="n">
        <v>0</v>
      </c>
      <c r="AF14" s="201" t="n">
        <v>1726.2</v>
      </c>
      <c r="AG14" s="201" t="n">
        <v>27218.5</v>
      </c>
      <c r="AH14" s="201" t="n">
        <v>28944.7</v>
      </c>
      <c r="AI14" s="201" t="n">
        <v>14073.4</v>
      </c>
      <c r="AJ14" s="201" t="n">
        <v>152329.7</v>
      </c>
      <c r="AK14" s="201" t="n">
        <v>15744.2</v>
      </c>
      <c r="AL14" s="201" t="n">
        <v>168073.9</v>
      </c>
      <c r="AM14" s="201" t="n">
        <v>14073.4</v>
      </c>
      <c r="AN14" s="201" t="n">
        <v>169589.1</v>
      </c>
      <c r="AO14" s="201" t="n">
        <v>771079.7</v>
      </c>
      <c r="AP14" s="201" t="n">
        <v>940668.8</v>
      </c>
      <c r="AQ14" s="200" t="s">
        <v>212</v>
      </c>
      <c r="AR14" s="201" t="n">
        <v>7470.4</v>
      </c>
      <c r="AS14" s="201" t="n">
        <v>24394.1</v>
      </c>
      <c r="AT14" s="201" t="n">
        <v>20759.3</v>
      </c>
      <c r="AU14" s="201" t="n">
        <v>62.9</v>
      </c>
      <c r="AV14" s="201" t="n">
        <v>942558.51</v>
      </c>
      <c r="AW14" s="201" t="n">
        <v>5784.1</v>
      </c>
      <c r="AX14" s="201" t="n">
        <v>948342.61</v>
      </c>
      <c r="AY14" s="201" t="n">
        <v>61642.26965</v>
      </c>
      <c r="AZ14" s="201" t="n">
        <v>11090.43035</v>
      </c>
      <c r="BA14" s="201" t="n">
        <v>72732.7</v>
      </c>
      <c r="BB14" s="201" t="n">
        <v>2223734.3</v>
      </c>
      <c r="BC14" s="201" t="n">
        <v>223997.9</v>
      </c>
      <c r="BD14" s="201" t="n">
        <v>3015.6</v>
      </c>
      <c r="BE14" s="201" t="n">
        <v>10964.5</v>
      </c>
      <c r="BF14" s="201" t="n">
        <v>3364.4</v>
      </c>
      <c r="BG14" s="201" t="n">
        <v>151102.3</v>
      </c>
      <c r="BH14" s="201" t="n">
        <v>168446.8</v>
      </c>
      <c r="BI14" s="200" t="s">
        <v>212</v>
      </c>
      <c r="BJ14" s="203" t="n">
        <v>-14.78</v>
      </c>
      <c r="BK14" s="203" t="n">
        <v>7.66</v>
      </c>
      <c r="BL14" s="203" t="n">
        <v>15.66</v>
      </c>
      <c r="BM14" s="203" t="n">
        <v>11.16</v>
      </c>
      <c r="BN14" s="203" t="n">
        <v>10.88</v>
      </c>
      <c r="BO14" s="204" t="n">
        <v>1.94</v>
      </c>
      <c r="BP14" s="204" t="s">
        <v>204</v>
      </c>
      <c r="BQ14" s="205" t="s">
        <v>204</v>
      </c>
      <c r="BR14" s="206" t="n">
        <v>9720</v>
      </c>
      <c r="BS14" s="206" t="n">
        <v>3713</v>
      </c>
      <c r="BT14" s="203" t="n">
        <v>99.7995127114178</v>
      </c>
      <c r="BU14" s="203" t="n">
        <v>96.9710401234568</v>
      </c>
      <c r="BV14" s="203" t="n">
        <v>96.7766255144033</v>
      </c>
      <c r="BW14" s="203" t="n">
        <v>9.17355252566761</v>
      </c>
      <c r="BX14" s="203" t="n">
        <v>5</v>
      </c>
      <c r="BY14" s="203" t="n">
        <v>4.84</v>
      </c>
      <c r="BZ14" s="203" t="n">
        <v>9.56</v>
      </c>
      <c r="CA14" s="203" t="n">
        <v>4.72</v>
      </c>
      <c r="CB14" s="203" t="n">
        <v>8.37</v>
      </c>
      <c r="CC14" s="203" t="n">
        <v>11.69</v>
      </c>
      <c r="CD14" s="203" t="n">
        <v>3.32</v>
      </c>
    </row>
    <row r="15" s="184" customFormat="true" ht="10.35" hidden="false" customHeight="true" outlineLevel="0" collapsed="false">
      <c r="H15" s="207"/>
      <c r="I15" s="208" t="s">
        <v>213</v>
      </c>
      <c r="J15" s="209" t="n">
        <f aca="false">J27</f>
        <v>153411.2</v>
      </c>
      <c r="K15" s="209" t="n">
        <f aca="false">K27</f>
        <v>1529.3</v>
      </c>
      <c r="L15" s="209" t="n">
        <f aca="false">L27</f>
        <v>154940.5</v>
      </c>
      <c r="M15" s="209" t="n">
        <f aca="false">M27</f>
        <v>14023</v>
      </c>
      <c r="N15" s="209" t="n">
        <f aca="false">N27</f>
        <v>140917.5</v>
      </c>
      <c r="O15" s="209" t="n">
        <f aca="false">O27</f>
        <v>33411</v>
      </c>
      <c r="P15" s="209" t="n">
        <f aca="false">P27</f>
        <v>75790.3</v>
      </c>
      <c r="Q15" s="209" t="n">
        <f aca="false">Q27</f>
        <v>113217.1</v>
      </c>
      <c r="R15" s="209" t="n">
        <f aca="false">R27</f>
        <v>855087.3</v>
      </c>
      <c r="S15" s="209" t="n">
        <f aca="false">S27</f>
        <v>968304.4</v>
      </c>
      <c r="T15" s="209" t="n">
        <f aca="false">T27</f>
        <v>1044094.7</v>
      </c>
      <c r="U15" s="209" t="n">
        <f aca="false">U27</f>
        <v>759.1</v>
      </c>
      <c r="V15" s="209" t="n">
        <f aca="false">V27</f>
        <v>254893.7</v>
      </c>
      <c r="W15" s="209" t="n">
        <f aca="false">W27</f>
        <v>1109981</v>
      </c>
      <c r="X15" s="210" t="s">
        <v>204</v>
      </c>
      <c r="Y15" s="210" t="s">
        <v>204</v>
      </c>
      <c r="Z15" s="208" t="s">
        <v>213</v>
      </c>
      <c r="AA15" s="209" t="n">
        <f aca="false">AA27</f>
        <v>0</v>
      </c>
      <c r="AB15" s="209" t="n">
        <f aca="false">AB27</f>
        <v>18543.4</v>
      </c>
      <c r="AC15" s="209" t="n">
        <f aca="false">AC27</f>
        <v>859131.1</v>
      </c>
      <c r="AD15" s="209" t="n">
        <f aca="false">AD27</f>
        <v>877674.5</v>
      </c>
      <c r="AE15" s="209" t="n">
        <f aca="false">AE27</f>
        <v>0</v>
      </c>
      <c r="AF15" s="209" t="n">
        <f aca="false">AF27</f>
        <v>1666.1</v>
      </c>
      <c r="AG15" s="209" t="n">
        <f aca="false">AG27</f>
        <v>26533.1</v>
      </c>
      <c r="AH15" s="209" t="n">
        <f aca="false">AH27</f>
        <v>28199.2</v>
      </c>
      <c r="AI15" s="209" t="n">
        <f aca="false">AI27</f>
        <v>17367.4</v>
      </c>
      <c r="AJ15" s="209" t="n">
        <f aca="false">AJ27</f>
        <v>152836.8</v>
      </c>
      <c r="AK15" s="209" t="n">
        <f aca="false">AK27</f>
        <v>16721.3</v>
      </c>
      <c r="AL15" s="209" t="n">
        <f aca="false">AL27</f>
        <v>169558.1</v>
      </c>
      <c r="AM15" s="209" t="n">
        <f aca="false">AM27</f>
        <v>17367.4</v>
      </c>
      <c r="AN15" s="209" t="n">
        <f aca="false">AN27</f>
        <v>173046.3</v>
      </c>
      <c r="AO15" s="209" t="n">
        <f aca="false">AO27</f>
        <v>902385.5</v>
      </c>
      <c r="AP15" s="209" t="n">
        <f aca="false">AP27</f>
        <v>1075431.8</v>
      </c>
      <c r="AQ15" s="208" t="s">
        <v>213</v>
      </c>
      <c r="AR15" s="209" t="n">
        <f aca="false">AR27</f>
        <v>9988.8</v>
      </c>
      <c r="AS15" s="209" t="n">
        <f aca="false">AS27</f>
        <v>32329.9</v>
      </c>
      <c r="AT15" s="209" t="n">
        <f aca="false">AT27</f>
        <v>25777.8</v>
      </c>
      <c r="AU15" s="209" t="n">
        <f aca="false">AU27</f>
        <v>59.2</v>
      </c>
      <c r="AV15" s="209" t="n">
        <f aca="false">AV27</f>
        <v>1044113.46</v>
      </c>
      <c r="AW15" s="209" t="n">
        <f aca="false">AW27</f>
        <v>7577.6</v>
      </c>
      <c r="AX15" s="209" t="n">
        <f aca="false">AX27</f>
        <v>1051691.06</v>
      </c>
      <c r="AY15" s="209" t="n">
        <f aca="false">AY27</f>
        <v>55721.04835</v>
      </c>
      <c r="AZ15" s="209" t="n">
        <f aca="false">AZ27</f>
        <v>22320.84165</v>
      </c>
      <c r="BA15" s="209" t="n">
        <f aca="false">BA27</f>
        <v>78041.89</v>
      </c>
      <c r="BB15" s="209" t="n">
        <f aca="false">BB27</f>
        <v>2680520.5</v>
      </c>
      <c r="BC15" s="209" t="n">
        <f aca="false">BC27</f>
        <v>232982.39</v>
      </c>
      <c r="BD15" s="209" t="n">
        <f aca="false">BD27</f>
        <v>4000</v>
      </c>
      <c r="BE15" s="209" t="n">
        <f aca="false">BE27</f>
        <v>17878.9</v>
      </c>
      <c r="BF15" s="209" t="n">
        <f aca="false">BF27</f>
        <v>4818</v>
      </c>
      <c r="BG15" s="209" t="n">
        <f aca="false">BG27</f>
        <v>151396</v>
      </c>
      <c r="BH15" s="209" t="n">
        <f aca="false">BH27</f>
        <v>178092.9</v>
      </c>
      <c r="BI15" s="208" t="s">
        <v>213</v>
      </c>
      <c r="BJ15" s="211" t="n">
        <f aca="false">BJ27</f>
        <v>-2.51</v>
      </c>
      <c r="BK15" s="211" t="n">
        <f aca="false">BK27</f>
        <v>11.11</v>
      </c>
      <c r="BL15" s="211" t="n">
        <f aca="false">BL27</f>
        <v>16.94</v>
      </c>
      <c r="BM15" s="211" t="n">
        <f aca="false">BM27</f>
        <v>14.71</v>
      </c>
      <c r="BN15" s="211" t="n">
        <f aca="false">BN27</f>
        <v>9.24</v>
      </c>
      <c r="BO15" s="212" t="n">
        <v>2.03</v>
      </c>
      <c r="BP15" s="212" t="s">
        <v>204</v>
      </c>
      <c r="BQ15" s="213" t="s">
        <v>204</v>
      </c>
      <c r="BR15" s="214" t="n">
        <f aca="false">BR27</f>
        <v>10114</v>
      </c>
      <c r="BS15" s="214" t="n">
        <f aca="false">BS27</f>
        <v>3741</v>
      </c>
      <c r="BT15" s="211" t="n">
        <f aca="false">BT27</f>
        <v>102.999515014393</v>
      </c>
      <c r="BU15" s="211" t="n">
        <f aca="false">BU27</f>
        <v>103.234473007712</v>
      </c>
      <c r="BV15" s="211" t="n">
        <f aca="false">BV27</f>
        <v>106.331006525608</v>
      </c>
      <c r="BW15" s="211" t="n">
        <f aca="false">BW27</f>
        <v>8.81751778202342</v>
      </c>
      <c r="BX15" s="211" t="n">
        <f aca="false">BX27</f>
        <v>5</v>
      </c>
      <c r="BY15" s="211" t="n">
        <f aca="false">BY27</f>
        <v>5.5</v>
      </c>
      <c r="BZ15" s="211" t="n">
        <f aca="false">BZ27</f>
        <v>9.95</v>
      </c>
      <c r="CA15" s="211" t="n">
        <f aca="false">CA27</f>
        <v>4.45</v>
      </c>
      <c r="CB15" s="211" t="n">
        <f aca="false">CB27</f>
        <v>10.14</v>
      </c>
      <c r="CC15" s="211" t="n">
        <f aca="false">CC27</f>
        <v>12.67</v>
      </c>
      <c r="CD15" s="211" t="n">
        <f aca="false">CD27</f>
        <v>2.53</v>
      </c>
      <c r="CE15" s="187"/>
      <c r="CF15" s="187"/>
    </row>
    <row r="16" s="184" customFormat="true" ht="10.35" hidden="false" customHeight="true" outlineLevel="0" collapsed="false">
      <c r="I16" s="215" t="s">
        <v>214</v>
      </c>
      <c r="J16" s="190" t="n">
        <v>136956.3</v>
      </c>
      <c r="K16" s="190" t="n">
        <v>1540.2</v>
      </c>
      <c r="L16" s="190" t="n">
        <f aca="false">J16+K16</f>
        <v>138496.5</v>
      </c>
      <c r="M16" s="190" t="n">
        <v>12238.1</v>
      </c>
      <c r="N16" s="190" t="n">
        <f aca="false">L16-M16</f>
        <v>126258.4</v>
      </c>
      <c r="O16" s="190" t="n">
        <v>18811</v>
      </c>
      <c r="P16" s="190" t="n">
        <v>60959.2</v>
      </c>
      <c r="Q16" s="190" t="n">
        <v>98980.8</v>
      </c>
      <c r="R16" s="191" t="n">
        <v>783688.3</v>
      </c>
      <c r="S16" s="191" t="n">
        <f aca="false">Q16+R16</f>
        <v>882669.1</v>
      </c>
      <c r="T16" s="190" t="n">
        <f aca="false">P16+S16</f>
        <v>943628.3</v>
      </c>
      <c r="U16" s="190" t="n">
        <v>664.2</v>
      </c>
      <c r="V16" s="192" t="n">
        <f aca="false">N16+Q16+U16</f>
        <v>225903.4</v>
      </c>
      <c r="W16" s="192" t="n">
        <f aca="false">R16+V16</f>
        <v>1009591.7</v>
      </c>
      <c r="X16" s="191" t="s">
        <v>204</v>
      </c>
      <c r="Y16" s="191" t="s">
        <v>204</v>
      </c>
      <c r="Z16" s="215" t="s">
        <v>214</v>
      </c>
      <c r="AA16" s="192" t="n">
        <v>0</v>
      </c>
      <c r="AB16" s="190" t="n">
        <v>15772.1</v>
      </c>
      <c r="AC16" s="190" t="n">
        <v>729968</v>
      </c>
      <c r="AD16" s="192" t="n">
        <f aca="false">AB16+AC16</f>
        <v>745740.1</v>
      </c>
      <c r="AE16" s="192" t="n">
        <v>0</v>
      </c>
      <c r="AF16" s="190" t="n">
        <v>1717.7</v>
      </c>
      <c r="AG16" s="190" t="n">
        <v>27379.7</v>
      </c>
      <c r="AH16" s="192" t="n">
        <f aca="false">AF16+AG16</f>
        <v>29097.4</v>
      </c>
      <c r="AI16" s="190" t="n">
        <v>13287.6</v>
      </c>
      <c r="AJ16" s="190" t="n">
        <v>153991.7</v>
      </c>
      <c r="AK16" s="190" t="n">
        <v>15747.8</v>
      </c>
      <c r="AL16" s="216" t="n">
        <f aca="false">AJ16+AK16</f>
        <v>169739.5</v>
      </c>
      <c r="AM16" s="192" t="n">
        <f aca="false">AA16+AE16+AI16</f>
        <v>13287.6</v>
      </c>
      <c r="AN16" s="192" t="n">
        <f aca="false">AB16+AF16+AJ16</f>
        <v>171481.5</v>
      </c>
      <c r="AO16" s="192" t="n">
        <f aca="false">AC16+AG16+AK16</f>
        <v>773095.5</v>
      </c>
      <c r="AP16" s="192" t="n">
        <f aca="false">AD16+AH16+AL16</f>
        <v>944577</v>
      </c>
      <c r="AQ16" s="215" t="s">
        <v>214</v>
      </c>
      <c r="AR16" s="190" t="n">
        <v>5912.2</v>
      </c>
      <c r="AS16" s="190" t="n">
        <v>24569.7</v>
      </c>
      <c r="AT16" s="190" t="n">
        <v>19157.2</v>
      </c>
      <c r="AU16" s="190" t="n">
        <v>63.3</v>
      </c>
      <c r="AV16" s="190" t="n">
        <f aca="false">943677.1-24.03</f>
        <v>943653.07</v>
      </c>
      <c r="AW16" s="190" t="n">
        <v>6202.7</v>
      </c>
      <c r="AX16" s="192" t="n">
        <f aca="false">AV16+AW16</f>
        <v>949855.77</v>
      </c>
      <c r="AY16" s="192" t="n">
        <f aca="false">0.065*AX16</f>
        <v>61740.62505</v>
      </c>
      <c r="AZ16" s="192" t="n">
        <f aca="false">BA16-AY16</f>
        <v>9386.47495000001</v>
      </c>
      <c r="BA16" s="190" t="n">
        <v>71127.1</v>
      </c>
      <c r="BB16" s="190" t="n">
        <v>2240565.5</v>
      </c>
      <c r="BC16" s="171" t="n">
        <f aca="false">L16+BA16</f>
        <v>209623.6</v>
      </c>
      <c r="BD16" s="190" t="n">
        <v>0</v>
      </c>
      <c r="BE16" s="190" t="n">
        <v>10818</v>
      </c>
      <c r="BF16" s="190" t="n">
        <v>3297.4</v>
      </c>
      <c r="BG16" s="190" t="n">
        <v>152766.8</v>
      </c>
      <c r="BH16" s="192" t="n">
        <f aca="false">BG16+BF16+BE16+BD16</f>
        <v>166882.2</v>
      </c>
      <c r="BI16" s="215" t="s">
        <v>214</v>
      </c>
      <c r="BJ16" s="193" t="n">
        <v>-2.64</v>
      </c>
      <c r="BK16" s="193" t="n">
        <v>1.66</v>
      </c>
      <c r="BL16" s="193" t="n">
        <v>0.25</v>
      </c>
      <c r="BM16" s="193" t="n">
        <v>-0.04</v>
      </c>
      <c r="BN16" s="193" t="n">
        <v>-0.64</v>
      </c>
      <c r="BO16" s="193" t="s">
        <v>204</v>
      </c>
      <c r="BP16" s="193" t="s">
        <v>204</v>
      </c>
      <c r="BQ16" s="194" t="s">
        <v>204</v>
      </c>
      <c r="BR16" s="194" t="n">
        <v>9740</v>
      </c>
      <c r="BS16" s="194" t="n">
        <v>3713</v>
      </c>
      <c r="BT16" s="193" t="n">
        <f aca="false">AP16/AV16*100</f>
        <v>100.097909923612</v>
      </c>
      <c r="BU16" s="193" t="n">
        <f aca="false">AV16/BR16</f>
        <v>96.8842987679671</v>
      </c>
      <c r="BV16" s="193" t="n">
        <f aca="false">AP16/BR16</f>
        <v>96.979158110883</v>
      </c>
      <c r="BW16" s="193" t="n">
        <f aca="false">(M16+BA16)/AV16*100</f>
        <v>8.83430602308113</v>
      </c>
      <c r="BX16" s="193" t="n">
        <v>5</v>
      </c>
      <c r="BY16" s="193" t="n">
        <v>4.89</v>
      </c>
      <c r="BZ16" s="193" t="n">
        <v>9.51</v>
      </c>
      <c r="CA16" s="193" t="n">
        <f aca="false">BZ16-BY16</f>
        <v>4.62</v>
      </c>
      <c r="CB16" s="193" t="n">
        <v>8.34</v>
      </c>
      <c r="CC16" s="193" t="n">
        <v>11.61</v>
      </c>
      <c r="CD16" s="193" t="n">
        <f aca="false">CC16-CB16</f>
        <v>3.27</v>
      </c>
      <c r="CE16" s="187"/>
      <c r="CF16" s="187"/>
    </row>
    <row r="17" s="184" customFormat="true" ht="10.35" hidden="false" customHeight="true" outlineLevel="0" collapsed="false">
      <c r="I17" s="207" t="s">
        <v>215</v>
      </c>
      <c r="J17" s="196" t="n">
        <v>157654.7</v>
      </c>
      <c r="K17" s="196" t="n">
        <v>1544.6</v>
      </c>
      <c r="L17" s="196" t="n">
        <f aca="false">J17+K17</f>
        <v>159199.3</v>
      </c>
      <c r="M17" s="196" t="n">
        <v>11375.9</v>
      </c>
      <c r="N17" s="196" t="n">
        <f aca="false">L17-M17</f>
        <v>147823.4</v>
      </c>
      <c r="O17" s="196" t="n">
        <v>20104.9</v>
      </c>
      <c r="P17" s="196" t="n">
        <v>63109.4</v>
      </c>
      <c r="Q17" s="196" t="n">
        <v>94907</v>
      </c>
      <c r="R17" s="197" t="n">
        <v>787748.4</v>
      </c>
      <c r="S17" s="197" t="n">
        <f aca="false">Q17+R17</f>
        <v>882655.4</v>
      </c>
      <c r="T17" s="197" t="n">
        <f aca="false">P17+S17</f>
        <v>945764.8</v>
      </c>
      <c r="U17" s="196" t="n">
        <v>672.9</v>
      </c>
      <c r="V17" s="186" t="n">
        <f aca="false">N17+Q17+U17</f>
        <v>243403.3</v>
      </c>
      <c r="W17" s="186" t="n">
        <f aca="false">R17+V17</f>
        <v>1031151.7</v>
      </c>
      <c r="X17" s="197" t="s">
        <v>204</v>
      </c>
      <c r="Y17" s="197" t="s">
        <v>204</v>
      </c>
      <c r="Z17" s="207" t="s">
        <v>215</v>
      </c>
      <c r="AA17" s="186" t="n">
        <v>0</v>
      </c>
      <c r="AB17" s="196" t="n">
        <v>15760</v>
      </c>
      <c r="AC17" s="196" t="n">
        <v>742507.7</v>
      </c>
      <c r="AD17" s="186" t="n">
        <f aca="false">AB17+AC17</f>
        <v>758267.7</v>
      </c>
      <c r="AE17" s="186" t="n">
        <v>0</v>
      </c>
      <c r="AF17" s="196" t="n">
        <v>1941.9</v>
      </c>
      <c r="AG17" s="196" t="n">
        <v>28040.3</v>
      </c>
      <c r="AH17" s="186" t="n">
        <f aca="false">AF17+AG17</f>
        <v>29982.2</v>
      </c>
      <c r="AI17" s="196" t="n">
        <v>13156.9</v>
      </c>
      <c r="AJ17" s="196" t="n">
        <v>152296.1</v>
      </c>
      <c r="AK17" s="196" t="n">
        <v>16425.3</v>
      </c>
      <c r="AL17" s="217" t="n">
        <f aca="false">AJ17+AK17</f>
        <v>168721.4</v>
      </c>
      <c r="AM17" s="186" t="n">
        <f aca="false">AA17+AE17+AI17</f>
        <v>13156.9</v>
      </c>
      <c r="AN17" s="186" t="n">
        <f aca="false">AB17+AF17+AJ17</f>
        <v>169998</v>
      </c>
      <c r="AO17" s="186" t="n">
        <f aca="false">AC17+AG17+AK17</f>
        <v>786973.3</v>
      </c>
      <c r="AP17" s="186" t="n">
        <f aca="false">AD17+AH17+AL17</f>
        <v>956971.3</v>
      </c>
      <c r="AQ17" s="207" t="s">
        <v>215</v>
      </c>
      <c r="AR17" s="196" t="n">
        <v>6760.9</v>
      </c>
      <c r="AS17" s="196" t="n">
        <v>23427.7</v>
      </c>
      <c r="AT17" s="196" t="n">
        <v>22323.4</v>
      </c>
      <c r="AU17" s="196" t="n">
        <v>68.4</v>
      </c>
      <c r="AV17" s="196" t="n">
        <f aca="false">945813.5-23.72</f>
        <v>945789.78</v>
      </c>
      <c r="AW17" s="196" t="n">
        <v>6586.7</v>
      </c>
      <c r="AX17" s="186" t="n">
        <f aca="false">AV17+AW17</f>
        <v>952376.48</v>
      </c>
      <c r="AY17" s="186" t="n">
        <f aca="false">0.065*AX17</f>
        <v>61904.4712</v>
      </c>
      <c r="AZ17" s="186" t="n">
        <f aca="false">BA17-AY17</f>
        <v>8418.92879999999</v>
      </c>
      <c r="BA17" s="196" t="n">
        <v>70323.4</v>
      </c>
      <c r="BB17" s="196" t="n">
        <v>2258622.1</v>
      </c>
      <c r="BC17" s="180" t="n">
        <f aca="false">L17+BA17</f>
        <v>229522.7</v>
      </c>
      <c r="BD17" s="196" t="n">
        <v>4000</v>
      </c>
      <c r="BE17" s="196" t="n">
        <v>12718.1</v>
      </c>
      <c r="BF17" s="196" t="n">
        <v>3443</v>
      </c>
      <c r="BG17" s="196" t="n">
        <v>151013.5</v>
      </c>
      <c r="BH17" s="186" t="n">
        <f aca="false">BG17+BF17+BE17+BD17</f>
        <v>171174.6</v>
      </c>
      <c r="BI17" s="207" t="s">
        <v>215</v>
      </c>
      <c r="BJ17" s="187" t="n">
        <v>4.06</v>
      </c>
      <c r="BK17" s="187" t="n">
        <v>2.38</v>
      </c>
      <c r="BL17" s="187" t="n">
        <v>2.03</v>
      </c>
      <c r="BM17" s="187" t="n">
        <v>2.26</v>
      </c>
      <c r="BN17" s="187" t="n">
        <v>1.48</v>
      </c>
      <c r="BO17" s="187" t="s">
        <v>204</v>
      </c>
      <c r="BP17" s="187" t="s">
        <v>204</v>
      </c>
      <c r="BQ17" s="188" t="s">
        <v>204</v>
      </c>
      <c r="BR17" s="188" t="n">
        <v>9752</v>
      </c>
      <c r="BS17" s="188" t="n">
        <v>3713</v>
      </c>
      <c r="BT17" s="187" t="n">
        <f aca="false">AP17/AV17*100</f>
        <v>101.182241575924</v>
      </c>
      <c r="BU17" s="187" t="n">
        <f aca="false">AV17/BR17</f>
        <v>96.9841858080394</v>
      </c>
      <c r="BV17" s="187" t="n">
        <f aca="false">AP17/BR17</f>
        <v>98.1307731747334</v>
      </c>
      <c r="BW17" s="187" t="n">
        <f aca="false">(M17+BA17)/AV17*100</f>
        <v>8.6382092223496</v>
      </c>
      <c r="BX17" s="187" t="n">
        <v>5</v>
      </c>
      <c r="BY17" s="187" t="n">
        <v>4.93</v>
      </c>
      <c r="BZ17" s="187" t="n">
        <v>9.46</v>
      </c>
      <c r="CA17" s="187" t="n">
        <f aca="false">BZ17-BY17</f>
        <v>4.53</v>
      </c>
      <c r="CB17" s="187" t="n">
        <v>8.33</v>
      </c>
      <c r="CC17" s="187" t="n">
        <v>11.59</v>
      </c>
      <c r="CD17" s="187" t="n">
        <f aca="false">CC17-CB17</f>
        <v>3.26</v>
      </c>
      <c r="CE17" s="187"/>
      <c r="CF17" s="187"/>
    </row>
    <row r="18" s="184" customFormat="true" ht="10.35" hidden="false" customHeight="true" outlineLevel="0" collapsed="false">
      <c r="I18" s="215" t="s">
        <v>216</v>
      </c>
      <c r="J18" s="190" t="n">
        <v>142587.2</v>
      </c>
      <c r="K18" s="190" t="n">
        <v>1543.9</v>
      </c>
      <c r="L18" s="190" t="n">
        <f aca="false">J18+K18</f>
        <v>144131.1</v>
      </c>
      <c r="M18" s="190" t="n">
        <v>11307.9</v>
      </c>
      <c r="N18" s="190" t="n">
        <f aca="false">L18-M18</f>
        <v>132823.2</v>
      </c>
      <c r="O18" s="190" t="n">
        <v>22254</v>
      </c>
      <c r="P18" s="190" t="n">
        <v>63544.1</v>
      </c>
      <c r="Q18" s="190" t="n">
        <v>97812.8</v>
      </c>
      <c r="R18" s="191" t="n">
        <v>797377.4</v>
      </c>
      <c r="S18" s="191" t="n">
        <f aca="false">Q18+R18</f>
        <v>895190.2</v>
      </c>
      <c r="T18" s="191" t="n">
        <f aca="false">P18+S18</f>
        <v>958734.3</v>
      </c>
      <c r="U18" s="190" t="n">
        <v>687.4</v>
      </c>
      <c r="V18" s="192" t="n">
        <f aca="false">N18+Q18+U18</f>
        <v>231323.4</v>
      </c>
      <c r="W18" s="192" t="n">
        <f aca="false">R18+V18</f>
        <v>1028700.8</v>
      </c>
      <c r="X18" s="191" t="s">
        <v>204</v>
      </c>
      <c r="Y18" s="191" t="s">
        <v>204</v>
      </c>
      <c r="Z18" s="215" t="s">
        <v>216</v>
      </c>
      <c r="AA18" s="192" t="n">
        <v>0</v>
      </c>
      <c r="AB18" s="190" t="n">
        <v>15603.8</v>
      </c>
      <c r="AC18" s="190" t="n">
        <v>753085.6</v>
      </c>
      <c r="AD18" s="192" t="n">
        <f aca="false">AB18+AC18</f>
        <v>768689.4</v>
      </c>
      <c r="AE18" s="192" t="n">
        <v>0</v>
      </c>
      <c r="AF18" s="190" t="n">
        <v>1908.3</v>
      </c>
      <c r="AG18" s="190" t="n">
        <v>27191.7</v>
      </c>
      <c r="AH18" s="192" t="n">
        <f aca="false">AF18+AG18</f>
        <v>29100</v>
      </c>
      <c r="AI18" s="190" t="n">
        <v>13914.6</v>
      </c>
      <c r="AJ18" s="190" t="n">
        <v>153759.6</v>
      </c>
      <c r="AK18" s="190" t="n">
        <v>16103.9</v>
      </c>
      <c r="AL18" s="216" t="n">
        <f aca="false">AJ18+AK18</f>
        <v>169863.5</v>
      </c>
      <c r="AM18" s="192" t="n">
        <f aca="false">AA18+AE18+AI18</f>
        <v>13914.6</v>
      </c>
      <c r="AN18" s="192" t="n">
        <f aca="false">AB18+AF18+AJ18</f>
        <v>171271.7</v>
      </c>
      <c r="AO18" s="192" t="n">
        <f aca="false">AC18+AG18+AK18</f>
        <v>796381.2</v>
      </c>
      <c r="AP18" s="192" t="n">
        <f aca="false">AD18+AH18+AL18</f>
        <v>967652.9</v>
      </c>
      <c r="AQ18" s="215" t="s">
        <v>216</v>
      </c>
      <c r="AR18" s="190" t="n">
        <v>6395.4</v>
      </c>
      <c r="AS18" s="190" t="n">
        <v>23246.6</v>
      </c>
      <c r="AT18" s="190" t="n">
        <v>22200.9</v>
      </c>
      <c r="AU18" s="190" t="n">
        <v>49.6</v>
      </c>
      <c r="AV18" s="190" t="n">
        <f aca="false">958783.1-27.8</f>
        <v>958755.3</v>
      </c>
      <c r="AW18" s="190" t="n">
        <v>6274.7</v>
      </c>
      <c r="AX18" s="192" t="n">
        <f aca="false">AV18+AW18</f>
        <v>965030</v>
      </c>
      <c r="AY18" s="192" t="n">
        <f aca="false">0.065*AX16</f>
        <v>61740.62505</v>
      </c>
      <c r="AZ18" s="192" t="n">
        <f aca="false">BA18-AY18</f>
        <v>8699.74495</v>
      </c>
      <c r="BA18" s="190" t="n">
        <f aca="false">70441.7-1.33</f>
        <v>70440.37</v>
      </c>
      <c r="BB18" s="190" t="n">
        <v>2301412.7</v>
      </c>
      <c r="BC18" s="171" t="n">
        <f aca="false">L18+BA18</f>
        <v>214571.47</v>
      </c>
      <c r="BD18" s="190" t="n">
        <v>0</v>
      </c>
      <c r="BE18" s="190" t="n">
        <v>10848.6</v>
      </c>
      <c r="BF18" s="190" t="n">
        <v>3279.9</v>
      </c>
      <c r="BG18" s="190" t="n">
        <v>152467.1</v>
      </c>
      <c r="BH18" s="192" t="n">
        <f aca="false">BG18+BF18+BE18+BD18</f>
        <v>166595.6</v>
      </c>
      <c r="BI18" s="215" t="s">
        <v>216</v>
      </c>
      <c r="BJ18" s="193" t="n">
        <v>-2.97</v>
      </c>
      <c r="BK18" s="193" t="n">
        <v>2.3</v>
      </c>
      <c r="BL18" s="193" t="n">
        <v>3.24</v>
      </c>
      <c r="BM18" s="193" t="n">
        <v>2.55</v>
      </c>
      <c r="BN18" s="193" t="n">
        <v>1.24</v>
      </c>
      <c r="BO18" s="193" t="s">
        <v>204</v>
      </c>
      <c r="BP18" s="193" t="s">
        <v>204</v>
      </c>
      <c r="BQ18" s="194" t="s">
        <v>204</v>
      </c>
      <c r="BR18" s="194" t="n">
        <v>9774</v>
      </c>
      <c r="BS18" s="194" t="n">
        <v>3714</v>
      </c>
      <c r="BT18" s="193" t="n">
        <f aca="false">AP18/AV18*100</f>
        <v>100.928036590776</v>
      </c>
      <c r="BU18" s="193" t="n">
        <f aca="false">AV18/BR18</f>
        <v>98.0924186617557</v>
      </c>
      <c r="BV18" s="193" t="n">
        <f aca="false">AP18/BR18</f>
        <v>99.0027521997135</v>
      </c>
      <c r="BW18" s="193" t="n">
        <f aca="false">(M18+BA18)/AV18*100</f>
        <v>8.52649993173441</v>
      </c>
      <c r="BX18" s="193" t="n">
        <v>5</v>
      </c>
      <c r="BY18" s="193" t="n">
        <v>4.9</v>
      </c>
      <c r="BZ18" s="193" t="n">
        <v>9.45</v>
      </c>
      <c r="CA18" s="193" t="n">
        <f aca="false">BZ18-BY18</f>
        <v>4.55</v>
      </c>
      <c r="CB18" s="193" t="n">
        <v>8.31</v>
      </c>
      <c r="CC18" s="193" t="n">
        <v>11.49</v>
      </c>
      <c r="CD18" s="193" t="n">
        <f aca="false">CC18-CB18</f>
        <v>3.18</v>
      </c>
      <c r="CE18" s="187"/>
      <c r="CF18" s="187"/>
    </row>
    <row r="19" s="184" customFormat="true" ht="10.35" hidden="false" customHeight="true" outlineLevel="0" collapsed="false">
      <c r="I19" s="207" t="s">
        <v>217</v>
      </c>
      <c r="J19" s="196" t="n">
        <v>137533.3</v>
      </c>
      <c r="K19" s="196" t="n">
        <v>1542</v>
      </c>
      <c r="L19" s="196" t="n">
        <f aca="false">J19+K19</f>
        <v>139075.3</v>
      </c>
      <c r="M19" s="196" t="n">
        <v>12310.7</v>
      </c>
      <c r="N19" s="196" t="n">
        <f aca="false">L19-M19</f>
        <v>126764.6</v>
      </c>
      <c r="O19" s="196" t="n">
        <v>23083.8</v>
      </c>
      <c r="P19" s="196" t="n">
        <v>65252.8</v>
      </c>
      <c r="Q19" s="196" t="n">
        <v>99301.3</v>
      </c>
      <c r="R19" s="197" t="n">
        <v>806477.3</v>
      </c>
      <c r="S19" s="197" t="n">
        <f aca="false">Q19+R19</f>
        <v>905778.6</v>
      </c>
      <c r="T19" s="197" t="n">
        <f aca="false">P19+S19</f>
        <v>971031.4</v>
      </c>
      <c r="U19" s="196" t="n">
        <v>678.6</v>
      </c>
      <c r="V19" s="186" t="n">
        <f aca="false">N19+Q19+U19</f>
        <v>226744.5</v>
      </c>
      <c r="W19" s="186" t="n">
        <f aca="false">R19+V19</f>
        <v>1033221.8</v>
      </c>
      <c r="X19" s="197" t="s">
        <v>204</v>
      </c>
      <c r="Y19" s="197" t="s">
        <v>204</v>
      </c>
      <c r="Z19" s="207" t="s">
        <v>217</v>
      </c>
      <c r="AA19" s="186" t="n">
        <v>0</v>
      </c>
      <c r="AB19" s="196" t="n">
        <v>16260.5</v>
      </c>
      <c r="AC19" s="196" t="n">
        <v>763828.5</v>
      </c>
      <c r="AD19" s="186" t="n">
        <f aca="false">AB19+AC19</f>
        <v>780089</v>
      </c>
      <c r="AE19" s="186" t="n">
        <v>0</v>
      </c>
      <c r="AF19" s="196" t="n">
        <v>1781.6</v>
      </c>
      <c r="AG19" s="196" t="n">
        <v>28083.7</v>
      </c>
      <c r="AH19" s="186" t="n">
        <f aca="false">AF19+AG19</f>
        <v>29865.3</v>
      </c>
      <c r="AI19" s="196" t="n">
        <v>13494</v>
      </c>
      <c r="AJ19" s="196" t="n">
        <v>151132.9</v>
      </c>
      <c r="AK19" s="196" t="n">
        <v>15918.7</v>
      </c>
      <c r="AL19" s="217" t="n">
        <f aca="false">AJ19+AK19</f>
        <v>167051.6</v>
      </c>
      <c r="AM19" s="186" t="n">
        <f aca="false">AA19+AE19+AI19</f>
        <v>13494</v>
      </c>
      <c r="AN19" s="186" t="n">
        <f aca="false">AB19+AF19+AJ19</f>
        <v>169175</v>
      </c>
      <c r="AO19" s="186" t="n">
        <f aca="false">AC19+AG19+AK19</f>
        <v>807830.9</v>
      </c>
      <c r="AP19" s="186" t="n">
        <f aca="false">AD19+AH19+AL19</f>
        <v>977005.9</v>
      </c>
      <c r="AQ19" s="207" t="s">
        <v>217</v>
      </c>
      <c r="AR19" s="196" t="n">
        <v>6336.9</v>
      </c>
      <c r="AS19" s="196" t="n">
        <v>25941.3</v>
      </c>
      <c r="AT19" s="196" t="n">
        <v>20672.3</v>
      </c>
      <c r="AU19" s="196" t="n">
        <v>21.3</v>
      </c>
      <c r="AV19" s="196" t="n">
        <f aca="false">971080.3-27.3</f>
        <v>971053</v>
      </c>
      <c r="AW19" s="196" t="n">
        <v>5839.5</v>
      </c>
      <c r="AX19" s="186" t="n">
        <f aca="false">AV19+AW19</f>
        <v>976892.5</v>
      </c>
      <c r="AY19" s="186" t="n">
        <f aca="false">0.065*AX17</f>
        <v>61904.4712</v>
      </c>
      <c r="AZ19" s="186" t="n">
        <f aca="false">BA19-AY19</f>
        <v>8615.9188</v>
      </c>
      <c r="BA19" s="196" t="n">
        <f aca="false">70523.1-2.71</f>
        <v>70520.39</v>
      </c>
      <c r="BB19" s="196" t="n">
        <v>2398339.9</v>
      </c>
      <c r="BC19" s="180" t="n">
        <f aca="false">L19+BA19</f>
        <v>209595.69</v>
      </c>
      <c r="BD19" s="196" t="n">
        <v>0</v>
      </c>
      <c r="BE19" s="196" t="n">
        <v>10719.8</v>
      </c>
      <c r="BF19" s="196" t="n">
        <v>3456.7</v>
      </c>
      <c r="BG19" s="196" t="n">
        <v>149841.7</v>
      </c>
      <c r="BH19" s="186" t="n">
        <f aca="false">BG19+BF19+BE19+BD19</f>
        <v>164018.2</v>
      </c>
      <c r="BI19" s="207" t="s">
        <v>217</v>
      </c>
      <c r="BJ19" s="187" t="n">
        <v>-5.29</v>
      </c>
      <c r="BK19" s="187" t="n">
        <v>4.35</v>
      </c>
      <c r="BL19" s="187" t="n">
        <v>4.72</v>
      </c>
      <c r="BM19" s="187" t="n">
        <v>3.62</v>
      </c>
      <c r="BN19" s="187" t="n">
        <v>1.69</v>
      </c>
      <c r="BO19" s="187" t="s">
        <v>204</v>
      </c>
      <c r="BP19" s="187" t="s">
        <v>204</v>
      </c>
      <c r="BQ19" s="188" t="s">
        <v>204</v>
      </c>
      <c r="BR19" s="188" t="n">
        <v>9793</v>
      </c>
      <c r="BS19" s="188" t="n">
        <v>3718</v>
      </c>
      <c r="BT19" s="187" t="n">
        <f aca="false">AP19/AV19*100</f>
        <v>100.61303553977</v>
      </c>
      <c r="BU19" s="187" t="n">
        <f aca="false">AV19/BR19</f>
        <v>99.1578678648014</v>
      </c>
      <c r="BV19" s="187" t="n">
        <f aca="false">AP19/BR19</f>
        <v>99.7657408352905</v>
      </c>
      <c r="BW19" s="187" t="n">
        <f aca="false">(M19+BA19)/AV19*100</f>
        <v>8.53002771218461</v>
      </c>
      <c r="BX19" s="187" t="n">
        <v>5</v>
      </c>
      <c r="BY19" s="187" t="n">
        <v>4.89</v>
      </c>
      <c r="BZ19" s="187" t="n">
        <v>9.39</v>
      </c>
      <c r="CA19" s="187" t="n">
        <f aca="false">BZ19-BY19</f>
        <v>4.5</v>
      </c>
      <c r="CB19" s="187" t="n">
        <v>8.33</v>
      </c>
      <c r="CC19" s="187" t="n">
        <v>11.35</v>
      </c>
      <c r="CD19" s="187" t="n">
        <f aca="false">CC19-CB19</f>
        <v>3.02</v>
      </c>
      <c r="CE19" s="187"/>
      <c r="CF19" s="187"/>
    </row>
    <row r="20" s="184" customFormat="true" ht="10.35" hidden="false" customHeight="true" outlineLevel="0" collapsed="false">
      <c r="I20" s="215" t="s">
        <v>218</v>
      </c>
      <c r="J20" s="190" t="n">
        <v>136701.5</v>
      </c>
      <c r="K20" s="190" t="n">
        <v>1539.2</v>
      </c>
      <c r="L20" s="190" t="n">
        <f aca="false">J20+K20</f>
        <v>138240.7</v>
      </c>
      <c r="M20" s="190" t="n">
        <v>11357.5</v>
      </c>
      <c r="N20" s="190" t="n">
        <f aca="false">L20-M20</f>
        <v>126883.2</v>
      </c>
      <c r="O20" s="190" t="n">
        <v>24155.7</v>
      </c>
      <c r="P20" s="190" t="n">
        <v>65117.7</v>
      </c>
      <c r="Q20" s="190" t="n">
        <v>99526.6</v>
      </c>
      <c r="R20" s="191" t="n">
        <v>813273.3</v>
      </c>
      <c r="S20" s="191" t="n">
        <f aca="false">Q20+R20</f>
        <v>912799.9</v>
      </c>
      <c r="T20" s="191" t="n">
        <f aca="false">P20+S20</f>
        <v>977917.6</v>
      </c>
      <c r="U20" s="190" t="n">
        <v>682.1</v>
      </c>
      <c r="V20" s="192" t="n">
        <f aca="false">N20+Q20+U20</f>
        <v>227091.9</v>
      </c>
      <c r="W20" s="192" t="n">
        <f aca="false">R20+V20</f>
        <v>1040365.2</v>
      </c>
      <c r="X20" s="191" t="s">
        <v>204</v>
      </c>
      <c r="Y20" s="191" t="s">
        <v>204</v>
      </c>
      <c r="Z20" s="215" t="s">
        <v>218</v>
      </c>
      <c r="AA20" s="192" t="n">
        <v>0</v>
      </c>
      <c r="AB20" s="190" t="n">
        <v>16620.7</v>
      </c>
      <c r="AC20" s="190" t="n">
        <v>777632.2</v>
      </c>
      <c r="AD20" s="192" t="n">
        <f aca="false">AB20+AC20</f>
        <v>794252.9</v>
      </c>
      <c r="AE20" s="192" t="n">
        <v>0</v>
      </c>
      <c r="AF20" s="190" t="n">
        <v>1696.9</v>
      </c>
      <c r="AG20" s="190" t="n">
        <v>28742.6</v>
      </c>
      <c r="AH20" s="192" t="n">
        <f aca="false">AF20+AG20</f>
        <v>30439.5</v>
      </c>
      <c r="AI20" s="190" t="n">
        <v>12814.8</v>
      </c>
      <c r="AJ20" s="190" t="n">
        <v>151117.6</v>
      </c>
      <c r="AK20" s="190" t="n">
        <v>15683.2</v>
      </c>
      <c r="AL20" s="216" t="n">
        <f aca="false">AJ20+AK20</f>
        <v>166800.8</v>
      </c>
      <c r="AM20" s="192" t="n">
        <f aca="false">AA20+AE20+AI20</f>
        <v>12814.8</v>
      </c>
      <c r="AN20" s="192" t="n">
        <f aca="false">AB20+AF20+AJ20</f>
        <v>169435.2</v>
      </c>
      <c r="AO20" s="192" t="n">
        <f aca="false">AC20+AG20+AK20</f>
        <v>822058</v>
      </c>
      <c r="AP20" s="192" t="n">
        <f aca="false">AD20+AH20+AL20</f>
        <v>991493.2</v>
      </c>
      <c r="AQ20" s="215" t="s">
        <v>218</v>
      </c>
      <c r="AR20" s="190" t="n">
        <v>6722.8</v>
      </c>
      <c r="AS20" s="190" t="n">
        <v>26851.7</v>
      </c>
      <c r="AT20" s="190" t="n">
        <v>18797.6</v>
      </c>
      <c r="AU20" s="190" t="n">
        <v>75.4</v>
      </c>
      <c r="AV20" s="190" t="n">
        <f aca="false">977966.3-31.97</f>
        <v>977934.33</v>
      </c>
      <c r="AW20" s="190" t="n">
        <v>6738.9</v>
      </c>
      <c r="AX20" s="192" t="n">
        <f aca="false">AV20+AW20</f>
        <v>984673.23</v>
      </c>
      <c r="AY20" s="192" t="n">
        <f aca="false">0.065*AX18</f>
        <v>62726.95</v>
      </c>
      <c r="AZ20" s="192" t="n">
        <f aca="false">BA20-AY20</f>
        <v>7368</v>
      </c>
      <c r="BA20" s="190" t="n">
        <f aca="false">70096.5-1.55</f>
        <v>70094.95</v>
      </c>
      <c r="BB20" s="190" t="n">
        <v>2529328</v>
      </c>
      <c r="BC20" s="171" t="n">
        <f aca="false">L20+BA20</f>
        <v>208335.65</v>
      </c>
      <c r="BD20" s="190" t="n">
        <v>734.4</v>
      </c>
      <c r="BE20" s="190" t="n">
        <v>10726</v>
      </c>
      <c r="BF20" s="190" t="n">
        <v>3629.4</v>
      </c>
      <c r="BG20" s="190" t="n">
        <v>149821.7</v>
      </c>
      <c r="BH20" s="192" t="n">
        <f aca="false">BG20+BF20+BE20+BD20</f>
        <v>164911.5</v>
      </c>
      <c r="BI20" s="215" t="s">
        <v>218</v>
      </c>
      <c r="BJ20" s="193" t="n">
        <v>-4.86</v>
      </c>
      <c r="BK20" s="193" t="n">
        <v>4.98</v>
      </c>
      <c r="BL20" s="193" t="n">
        <v>6.56</v>
      </c>
      <c r="BM20" s="193" t="n">
        <v>5.28</v>
      </c>
      <c r="BN20" s="193" t="n">
        <v>2.39</v>
      </c>
      <c r="BO20" s="193" t="s">
        <v>204</v>
      </c>
      <c r="BP20" s="193" t="s">
        <v>204</v>
      </c>
      <c r="BQ20" s="194" t="s">
        <v>204</v>
      </c>
      <c r="BR20" s="194" t="n">
        <v>9843</v>
      </c>
      <c r="BS20" s="194" t="n">
        <v>3718</v>
      </c>
      <c r="BT20" s="193" t="n">
        <f aca="false">AP20/AV20*100</f>
        <v>101.386480623909</v>
      </c>
      <c r="BU20" s="193" t="n">
        <f aca="false">AV20/BR20</f>
        <v>99.353279487961</v>
      </c>
      <c r="BV20" s="193" t="n">
        <f aca="false">AP20/BR20</f>
        <v>100.730793457279</v>
      </c>
      <c r="BW20" s="193" t="n">
        <f aca="false">(M20+BA20)/AV20*100</f>
        <v>8.32903064155647</v>
      </c>
      <c r="BX20" s="193" t="n">
        <v>5</v>
      </c>
      <c r="BY20" s="193" t="n">
        <v>4.9</v>
      </c>
      <c r="BZ20" s="193" t="n">
        <v>9.3</v>
      </c>
      <c r="CA20" s="193" t="n">
        <f aca="false">BZ20-BY20</f>
        <v>4.4</v>
      </c>
      <c r="CB20" s="193" t="n">
        <v>8.39</v>
      </c>
      <c r="CC20" s="193" t="n">
        <v>11.34</v>
      </c>
      <c r="CD20" s="193" t="n">
        <f aca="false">CC20-CB20</f>
        <v>2.95</v>
      </c>
      <c r="CE20" s="187"/>
      <c r="CF20" s="187"/>
    </row>
    <row r="21" s="184" customFormat="true" ht="10.35" hidden="false" customHeight="true" outlineLevel="0" collapsed="false">
      <c r="I21" s="207" t="s">
        <v>219</v>
      </c>
      <c r="J21" s="196" t="n">
        <v>139150.9</v>
      </c>
      <c r="K21" s="196" t="n">
        <v>1535.6</v>
      </c>
      <c r="L21" s="196" t="n">
        <f aca="false">J21+K21</f>
        <v>140686.5</v>
      </c>
      <c r="M21" s="196" t="n">
        <v>11537.3</v>
      </c>
      <c r="N21" s="196" t="n">
        <f aca="false">L21-M21</f>
        <v>129149.2</v>
      </c>
      <c r="O21" s="196" t="n">
        <v>26128.6</v>
      </c>
      <c r="P21" s="196" t="n">
        <v>65966.7</v>
      </c>
      <c r="Q21" s="196" t="n">
        <v>103970.1</v>
      </c>
      <c r="R21" s="197" t="n">
        <v>822209.2</v>
      </c>
      <c r="S21" s="197" t="n">
        <f aca="false">Q21+R21</f>
        <v>926179.3</v>
      </c>
      <c r="T21" s="196" t="n">
        <f aca="false">P21+S21</f>
        <v>992146</v>
      </c>
      <c r="U21" s="196" t="n">
        <v>670.4</v>
      </c>
      <c r="V21" s="186" t="n">
        <f aca="false">N21+Q21+U21</f>
        <v>233789.7</v>
      </c>
      <c r="W21" s="186" t="n">
        <f aca="false">R21+V21</f>
        <v>1055998.9</v>
      </c>
      <c r="X21" s="197" t="s">
        <v>204</v>
      </c>
      <c r="Y21" s="197" t="s">
        <v>204</v>
      </c>
      <c r="Z21" s="207" t="s">
        <v>219</v>
      </c>
      <c r="AA21" s="186" t="n">
        <v>0</v>
      </c>
      <c r="AB21" s="196" t="n">
        <v>17760.8</v>
      </c>
      <c r="AC21" s="196" t="n">
        <v>794854.7</v>
      </c>
      <c r="AD21" s="186" t="n">
        <f aca="false">AB21+AC21</f>
        <v>812615.5</v>
      </c>
      <c r="AE21" s="186" t="n">
        <v>0</v>
      </c>
      <c r="AF21" s="196" t="n">
        <v>1520.4</v>
      </c>
      <c r="AG21" s="196" t="n">
        <v>30299.7</v>
      </c>
      <c r="AH21" s="186" t="n">
        <f aca="false">AF21+AG21</f>
        <v>31820.1</v>
      </c>
      <c r="AI21" s="196" t="n">
        <v>15313.6</v>
      </c>
      <c r="AJ21" s="196" t="n">
        <v>147858.5</v>
      </c>
      <c r="AK21" s="196" t="n">
        <v>15946.6</v>
      </c>
      <c r="AL21" s="217" t="n">
        <f aca="false">AJ21+AK21</f>
        <v>163805.1</v>
      </c>
      <c r="AM21" s="186" t="n">
        <f aca="false">AA21+AE21+AI21</f>
        <v>15313.6</v>
      </c>
      <c r="AN21" s="186" t="n">
        <f aca="false">AB21+AF21+AJ21</f>
        <v>167139.7</v>
      </c>
      <c r="AO21" s="186" t="n">
        <f aca="false">AC21+AG21+AK21</f>
        <v>841101</v>
      </c>
      <c r="AP21" s="186" t="n">
        <f aca="false">AD21+AH21+AL21</f>
        <v>1008240.7</v>
      </c>
      <c r="AQ21" s="207" t="s">
        <v>219</v>
      </c>
      <c r="AR21" s="196" t="n">
        <v>8716.2</v>
      </c>
      <c r="AS21" s="196" t="n">
        <v>27608.6</v>
      </c>
      <c r="AT21" s="196" t="n">
        <v>22145.9</v>
      </c>
      <c r="AU21" s="196" t="n">
        <v>60.9</v>
      </c>
      <c r="AV21" s="196" t="n">
        <f aca="false">992193.8-34.82</f>
        <v>992158.98</v>
      </c>
      <c r="AW21" s="196" t="n">
        <v>6981.5</v>
      </c>
      <c r="AX21" s="186" t="n">
        <f aca="false">AV21+AW21</f>
        <v>999140.48</v>
      </c>
      <c r="AY21" s="186" t="n">
        <f aca="false">0.065*AX19</f>
        <v>63498.0125</v>
      </c>
      <c r="AZ21" s="186" t="n">
        <f aca="false">BA21-AY21</f>
        <v>12127.6175</v>
      </c>
      <c r="BA21" s="196" t="n">
        <f aca="false">75626.9-1.27</f>
        <v>75625.63</v>
      </c>
      <c r="BB21" s="196" t="n">
        <v>2426236.3</v>
      </c>
      <c r="BC21" s="180" t="n">
        <f aca="false">L21+BA21</f>
        <v>216312.13</v>
      </c>
      <c r="BD21" s="196" t="n">
        <v>0</v>
      </c>
      <c r="BE21" s="196" t="n">
        <v>11325.9</v>
      </c>
      <c r="BF21" s="196" t="n">
        <v>4096.7</v>
      </c>
      <c r="BG21" s="196" t="n">
        <v>146577.5</v>
      </c>
      <c r="BH21" s="186" t="n">
        <f aca="false">BG21+BF21+BE21+BD21</f>
        <v>162000.1</v>
      </c>
      <c r="BI21" s="207" t="s">
        <v>219</v>
      </c>
      <c r="BJ21" s="187" t="n">
        <v>-10.33</v>
      </c>
      <c r="BK21" s="187" t="n">
        <v>7.79</v>
      </c>
      <c r="BL21" s="187" t="n">
        <v>9.02</v>
      </c>
      <c r="BM21" s="187" t="n">
        <v>6.88</v>
      </c>
      <c r="BN21" s="187" t="n">
        <v>3.93</v>
      </c>
      <c r="BO21" s="187" t="s">
        <v>204</v>
      </c>
      <c r="BP21" s="187" t="s">
        <v>204</v>
      </c>
      <c r="BQ21" s="188" t="s">
        <v>204</v>
      </c>
      <c r="BR21" s="188" t="n">
        <v>9955</v>
      </c>
      <c r="BS21" s="188" t="n">
        <v>3721</v>
      </c>
      <c r="BT21" s="187" t="n">
        <f aca="false">AP21/AV21*100</f>
        <v>101.620881363186</v>
      </c>
      <c r="BU21" s="187" t="n">
        <f aca="false">AV21/BR21</f>
        <v>99.6643877448518</v>
      </c>
      <c r="BV21" s="187" t="n">
        <f aca="false">AP21/BR21</f>
        <v>101.279829231542</v>
      </c>
      <c r="BW21" s="187" t="n">
        <f aca="false">(M21+BA21)/AV21*100</f>
        <v>8.7851777544764</v>
      </c>
      <c r="BX21" s="187" t="n">
        <v>5</v>
      </c>
      <c r="BY21" s="187" t="n">
        <v>4.91</v>
      </c>
      <c r="BZ21" s="187" t="n">
        <v>9.35</v>
      </c>
      <c r="CA21" s="187" t="n">
        <f aca="false">BZ21-BY21</f>
        <v>4.44</v>
      </c>
      <c r="CB21" s="187" t="n">
        <v>8.48</v>
      </c>
      <c r="CC21" s="187" t="n">
        <v>11.41</v>
      </c>
      <c r="CD21" s="187" t="n">
        <f aca="false">CC21-CB21</f>
        <v>2.93</v>
      </c>
      <c r="CE21" s="187"/>
      <c r="CF21" s="187"/>
    </row>
    <row r="22" s="184" customFormat="true" ht="10.35" hidden="false" customHeight="true" outlineLevel="0" collapsed="false">
      <c r="I22" s="215" t="s">
        <v>220</v>
      </c>
      <c r="J22" s="190" t="n">
        <v>138759.3</v>
      </c>
      <c r="K22" s="190" t="n">
        <v>1532.1</v>
      </c>
      <c r="L22" s="190" t="n">
        <f aca="false">J22+K22</f>
        <v>140291.4</v>
      </c>
      <c r="M22" s="190" t="n">
        <v>12043.1</v>
      </c>
      <c r="N22" s="190" t="n">
        <f aca="false">L22-M22</f>
        <v>128248.3</v>
      </c>
      <c r="O22" s="190" t="n">
        <v>23567.4</v>
      </c>
      <c r="P22" s="190" t="n">
        <v>67912.9</v>
      </c>
      <c r="Q22" s="190" t="n">
        <v>97526.3</v>
      </c>
      <c r="R22" s="191" t="n">
        <v>821620.1</v>
      </c>
      <c r="S22" s="191" t="n">
        <f aca="false">Q22+R22</f>
        <v>919146.4</v>
      </c>
      <c r="T22" s="191" t="n">
        <f aca="false">P22+S22</f>
        <v>987059.3</v>
      </c>
      <c r="U22" s="190" t="n">
        <v>667.5</v>
      </c>
      <c r="V22" s="192" t="n">
        <f aca="false">N22+Q22+U22</f>
        <v>226442.1</v>
      </c>
      <c r="W22" s="192" t="n">
        <f aca="false">R22+V22</f>
        <v>1048062.2</v>
      </c>
      <c r="X22" s="191" t="s">
        <v>204</v>
      </c>
      <c r="Y22" s="191" t="s">
        <v>204</v>
      </c>
      <c r="Z22" s="215" t="s">
        <v>220</v>
      </c>
      <c r="AA22" s="192" t="n">
        <v>0</v>
      </c>
      <c r="AB22" s="190" t="n">
        <v>17924.2</v>
      </c>
      <c r="AC22" s="190" t="n">
        <v>802763.2</v>
      </c>
      <c r="AD22" s="192" t="n">
        <f aca="false">AB22+AC22</f>
        <v>820687.4</v>
      </c>
      <c r="AE22" s="192" t="n">
        <v>0</v>
      </c>
      <c r="AF22" s="190" t="n">
        <v>1525.6</v>
      </c>
      <c r="AG22" s="190" t="n">
        <v>27429.2</v>
      </c>
      <c r="AH22" s="192" t="n">
        <f aca="false">AF22+AG22</f>
        <v>28954.8</v>
      </c>
      <c r="AI22" s="190" t="n">
        <v>15452.5</v>
      </c>
      <c r="AJ22" s="190" t="n">
        <v>145287</v>
      </c>
      <c r="AK22" s="190" t="n">
        <v>16229.3</v>
      </c>
      <c r="AL22" s="216" t="n">
        <f aca="false">AJ22+AK22</f>
        <v>161516.3</v>
      </c>
      <c r="AM22" s="192" t="n">
        <f aca="false">AA22+AE22+AI22</f>
        <v>15452.5</v>
      </c>
      <c r="AN22" s="192" t="n">
        <f aca="false">AB22+AF22+AJ22</f>
        <v>164736.8</v>
      </c>
      <c r="AO22" s="192" t="n">
        <f aca="false">AC22+AG22+AK22</f>
        <v>846421.7</v>
      </c>
      <c r="AP22" s="192" t="n">
        <f aca="false">AD22+AH22+AL22</f>
        <v>1011158.5</v>
      </c>
      <c r="AQ22" s="215" t="s">
        <v>220</v>
      </c>
      <c r="AR22" s="190" t="n">
        <v>8903.6</v>
      </c>
      <c r="AS22" s="190" t="n">
        <v>28764.3</v>
      </c>
      <c r="AT22" s="190" t="n">
        <v>21985.2</v>
      </c>
      <c r="AU22" s="190" t="n">
        <v>96.6</v>
      </c>
      <c r="AV22" s="190" t="n">
        <f aca="false">987106.7-34.56</f>
        <v>987072.14</v>
      </c>
      <c r="AW22" s="190" t="n">
        <v>7736</v>
      </c>
      <c r="AX22" s="192" t="n">
        <f aca="false">AV22+AW22</f>
        <v>994808.14</v>
      </c>
      <c r="AY22" s="192" t="n">
        <f aca="false">0.065*AX20</f>
        <v>64003.75995</v>
      </c>
      <c r="AZ22" s="192" t="n">
        <f aca="false">BA22-AY22</f>
        <v>5356.70004999998</v>
      </c>
      <c r="BA22" s="190" t="n">
        <f aca="false">69361.7-1.24</f>
        <v>69360.46</v>
      </c>
      <c r="BB22" s="190" t="n">
        <v>2447027.7</v>
      </c>
      <c r="BC22" s="171" t="n">
        <f aca="false">L22+BA22</f>
        <v>209651.86</v>
      </c>
      <c r="BD22" s="190" t="n">
        <v>0</v>
      </c>
      <c r="BE22" s="190" t="n">
        <v>11144.5</v>
      </c>
      <c r="BF22" s="190" t="n">
        <v>4551.4</v>
      </c>
      <c r="BG22" s="190" t="n">
        <v>143998.6</v>
      </c>
      <c r="BH22" s="192" t="n">
        <f aca="false">BG22+BF22+BE22+BD22</f>
        <v>159694.5</v>
      </c>
      <c r="BI22" s="215" t="s">
        <v>220</v>
      </c>
      <c r="BJ22" s="193" t="n">
        <v>-16.75</v>
      </c>
      <c r="BK22" s="193" t="n">
        <v>6.45</v>
      </c>
      <c r="BL22" s="193" t="n">
        <v>9.71</v>
      </c>
      <c r="BM22" s="193" t="n">
        <v>6.76</v>
      </c>
      <c r="BN22" s="193" t="n">
        <v>3.15</v>
      </c>
      <c r="BO22" s="193" t="s">
        <v>204</v>
      </c>
      <c r="BP22" s="193" t="s">
        <v>204</v>
      </c>
      <c r="BQ22" s="194" t="s">
        <v>204</v>
      </c>
      <c r="BR22" s="194" t="n">
        <v>9957</v>
      </c>
      <c r="BS22" s="194" t="n">
        <v>3721</v>
      </c>
      <c r="BT22" s="193" t="n">
        <f aca="false">AP22/AV22*100</f>
        <v>102.440182335609</v>
      </c>
      <c r="BU22" s="193" t="n">
        <f aca="false">AV22/BR22</f>
        <v>99.1334879983931</v>
      </c>
      <c r="BV22" s="193" t="n">
        <f aca="false">AP22/BR22</f>
        <v>101.552525861203</v>
      </c>
      <c r="BW22" s="193" t="n">
        <f aca="false">(M22+BA22)/AV22*100</f>
        <v>8.24697169550343</v>
      </c>
      <c r="BX22" s="193" t="n">
        <v>5</v>
      </c>
      <c r="BY22" s="193" t="n">
        <v>5.01</v>
      </c>
      <c r="BZ22" s="193" t="n">
        <v>9.42</v>
      </c>
      <c r="CA22" s="193" t="n">
        <f aca="false">BZ22-BY22</f>
        <v>4.41</v>
      </c>
      <c r="CB22" s="193" t="n">
        <v>8.63</v>
      </c>
      <c r="CC22" s="193" t="n">
        <v>11.42</v>
      </c>
      <c r="CD22" s="193" t="n">
        <f aca="false">CC22-CB22</f>
        <v>2.79</v>
      </c>
      <c r="CE22" s="187"/>
      <c r="CF22" s="187"/>
    </row>
    <row r="23" s="184" customFormat="true" ht="10.35" hidden="false" customHeight="true" outlineLevel="0" collapsed="false">
      <c r="I23" s="207" t="s">
        <v>221</v>
      </c>
      <c r="J23" s="196" t="n">
        <v>139592.3</v>
      </c>
      <c r="K23" s="196" t="n">
        <v>1529.1</v>
      </c>
      <c r="L23" s="196" t="n">
        <f aca="false">J23+K23</f>
        <v>141121.4</v>
      </c>
      <c r="M23" s="196" t="n">
        <v>12783.3</v>
      </c>
      <c r="N23" s="196" t="n">
        <f aca="false">L23-M23</f>
        <v>128338.1</v>
      </c>
      <c r="O23" s="196" t="n">
        <v>24393</v>
      </c>
      <c r="P23" s="196" t="n">
        <v>70810.9</v>
      </c>
      <c r="Q23" s="196" t="n">
        <v>97459.3</v>
      </c>
      <c r="R23" s="196" t="n">
        <v>825001</v>
      </c>
      <c r="S23" s="197" t="n">
        <f aca="false">Q23+R23</f>
        <v>922460.3</v>
      </c>
      <c r="T23" s="197" t="n">
        <f aca="false">P23+S23</f>
        <v>993271.2</v>
      </c>
      <c r="U23" s="196" t="n">
        <v>748.4</v>
      </c>
      <c r="V23" s="186" t="n">
        <f aca="false">N23+Q23+U23</f>
        <v>226545.8</v>
      </c>
      <c r="W23" s="186" t="n">
        <f aca="false">R23+V23</f>
        <v>1051546.8</v>
      </c>
      <c r="X23" s="197" t="s">
        <v>204</v>
      </c>
      <c r="Y23" s="197" t="s">
        <v>204</v>
      </c>
      <c r="Z23" s="207" t="s">
        <v>221</v>
      </c>
      <c r="AA23" s="186" t="n">
        <v>0</v>
      </c>
      <c r="AB23" s="196" t="n">
        <v>17822.1</v>
      </c>
      <c r="AC23" s="196" t="n">
        <v>813773</v>
      </c>
      <c r="AD23" s="186" t="n">
        <f aca="false">AB23+AC23</f>
        <v>831595.1</v>
      </c>
      <c r="AE23" s="186" t="n">
        <v>0</v>
      </c>
      <c r="AF23" s="196" t="n">
        <v>1567.5</v>
      </c>
      <c r="AG23" s="196" t="n">
        <v>27405.8</v>
      </c>
      <c r="AH23" s="186" t="n">
        <f aca="false">AF23+AG23</f>
        <v>28973.3</v>
      </c>
      <c r="AI23" s="196" t="n">
        <v>16481.4</v>
      </c>
      <c r="AJ23" s="196" t="n">
        <v>143930.9</v>
      </c>
      <c r="AK23" s="196" t="n">
        <v>16125.3</v>
      </c>
      <c r="AL23" s="217" t="n">
        <f aca="false">AJ23+AK23</f>
        <v>160056.2</v>
      </c>
      <c r="AM23" s="186" t="n">
        <f aca="false">AA23+AE23+AI23</f>
        <v>16481.4</v>
      </c>
      <c r="AN23" s="186" t="n">
        <f aca="false">AB23+AF23+AJ23</f>
        <v>163320.5</v>
      </c>
      <c r="AO23" s="186" t="n">
        <f aca="false">AC23+AG23+AK23</f>
        <v>857304.1</v>
      </c>
      <c r="AP23" s="186" t="n">
        <f aca="false">AD23+AH23+AL23</f>
        <v>1020624.6</v>
      </c>
      <c r="AQ23" s="207" t="s">
        <v>221</v>
      </c>
      <c r="AR23" s="196" t="n">
        <v>10103.3</v>
      </c>
      <c r="AS23" s="196" t="n">
        <v>30304.8</v>
      </c>
      <c r="AT23" s="196" t="n">
        <v>24901.1</v>
      </c>
      <c r="AU23" s="196" t="n">
        <v>360.7</v>
      </c>
      <c r="AV23" s="196" t="n">
        <f aca="false">993318.6-32.65</f>
        <v>993285.95</v>
      </c>
      <c r="AW23" s="196" t="n">
        <v>7907.9</v>
      </c>
      <c r="AX23" s="186" t="n">
        <f aca="false">AV23+AW23</f>
        <v>1001193.85</v>
      </c>
      <c r="AY23" s="186" t="n">
        <f aca="false">0.065*AX21</f>
        <v>64944.1312</v>
      </c>
      <c r="AZ23" s="186" t="n">
        <f aca="false">BA23-AY23</f>
        <v>3734.83879999999</v>
      </c>
      <c r="BA23" s="196" t="n">
        <f aca="false">68679.6-0.63</f>
        <v>68678.97</v>
      </c>
      <c r="BB23" s="196" t="n">
        <v>2489061.7</v>
      </c>
      <c r="BC23" s="180" t="n">
        <f aca="false">L23+BA23</f>
        <v>209800.37</v>
      </c>
      <c r="BD23" s="196" t="n">
        <v>0</v>
      </c>
      <c r="BE23" s="196" t="n">
        <v>9663</v>
      </c>
      <c r="BF23" s="196" t="n">
        <v>4478.4</v>
      </c>
      <c r="BG23" s="196" t="n">
        <v>142494.4</v>
      </c>
      <c r="BH23" s="186" t="n">
        <f aca="false">BG23+BF23+BE23+BD23</f>
        <v>156635.8</v>
      </c>
      <c r="BI23" s="207" t="s">
        <v>221</v>
      </c>
      <c r="BJ23" s="187" t="n">
        <v>-22.87</v>
      </c>
      <c r="BK23" s="187" t="n">
        <v>7.4</v>
      </c>
      <c r="BL23" s="187" t="n">
        <v>11.1</v>
      </c>
      <c r="BM23" s="187" t="n">
        <v>7.32</v>
      </c>
      <c r="BN23" s="187" t="n">
        <v>3.49</v>
      </c>
      <c r="BO23" s="187" t="s">
        <v>204</v>
      </c>
      <c r="BP23" s="187" t="s">
        <v>204</v>
      </c>
      <c r="BQ23" s="188" t="s">
        <v>204</v>
      </c>
      <c r="BR23" s="188" t="n">
        <v>9957</v>
      </c>
      <c r="BS23" s="188" t="n">
        <v>3721</v>
      </c>
      <c r="BT23" s="187" t="n">
        <f aca="false">AP23/AV23*100</f>
        <v>102.75234437777</v>
      </c>
      <c r="BU23" s="187" t="n">
        <f aca="false">AV23/BR23</f>
        <v>99.7575524756453</v>
      </c>
      <c r="BV23" s="187" t="n">
        <f aca="false">AP23/BR23</f>
        <v>102.503223862609</v>
      </c>
      <c r="BW23" s="187" t="n">
        <f aca="false">(M23+BA23)/AV23*100</f>
        <v>8.20129087701281</v>
      </c>
      <c r="BX23" s="187" t="n">
        <v>5</v>
      </c>
      <c r="BY23" s="187" t="n">
        <v>5.18</v>
      </c>
      <c r="BZ23" s="187" t="n">
        <v>9.55</v>
      </c>
      <c r="CA23" s="187" t="n">
        <f aca="false">BZ23-BY23</f>
        <v>4.37</v>
      </c>
      <c r="CB23" s="187" t="n">
        <v>8.96</v>
      </c>
      <c r="CC23" s="187" t="n">
        <v>11.71</v>
      </c>
      <c r="CD23" s="187" t="n">
        <f aca="false">CC23-CB23</f>
        <v>2.75</v>
      </c>
      <c r="CE23" s="187"/>
      <c r="CF23" s="187"/>
    </row>
    <row r="24" s="184" customFormat="true" ht="10.35" hidden="false" customHeight="true" outlineLevel="0" collapsed="false">
      <c r="I24" s="215" t="s">
        <v>222</v>
      </c>
      <c r="J24" s="190" t="n">
        <v>138648.5</v>
      </c>
      <c r="K24" s="190" t="n">
        <v>1527.4</v>
      </c>
      <c r="L24" s="190" t="n">
        <f aca="false">J24+K24</f>
        <v>140175.9</v>
      </c>
      <c r="M24" s="190" t="n">
        <v>12042.8</v>
      </c>
      <c r="N24" s="190" t="n">
        <f aca="false">L24-M24</f>
        <v>128133.1</v>
      </c>
      <c r="O24" s="190" t="n">
        <v>27221.2</v>
      </c>
      <c r="P24" s="190" t="n">
        <v>71009.8</v>
      </c>
      <c r="Q24" s="190" t="n">
        <v>96438.6</v>
      </c>
      <c r="R24" s="190" t="n">
        <v>828841.1</v>
      </c>
      <c r="S24" s="190" t="n">
        <f aca="false">Q24+R24</f>
        <v>925279.7</v>
      </c>
      <c r="T24" s="190" t="n">
        <f aca="false">P24+S24</f>
        <v>996289.5</v>
      </c>
      <c r="U24" s="190" t="n">
        <v>700.4</v>
      </c>
      <c r="V24" s="192" t="n">
        <f aca="false">N24+Q24+U24</f>
        <v>225272.1</v>
      </c>
      <c r="W24" s="192" t="n">
        <f aca="false">R24+V24</f>
        <v>1054113.2</v>
      </c>
      <c r="X24" s="191" t="s">
        <v>204</v>
      </c>
      <c r="Y24" s="191" t="s">
        <v>204</v>
      </c>
      <c r="Z24" s="215" t="s">
        <v>222</v>
      </c>
      <c r="AA24" s="192" t="n">
        <v>0</v>
      </c>
      <c r="AB24" s="190" t="n">
        <v>17667.1</v>
      </c>
      <c r="AC24" s="190" t="n">
        <v>822873.5</v>
      </c>
      <c r="AD24" s="192" t="n">
        <f aca="false">AB24+AC24</f>
        <v>840540.6</v>
      </c>
      <c r="AE24" s="192" t="n">
        <v>0</v>
      </c>
      <c r="AF24" s="190" t="n">
        <v>1578.7</v>
      </c>
      <c r="AG24" s="190" t="n">
        <v>27443</v>
      </c>
      <c r="AH24" s="192" t="n">
        <f aca="false">AF24+AG24</f>
        <v>29021.7</v>
      </c>
      <c r="AI24" s="190" t="n">
        <v>16159.1</v>
      </c>
      <c r="AJ24" s="190" t="n">
        <v>140726.5</v>
      </c>
      <c r="AK24" s="190" t="n">
        <v>16156.1</v>
      </c>
      <c r="AL24" s="216" t="n">
        <f aca="false">AJ24+AK24</f>
        <v>156882.6</v>
      </c>
      <c r="AM24" s="192" t="n">
        <f aca="false">AA24+AE24+AI24</f>
        <v>16159.1</v>
      </c>
      <c r="AN24" s="192" t="n">
        <f aca="false">AB24+AF24+AJ24</f>
        <v>159972.3</v>
      </c>
      <c r="AO24" s="192" t="n">
        <f aca="false">AC24+AG24+AK24</f>
        <v>866472.6</v>
      </c>
      <c r="AP24" s="192" t="n">
        <f aca="false">AD24+AH24+AL24</f>
        <v>1026444.9</v>
      </c>
      <c r="AQ24" s="215" t="s">
        <v>222</v>
      </c>
      <c r="AR24" s="190" t="n">
        <v>10412.1</v>
      </c>
      <c r="AS24" s="190" t="n">
        <v>30791.5</v>
      </c>
      <c r="AT24" s="190" t="n">
        <v>24820.6</v>
      </c>
      <c r="AU24" s="190" t="n">
        <v>316</v>
      </c>
      <c r="AV24" s="190" t="n">
        <f aca="false">996337-30.44</f>
        <v>996306.56</v>
      </c>
      <c r="AW24" s="190" t="n">
        <v>7147.4</v>
      </c>
      <c r="AX24" s="192" t="n">
        <f aca="false">AV24+AW24</f>
        <v>1003453.96</v>
      </c>
      <c r="AY24" s="192" t="n">
        <f aca="false">0.065*AX22</f>
        <v>64662.5291</v>
      </c>
      <c r="AZ24" s="192" t="n">
        <f aca="false">BA24-AY24</f>
        <v>6710.69090000001</v>
      </c>
      <c r="BA24" s="190" t="n">
        <f aca="false">71374.1-0.88</f>
        <v>71373.22</v>
      </c>
      <c r="BB24" s="190" t="n">
        <v>2529314</v>
      </c>
      <c r="BC24" s="171" t="n">
        <f aca="false">L24+BA24</f>
        <v>211549.12</v>
      </c>
      <c r="BD24" s="190" t="n">
        <v>0</v>
      </c>
      <c r="BE24" s="190" t="n">
        <v>9825.9</v>
      </c>
      <c r="BF24" s="190" t="n">
        <v>4694</v>
      </c>
      <c r="BG24" s="190" t="n">
        <v>139293.8</v>
      </c>
      <c r="BH24" s="192" t="n">
        <f aca="false">BG24+BF24+BE24+BD24</f>
        <v>153813.7</v>
      </c>
      <c r="BI24" s="215" t="s">
        <v>222</v>
      </c>
      <c r="BJ24" s="193" t="n">
        <v>-23.38</v>
      </c>
      <c r="BK24" s="193" t="n">
        <v>5.31</v>
      </c>
      <c r="BL24" s="193" t="n">
        <v>12.29</v>
      </c>
      <c r="BM24" s="193" t="n">
        <v>8.26</v>
      </c>
      <c r="BN24" s="193" t="n">
        <v>3.74</v>
      </c>
      <c r="BO24" s="193" t="s">
        <v>204</v>
      </c>
      <c r="BP24" s="193" t="s">
        <v>204</v>
      </c>
      <c r="BQ24" s="194" t="s">
        <v>204</v>
      </c>
      <c r="BR24" s="194" t="n">
        <v>9973</v>
      </c>
      <c r="BS24" s="194" t="n">
        <v>3721</v>
      </c>
      <c r="BT24" s="193" t="n">
        <f aca="false">AP24/AV24*100</f>
        <v>103.025006680675</v>
      </c>
      <c r="BU24" s="193" t="n">
        <f aca="false">AV24/BR24</f>
        <v>99.9003870450216</v>
      </c>
      <c r="BV24" s="193" t="n">
        <f aca="false">AP24/BR24</f>
        <v>102.922380427153</v>
      </c>
      <c r="BW24" s="193" t="n">
        <f aca="false">(M24+BA24)/AV24*100</f>
        <v>8.37252542028831</v>
      </c>
      <c r="BX24" s="193" t="n">
        <v>5</v>
      </c>
      <c r="BY24" s="193" t="n">
        <v>5.3</v>
      </c>
      <c r="BZ24" s="193" t="n">
        <v>9.7</v>
      </c>
      <c r="CA24" s="193" t="n">
        <f aca="false">BZ24-BY24</f>
        <v>4.4</v>
      </c>
      <c r="CB24" s="193" t="n">
        <v>9.35</v>
      </c>
      <c r="CC24" s="193" t="n">
        <v>11.98</v>
      </c>
      <c r="CD24" s="193" t="n">
        <f aca="false">CC24-CB24</f>
        <v>2.63</v>
      </c>
      <c r="CE24" s="187"/>
      <c r="CF24" s="187"/>
    </row>
    <row r="25" s="184" customFormat="true" ht="10.35" hidden="false" customHeight="true" outlineLevel="0" collapsed="false">
      <c r="I25" s="207" t="s">
        <v>223</v>
      </c>
      <c r="J25" s="196" t="n">
        <v>139370.3</v>
      </c>
      <c r="K25" s="196" t="n">
        <v>1526.7</v>
      </c>
      <c r="L25" s="196" t="n">
        <f aca="false">J25+K25</f>
        <v>140897</v>
      </c>
      <c r="M25" s="196" t="n">
        <v>12550.3</v>
      </c>
      <c r="N25" s="196" t="n">
        <f aca="false">L25-M25</f>
        <v>128346.7</v>
      </c>
      <c r="O25" s="196" t="n">
        <v>29297.1</v>
      </c>
      <c r="P25" s="196" t="n">
        <v>74073.8</v>
      </c>
      <c r="Q25" s="196" t="n">
        <v>97967.9</v>
      </c>
      <c r="R25" s="196" t="n">
        <v>832313.3</v>
      </c>
      <c r="S25" s="196" t="n">
        <f aca="false">Q25+R25</f>
        <v>930281.2</v>
      </c>
      <c r="T25" s="196" t="n">
        <f aca="false">P25+S25</f>
        <v>1004355</v>
      </c>
      <c r="U25" s="196" t="n">
        <v>840.3</v>
      </c>
      <c r="V25" s="186" t="n">
        <f aca="false">N25+Q25+U25</f>
        <v>227154.9</v>
      </c>
      <c r="W25" s="186" t="n">
        <f aca="false">R25+V25</f>
        <v>1059468.2</v>
      </c>
      <c r="X25" s="197" t="s">
        <v>204</v>
      </c>
      <c r="Y25" s="197" t="s">
        <v>204</v>
      </c>
      <c r="Z25" s="207" t="s">
        <v>223</v>
      </c>
      <c r="AA25" s="186" t="n">
        <v>0</v>
      </c>
      <c r="AB25" s="196" t="n">
        <v>17793</v>
      </c>
      <c r="AC25" s="196" t="n">
        <v>832872.4</v>
      </c>
      <c r="AD25" s="186" t="n">
        <f aca="false">AB25+AC25</f>
        <v>850665.4</v>
      </c>
      <c r="AE25" s="186" t="n">
        <v>0</v>
      </c>
      <c r="AF25" s="196" t="n">
        <v>1642.8</v>
      </c>
      <c r="AG25" s="196" t="n">
        <v>27439.6</v>
      </c>
      <c r="AH25" s="186" t="n">
        <f aca="false">AF25+AG25</f>
        <v>29082.4</v>
      </c>
      <c r="AI25" s="196" t="n">
        <v>15317.6</v>
      </c>
      <c r="AJ25" s="196" t="n">
        <v>140309.4</v>
      </c>
      <c r="AK25" s="196" t="n">
        <v>16161.2</v>
      </c>
      <c r="AL25" s="217" t="n">
        <f aca="false">AJ25+AK25</f>
        <v>156470.6</v>
      </c>
      <c r="AM25" s="186" t="n">
        <f aca="false">AA25+AE25+AI25</f>
        <v>15317.6</v>
      </c>
      <c r="AN25" s="186" t="n">
        <f aca="false">AB25+AF25+AJ25</f>
        <v>159745.2</v>
      </c>
      <c r="AO25" s="186" t="n">
        <f aca="false">AC25+AG25+AK25</f>
        <v>876473.2</v>
      </c>
      <c r="AP25" s="186" t="n">
        <f aca="false">AD25+AH25+AL25</f>
        <v>1036218.4</v>
      </c>
      <c r="AQ25" s="207" t="s">
        <v>223</v>
      </c>
      <c r="AR25" s="196" t="n">
        <v>9351.4</v>
      </c>
      <c r="AS25" s="196" t="n">
        <v>30918.4</v>
      </c>
      <c r="AT25" s="196" t="n">
        <v>21324.4</v>
      </c>
      <c r="AU25" s="196" t="n">
        <v>49</v>
      </c>
      <c r="AV25" s="196" t="n">
        <f aca="false">1004402.5-28.03</f>
        <v>1004374.47</v>
      </c>
      <c r="AW25" s="196" t="n">
        <v>8735.5</v>
      </c>
      <c r="AX25" s="186" t="n">
        <f aca="false">AV25+AW25</f>
        <v>1013109.97</v>
      </c>
      <c r="AY25" s="186" t="n">
        <f aca="false">0.055*AX23</f>
        <v>55065.66175</v>
      </c>
      <c r="AZ25" s="186" t="n">
        <f aca="false">BA25-AY25</f>
        <v>15574.05825</v>
      </c>
      <c r="BA25" s="196" t="n">
        <f aca="false">70643.7-3.98</f>
        <v>70639.72</v>
      </c>
      <c r="BB25" s="196" t="n">
        <v>2562406.7</v>
      </c>
      <c r="BC25" s="180" t="n">
        <f aca="false">L25+BA25</f>
        <v>211536.72</v>
      </c>
      <c r="BD25" s="196" t="n">
        <v>808.7</v>
      </c>
      <c r="BE25" s="196" t="n">
        <v>9828.4</v>
      </c>
      <c r="BF25" s="196" t="n">
        <v>3875</v>
      </c>
      <c r="BG25" s="196" t="n">
        <v>138877.8</v>
      </c>
      <c r="BH25" s="186" t="n">
        <f aca="false">BG25+BF25+BE25+BD25</f>
        <v>153389.9</v>
      </c>
      <c r="BI25" s="207" t="s">
        <v>223</v>
      </c>
      <c r="BJ25" s="187" t="n">
        <v>-26.41</v>
      </c>
      <c r="BK25" s="187" t="n">
        <v>11.89</v>
      </c>
      <c r="BL25" s="187" t="n">
        <v>13.59</v>
      </c>
      <c r="BM25" s="187" t="n">
        <v>9.18</v>
      </c>
      <c r="BN25" s="187" t="n">
        <v>4.27</v>
      </c>
      <c r="BO25" s="187" t="s">
        <v>204</v>
      </c>
      <c r="BP25" s="187" t="s">
        <v>204</v>
      </c>
      <c r="BQ25" s="188" t="s">
        <v>204</v>
      </c>
      <c r="BR25" s="188" t="n">
        <v>9975</v>
      </c>
      <c r="BS25" s="188" t="n">
        <v>3721</v>
      </c>
      <c r="BT25" s="187" t="n">
        <f aca="false">AP25/AV25*100</f>
        <v>103.170523639455</v>
      </c>
      <c r="BU25" s="187" t="n">
        <f aca="false">AV25/BR25</f>
        <v>100.689169924812</v>
      </c>
      <c r="BV25" s="187" t="n">
        <f aca="false">AP25/BR25</f>
        <v>103.881543859649</v>
      </c>
      <c r="BW25" s="187" t="n">
        <f aca="false">(M25+BA25)/AV25*100</f>
        <v>8.28276927429268</v>
      </c>
      <c r="BX25" s="187" t="n">
        <v>5</v>
      </c>
      <c r="BY25" s="187" t="n">
        <v>5.43</v>
      </c>
      <c r="BZ25" s="187" t="n">
        <v>9.89</v>
      </c>
      <c r="CA25" s="187" t="n">
        <f aca="false">BZ25-BY25</f>
        <v>4.46</v>
      </c>
      <c r="CB25" s="187" t="n">
        <v>9.72</v>
      </c>
      <c r="CC25" s="187" t="n">
        <v>12.12</v>
      </c>
      <c r="CD25" s="187" t="n">
        <f aca="false">CC25-CB25</f>
        <v>2.4</v>
      </c>
      <c r="CE25" s="187"/>
      <c r="CF25" s="187"/>
    </row>
    <row r="26" s="184" customFormat="true" ht="10.35" hidden="false" customHeight="true" outlineLevel="0" collapsed="false">
      <c r="I26" s="215" t="s">
        <v>224</v>
      </c>
      <c r="J26" s="190" t="n">
        <v>145099.2</v>
      </c>
      <c r="K26" s="190" t="n">
        <v>1528.4</v>
      </c>
      <c r="L26" s="190" t="n">
        <f aca="false">J26+K26</f>
        <v>146627.6</v>
      </c>
      <c r="M26" s="190" t="n">
        <v>13183.7</v>
      </c>
      <c r="N26" s="190" t="n">
        <f aca="false">L26-M26</f>
        <v>133443.9</v>
      </c>
      <c r="O26" s="190" t="n">
        <v>29795.8</v>
      </c>
      <c r="P26" s="190" t="n">
        <v>73451.5</v>
      </c>
      <c r="Q26" s="190" t="n">
        <v>99762.9</v>
      </c>
      <c r="R26" s="190" t="n">
        <v>844438.9</v>
      </c>
      <c r="S26" s="190" t="n">
        <f aca="false">Q26+R26</f>
        <v>944201.8</v>
      </c>
      <c r="T26" s="190" t="n">
        <f aca="false">P26+S26</f>
        <v>1017653.3</v>
      </c>
      <c r="U26" s="190" t="n">
        <v>652.4</v>
      </c>
      <c r="V26" s="192" t="n">
        <f aca="false">N26+Q26+U26</f>
        <v>233859.2</v>
      </c>
      <c r="W26" s="192" t="n">
        <f aca="false">R26+V26</f>
        <v>1078298.1</v>
      </c>
      <c r="X26" s="191" t="s">
        <v>204</v>
      </c>
      <c r="Y26" s="191" t="s">
        <v>204</v>
      </c>
      <c r="Z26" s="215" t="s">
        <v>224</v>
      </c>
      <c r="AA26" s="192" t="n">
        <v>0</v>
      </c>
      <c r="AB26" s="190" t="n">
        <v>18898.6</v>
      </c>
      <c r="AC26" s="190" t="n">
        <v>843077.4</v>
      </c>
      <c r="AD26" s="192" t="n">
        <f aca="false">AB26+AC26</f>
        <v>861976</v>
      </c>
      <c r="AE26" s="192" t="n">
        <v>0</v>
      </c>
      <c r="AF26" s="190" t="n">
        <v>1600.4</v>
      </c>
      <c r="AG26" s="190" t="n">
        <v>27664</v>
      </c>
      <c r="AH26" s="192" t="n">
        <f aca="false">AF26+AG26</f>
        <v>29264.4</v>
      </c>
      <c r="AI26" s="190" t="n">
        <v>16592.8</v>
      </c>
      <c r="AJ26" s="190" t="n">
        <v>144808.3</v>
      </c>
      <c r="AK26" s="190" t="n">
        <v>16590.8</v>
      </c>
      <c r="AL26" s="216" t="n">
        <f aca="false">AJ26+AK26</f>
        <v>161399.1</v>
      </c>
      <c r="AM26" s="192" t="n">
        <f aca="false">AA26+AE26+AI26</f>
        <v>16592.8</v>
      </c>
      <c r="AN26" s="192" t="n">
        <f aca="false">AB26+AF26+AJ26</f>
        <v>165307.3</v>
      </c>
      <c r="AO26" s="192" t="n">
        <f aca="false">AC26+AG26+AK26</f>
        <v>887332.2</v>
      </c>
      <c r="AP26" s="192" t="n">
        <f aca="false">AD26+AH26+AL26</f>
        <v>1052639.5</v>
      </c>
      <c r="AQ26" s="215" t="s">
        <v>224</v>
      </c>
      <c r="AR26" s="190" t="n">
        <v>10337.5</v>
      </c>
      <c r="AS26" s="190" t="n">
        <v>31698.6</v>
      </c>
      <c r="AT26" s="190" t="n">
        <v>23354.6</v>
      </c>
      <c r="AU26" s="190" t="n">
        <v>140.7</v>
      </c>
      <c r="AV26" s="190" t="n">
        <f aca="false">1017700.8-27.7</f>
        <v>1017673.1</v>
      </c>
      <c r="AW26" s="190" t="n">
        <v>8388.9</v>
      </c>
      <c r="AX26" s="192" t="n">
        <f aca="false">AV26+AW26</f>
        <v>1026062</v>
      </c>
      <c r="AY26" s="192" t="n">
        <f aca="false">0.055*AX24</f>
        <v>55189.9678</v>
      </c>
      <c r="AZ26" s="192" t="n">
        <f aca="false">BA26-AY26</f>
        <v>8569.70219999999</v>
      </c>
      <c r="BA26" s="190" t="n">
        <f aca="false">63761.6-1.93</f>
        <v>63759.67</v>
      </c>
      <c r="BB26" s="190" t="n">
        <v>2607208.9</v>
      </c>
      <c r="BC26" s="171" t="n">
        <f aca="false">L26+BA26</f>
        <v>210387.27</v>
      </c>
      <c r="BD26" s="190" t="n">
        <v>377.4</v>
      </c>
      <c r="BE26" s="190" t="n">
        <v>9488.7</v>
      </c>
      <c r="BF26" s="190" t="n">
        <v>4508.6</v>
      </c>
      <c r="BG26" s="190" t="n">
        <v>143376.8</v>
      </c>
      <c r="BH26" s="192" t="n">
        <f aca="false">BG26+BF26+BE26+BD26</f>
        <v>157751.5</v>
      </c>
      <c r="BI26" s="215" t="s">
        <v>224</v>
      </c>
      <c r="BJ26" s="193" t="n">
        <v>-21.2</v>
      </c>
      <c r="BK26" s="193" t="n">
        <v>14.62</v>
      </c>
      <c r="BL26" s="193" t="n">
        <v>14.99</v>
      </c>
      <c r="BM26" s="193" t="n">
        <v>11.03</v>
      </c>
      <c r="BN26" s="193" t="n">
        <v>6.12</v>
      </c>
      <c r="BO26" s="193" t="s">
        <v>204</v>
      </c>
      <c r="BP26" s="193" t="s">
        <v>204</v>
      </c>
      <c r="BQ26" s="193" t="s">
        <v>204</v>
      </c>
      <c r="BR26" s="194" t="n">
        <v>9981</v>
      </c>
      <c r="BS26" s="194" t="n">
        <v>3721</v>
      </c>
      <c r="BT26" s="193" t="n">
        <f aca="false">AP26/AV26*100</f>
        <v>103.435916700559</v>
      </c>
      <c r="BU26" s="193" t="n">
        <f aca="false">AV26/BR26</f>
        <v>101.96103596834</v>
      </c>
      <c r="BV26" s="193" t="n">
        <f aca="false">AP26/BR26</f>
        <v>105.464332231239</v>
      </c>
      <c r="BW26" s="193" t="n">
        <f aca="false">(M26+BA26)/AV26*100</f>
        <v>7.56071571509554</v>
      </c>
      <c r="BX26" s="193" t="n">
        <v>5</v>
      </c>
      <c r="BY26" s="193" t="n">
        <v>5.51</v>
      </c>
      <c r="BZ26" s="193" t="n">
        <v>9.96</v>
      </c>
      <c r="CA26" s="193" t="n">
        <f aca="false">BZ26-BY26</f>
        <v>4.45</v>
      </c>
      <c r="CB26" s="193" t="n">
        <v>9.99</v>
      </c>
      <c r="CC26" s="193" t="n">
        <v>12.53</v>
      </c>
      <c r="CD26" s="193" t="n">
        <f aca="false">CC26-CB26</f>
        <v>2.54</v>
      </c>
      <c r="CE26" s="187"/>
      <c r="CF26" s="187"/>
    </row>
    <row r="27" s="184" customFormat="true" ht="10.35" hidden="false" customHeight="true" outlineLevel="0" collapsed="false">
      <c r="I27" s="207" t="s">
        <v>225</v>
      </c>
      <c r="J27" s="196" t="n">
        <v>153411.2</v>
      </c>
      <c r="K27" s="196" t="n">
        <v>1529.3</v>
      </c>
      <c r="L27" s="196" t="n">
        <f aca="false">J27+K27</f>
        <v>154940.5</v>
      </c>
      <c r="M27" s="196" t="n">
        <v>14023</v>
      </c>
      <c r="N27" s="196" t="n">
        <f aca="false">L27-M27</f>
        <v>140917.5</v>
      </c>
      <c r="O27" s="196" t="n">
        <v>33411</v>
      </c>
      <c r="P27" s="196" t="n">
        <v>75790.3</v>
      </c>
      <c r="Q27" s="196" t="n">
        <v>113217.1</v>
      </c>
      <c r="R27" s="196" t="n">
        <v>855087.3</v>
      </c>
      <c r="S27" s="196" t="n">
        <f aca="false">Q27+R27</f>
        <v>968304.4</v>
      </c>
      <c r="T27" s="196" t="n">
        <f aca="false">P27+S27</f>
        <v>1044094.7</v>
      </c>
      <c r="U27" s="196" t="n">
        <v>759.1</v>
      </c>
      <c r="V27" s="186" t="n">
        <f aca="false">N27+Q27+U27</f>
        <v>254893.7</v>
      </c>
      <c r="W27" s="186" t="n">
        <f aca="false">R27+V27</f>
        <v>1109981</v>
      </c>
      <c r="X27" s="197" t="s">
        <v>204</v>
      </c>
      <c r="Y27" s="197" t="s">
        <v>204</v>
      </c>
      <c r="Z27" s="207" t="s">
        <v>225</v>
      </c>
      <c r="AA27" s="186" t="n">
        <v>0</v>
      </c>
      <c r="AB27" s="196" t="n">
        <v>18543.4</v>
      </c>
      <c r="AC27" s="196" t="n">
        <v>859131.1</v>
      </c>
      <c r="AD27" s="186" t="n">
        <f aca="false">AB27+AC27</f>
        <v>877674.5</v>
      </c>
      <c r="AE27" s="186" t="n">
        <v>0</v>
      </c>
      <c r="AF27" s="196" t="n">
        <v>1666.1</v>
      </c>
      <c r="AG27" s="196" t="n">
        <v>26533.1</v>
      </c>
      <c r="AH27" s="186" t="n">
        <f aca="false">AF27+AG27</f>
        <v>28199.2</v>
      </c>
      <c r="AI27" s="196" t="n">
        <v>17367.4</v>
      </c>
      <c r="AJ27" s="196" t="n">
        <v>152836.8</v>
      </c>
      <c r="AK27" s="196" t="n">
        <v>16721.3</v>
      </c>
      <c r="AL27" s="217" t="n">
        <f aca="false">AJ27+AK27</f>
        <v>169558.1</v>
      </c>
      <c r="AM27" s="186" t="n">
        <f aca="false">AA27+AE27+AI27</f>
        <v>17367.4</v>
      </c>
      <c r="AN27" s="186" t="n">
        <f aca="false">AB27+AF27+AJ27</f>
        <v>173046.3</v>
      </c>
      <c r="AO27" s="186" t="n">
        <f aca="false">AC27+AG27+AK27</f>
        <v>902385.5</v>
      </c>
      <c r="AP27" s="186" t="n">
        <f aca="false">AD27+AH27+AL27</f>
        <v>1075431.8</v>
      </c>
      <c r="AQ27" s="207" t="s">
        <v>225</v>
      </c>
      <c r="AR27" s="196" t="n">
        <v>9988.8</v>
      </c>
      <c r="AS27" s="196" t="n">
        <v>32329.9</v>
      </c>
      <c r="AT27" s="196" t="n">
        <v>25777.8</v>
      </c>
      <c r="AU27" s="196" t="n">
        <v>59.2</v>
      </c>
      <c r="AV27" s="196" t="n">
        <f aca="false">1044142.5-29.04</f>
        <v>1044113.46</v>
      </c>
      <c r="AW27" s="196" t="n">
        <v>7577.6</v>
      </c>
      <c r="AX27" s="186" t="n">
        <f aca="false">AV27+AW27</f>
        <v>1051691.06</v>
      </c>
      <c r="AY27" s="186" t="n">
        <f aca="false">0.055*AX25</f>
        <v>55721.04835</v>
      </c>
      <c r="AZ27" s="186" t="n">
        <f aca="false">BA27-AY27</f>
        <v>22320.84165</v>
      </c>
      <c r="BA27" s="196" t="n">
        <f aca="false">78043.4-1.51</f>
        <v>78041.89</v>
      </c>
      <c r="BB27" s="196" t="n">
        <v>2680520.5</v>
      </c>
      <c r="BC27" s="180" t="n">
        <f aca="false">L27+BA27</f>
        <v>232982.39</v>
      </c>
      <c r="BD27" s="196" t="n">
        <v>4000</v>
      </c>
      <c r="BE27" s="196" t="n">
        <v>17878.9</v>
      </c>
      <c r="BF27" s="196" t="n">
        <v>4818</v>
      </c>
      <c r="BG27" s="196" t="n">
        <v>151396</v>
      </c>
      <c r="BH27" s="186" t="n">
        <f aca="false">BG27+BF27+BE27+BD27</f>
        <v>178092.9</v>
      </c>
      <c r="BI27" s="207" t="s">
        <v>225</v>
      </c>
      <c r="BJ27" s="187" t="n">
        <v>-2.51</v>
      </c>
      <c r="BK27" s="187" t="n">
        <v>11.11</v>
      </c>
      <c r="BL27" s="187" t="n">
        <v>16.94</v>
      </c>
      <c r="BM27" s="187" t="n">
        <v>14.71</v>
      </c>
      <c r="BN27" s="187" t="n">
        <v>9.24</v>
      </c>
      <c r="BO27" s="187" t="s">
        <v>204</v>
      </c>
      <c r="BP27" s="187" t="s">
        <v>204</v>
      </c>
      <c r="BQ27" s="188" t="s">
        <v>204</v>
      </c>
      <c r="BR27" s="188" t="n">
        <v>10114</v>
      </c>
      <c r="BS27" s="188" t="n">
        <v>3741</v>
      </c>
      <c r="BT27" s="187" t="n">
        <f aca="false">AP27/AV27*100</f>
        <v>102.999515014393</v>
      </c>
      <c r="BU27" s="187" t="n">
        <f aca="false">AV27/BR27</f>
        <v>103.234473007712</v>
      </c>
      <c r="BV27" s="187" t="n">
        <f aca="false">AP27/BR27</f>
        <v>106.331006525608</v>
      </c>
      <c r="BW27" s="187" t="n">
        <f aca="false">(M27+BA27)/AV27*100</f>
        <v>8.81751778202342</v>
      </c>
      <c r="BX27" s="187" t="n">
        <v>5</v>
      </c>
      <c r="BY27" s="187" t="n">
        <v>5.5</v>
      </c>
      <c r="BZ27" s="187" t="n">
        <v>9.95</v>
      </c>
      <c r="CA27" s="187" t="n">
        <f aca="false">BZ27-BY27</f>
        <v>4.45</v>
      </c>
      <c r="CB27" s="187" t="n">
        <v>10.14</v>
      </c>
      <c r="CC27" s="187" t="n">
        <v>12.67</v>
      </c>
      <c r="CD27" s="187" t="n">
        <f aca="false">CC27-CB27</f>
        <v>2.53</v>
      </c>
      <c r="CE27" s="187"/>
      <c r="CF27" s="187"/>
    </row>
    <row r="28" s="218" customFormat="true" ht="10.35" hidden="false" customHeight="true" outlineLevel="0" collapsed="false">
      <c r="I28" s="219" t="s">
        <v>226</v>
      </c>
      <c r="J28" s="201" t="n">
        <f aca="false">J40</f>
        <v>168858.3</v>
      </c>
      <c r="K28" s="201" t="n">
        <f aca="false">K40</f>
        <v>1528.8</v>
      </c>
      <c r="L28" s="201" t="n">
        <f aca="false">L40</f>
        <v>170387.1</v>
      </c>
      <c r="M28" s="201" t="n">
        <f aca="false">M40</f>
        <v>16100.1</v>
      </c>
      <c r="N28" s="201" t="n">
        <f aca="false">N40</f>
        <v>154287</v>
      </c>
      <c r="O28" s="201" t="n">
        <f aca="false">O40</f>
        <v>39425.5</v>
      </c>
      <c r="P28" s="201" t="n">
        <f aca="false">P40</f>
        <v>82779.3</v>
      </c>
      <c r="Q28" s="201" t="n">
        <f aca="false">Q40</f>
        <v>118217.9</v>
      </c>
      <c r="R28" s="201" t="n">
        <f aca="false">R40</f>
        <v>946318.1</v>
      </c>
      <c r="S28" s="201" t="n">
        <f aca="false">S40</f>
        <v>1064536</v>
      </c>
      <c r="T28" s="201" t="n">
        <f aca="false">T40</f>
        <v>1147315.3</v>
      </c>
      <c r="U28" s="201" t="n">
        <f aca="false">U40</f>
        <v>788.5</v>
      </c>
      <c r="V28" s="201" t="n">
        <f aca="false">V40</f>
        <v>273293.4</v>
      </c>
      <c r="W28" s="201" t="n">
        <f aca="false">W40</f>
        <v>1219611.5</v>
      </c>
      <c r="X28" s="202" t="s">
        <v>204</v>
      </c>
      <c r="Y28" s="202" t="s">
        <v>204</v>
      </c>
      <c r="Z28" s="219" t="s">
        <v>226</v>
      </c>
      <c r="AA28" s="201" t="n">
        <f aca="false">AA40</f>
        <v>0</v>
      </c>
      <c r="AB28" s="201" t="n">
        <f aca="false">AB40</f>
        <v>20919.7</v>
      </c>
      <c r="AC28" s="201" t="n">
        <f aca="false">AC40</f>
        <v>959297.9</v>
      </c>
      <c r="AD28" s="201" t="n">
        <f aca="false">AD40</f>
        <v>980217.6</v>
      </c>
      <c r="AE28" s="201" t="n">
        <f aca="false">AE40</f>
        <v>0</v>
      </c>
      <c r="AF28" s="201" t="n">
        <f aca="false">AF40</f>
        <v>1846.4</v>
      </c>
      <c r="AG28" s="201" t="n">
        <f aca="false">AG40</f>
        <v>28721.3</v>
      </c>
      <c r="AH28" s="201" t="n">
        <f aca="false">AH40</f>
        <v>30567.7</v>
      </c>
      <c r="AI28" s="201" t="n">
        <f aca="false">AI40</f>
        <v>26155.9</v>
      </c>
      <c r="AJ28" s="201" t="n">
        <f aca="false">AJ40</f>
        <v>171543.8</v>
      </c>
      <c r="AK28" s="201" t="n">
        <f aca="false">AK40</f>
        <v>17447.1</v>
      </c>
      <c r="AL28" s="201" t="n">
        <f aca="false">AL40</f>
        <v>188990.9</v>
      </c>
      <c r="AM28" s="201" t="n">
        <f aca="false">AM40</f>
        <v>26155.9</v>
      </c>
      <c r="AN28" s="201" t="n">
        <f aca="false">AN40</f>
        <v>194309.9</v>
      </c>
      <c r="AO28" s="201" t="n">
        <f aca="false">AO40</f>
        <v>1005466.3</v>
      </c>
      <c r="AP28" s="201" t="n">
        <f aca="false">AP40</f>
        <v>1199776.2</v>
      </c>
      <c r="AQ28" s="219" t="s">
        <v>226</v>
      </c>
      <c r="AR28" s="201" t="n">
        <f aca="false">AR40</f>
        <v>10348.2</v>
      </c>
      <c r="AS28" s="201" t="n">
        <f aca="false">AS40</f>
        <v>35369.8</v>
      </c>
      <c r="AT28" s="201" t="n">
        <f aca="false">AT40</f>
        <v>35152.7</v>
      </c>
      <c r="AU28" s="201" t="n">
        <f aca="false">AU40</f>
        <v>146.6</v>
      </c>
      <c r="AV28" s="201" t="n">
        <f aca="false">AV40</f>
        <v>1147338.68</v>
      </c>
      <c r="AW28" s="201" t="n">
        <f aca="false">AW40</f>
        <v>7705.6</v>
      </c>
      <c r="AX28" s="201" t="n">
        <f aca="false">AX40</f>
        <v>1155044.28</v>
      </c>
      <c r="AY28" s="201" t="n">
        <f aca="false">AY40</f>
        <v>60993.16245</v>
      </c>
      <c r="AZ28" s="201" t="n">
        <f aca="false">AZ40</f>
        <v>13942.62885</v>
      </c>
      <c r="BA28" s="201" t="n">
        <f aca="false">BA40</f>
        <v>74935.7913</v>
      </c>
      <c r="BB28" s="201" t="n">
        <f aca="false">BB40</f>
        <v>3029188.4</v>
      </c>
      <c r="BC28" s="201" t="n">
        <f aca="false">BC40</f>
        <v>245322.8913</v>
      </c>
      <c r="BD28" s="201" t="n">
        <f aca="false">BD40</f>
        <v>1422.9</v>
      </c>
      <c r="BE28" s="201" t="n">
        <f aca="false">BE40</f>
        <v>30233</v>
      </c>
      <c r="BF28" s="201" t="n">
        <f aca="false">BF40</f>
        <v>4900.8</v>
      </c>
      <c r="BG28" s="201" t="n">
        <f aca="false">BG40</f>
        <v>168433.9</v>
      </c>
      <c r="BH28" s="201" t="n">
        <f aca="false">BH40</f>
        <v>204990.6</v>
      </c>
      <c r="BI28" s="219" t="s">
        <v>226</v>
      </c>
      <c r="BJ28" s="203" t="n">
        <f aca="false">BJ40</f>
        <v>19.37</v>
      </c>
      <c r="BK28" s="203" t="n">
        <f aca="false">BK40</f>
        <v>21.64</v>
      </c>
      <c r="BL28" s="203" t="n">
        <f aca="false">BL40</f>
        <v>11.32</v>
      </c>
      <c r="BM28" s="203" t="n">
        <f aca="false">BM40</f>
        <v>12.26</v>
      </c>
      <c r="BN28" s="203" t="n">
        <f aca="false">BN40</f>
        <v>9.88</v>
      </c>
      <c r="BO28" s="204" t="n">
        <v>2.08</v>
      </c>
      <c r="BP28" s="204" t="s">
        <v>204</v>
      </c>
      <c r="BQ28" s="205" t="s">
        <v>204</v>
      </c>
      <c r="BR28" s="206" t="n">
        <f aca="false">BR40</f>
        <v>10396</v>
      </c>
      <c r="BS28" s="206" t="n">
        <f aca="false">BS40</f>
        <v>3759</v>
      </c>
      <c r="BT28" s="203" t="n">
        <f aca="false">BT40</f>
        <v>104.570361037597</v>
      </c>
      <c r="BU28" s="203" t="n">
        <f aca="false">BU40</f>
        <v>110.363474413236</v>
      </c>
      <c r="BV28" s="203" t="n">
        <f aca="false">BV40</f>
        <v>115.407483647557</v>
      </c>
      <c r="BW28" s="203" t="n">
        <f aca="false">BW40</f>
        <v>7.93452647303759</v>
      </c>
      <c r="BX28" s="203" t="n">
        <f aca="false">BX40</f>
        <v>5</v>
      </c>
      <c r="BY28" s="203" t="n">
        <f aca="false">BY40</f>
        <v>5.43</v>
      </c>
      <c r="BZ28" s="203" t="n">
        <f aca="false">BZ40</f>
        <v>9.58</v>
      </c>
      <c r="CA28" s="203" t="n">
        <f aca="false">CA40</f>
        <v>4.15</v>
      </c>
      <c r="CB28" s="203" t="n">
        <f aca="false">CB40</f>
        <v>10.56</v>
      </c>
      <c r="CC28" s="203" t="n">
        <f aca="false">CC40</f>
        <v>13</v>
      </c>
      <c r="CD28" s="203" t="n">
        <f aca="false">CD40</f>
        <v>2.44</v>
      </c>
    </row>
    <row r="29" s="220" customFormat="true" ht="10.35" hidden="false" customHeight="true" outlineLevel="0" collapsed="false">
      <c r="A29" s="218"/>
      <c r="B29" s="218"/>
      <c r="C29" s="218"/>
      <c r="D29" s="218"/>
      <c r="E29" s="218"/>
      <c r="F29" s="218"/>
      <c r="G29" s="218"/>
      <c r="H29" s="218"/>
      <c r="I29" s="207" t="s">
        <v>214</v>
      </c>
      <c r="J29" s="196" t="n">
        <v>149492.8</v>
      </c>
      <c r="K29" s="196" t="n">
        <v>1527</v>
      </c>
      <c r="L29" s="196" t="n">
        <f aca="false">J29+K29</f>
        <v>151019.8</v>
      </c>
      <c r="M29" s="196" t="n">
        <v>13317.5</v>
      </c>
      <c r="N29" s="196" t="n">
        <f aca="false">L29-M29</f>
        <v>137702.3</v>
      </c>
      <c r="O29" s="196" t="n">
        <v>30503.1</v>
      </c>
      <c r="P29" s="196" t="n">
        <v>70875.7</v>
      </c>
      <c r="Q29" s="196" t="n">
        <v>106870.3</v>
      </c>
      <c r="R29" s="196" t="n">
        <v>860756.6</v>
      </c>
      <c r="S29" s="196" t="n">
        <f aca="false">Q29+R29</f>
        <v>967626.9</v>
      </c>
      <c r="T29" s="196" t="n">
        <f aca="false">P29+S29</f>
        <v>1038502.6</v>
      </c>
      <c r="U29" s="196" t="n">
        <v>831.5</v>
      </c>
      <c r="V29" s="196" t="n">
        <f aca="false">N29+Q29+U29</f>
        <v>245404.1</v>
      </c>
      <c r="W29" s="196" t="n">
        <f aca="false">R29+V29</f>
        <v>1106160.7</v>
      </c>
      <c r="X29" s="197" t="s">
        <v>204</v>
      </c>
      <c r="Y29" s="197" t="s">
        <v>204</v>
      </c>
      <c r="Z29" s="207" t="s">
        <v>214</v>
      </c>
      <c r="AA29" s="186" t="n">
        <v>0</v>
      </c>
      <c r="AB29" s="196" t="n">
        <v>19059.3</v>
      </c>
      <c r="AC29" s="196" t="n">
        <v>854121.1</v>
      </c>
      <c r="AD29" s="196" t="n">
        <f aca="false">AB29+AC29</f>
        <v>873180.4</v>
      </c>
      <c r="AE29" s="186" t="n">
        <v>0</v>
      </c>
      <c r="AF29" s="196" t="n">
        <v>1765.2</v>
      </c>
      <c r="AG29" s="196" t="n">
        <v>25493.3</v>
      </c>
      <c r="AH29" s="196" t="n">
        <f aca="false">AF29+AG29</f>
        <v>27258.5</v>
      </c>
      <c r="AI29" s="196" t="n">
        <v>16928.1</v>
      </c>
      <c r="AJ29" s="196" t="n">
        <v>159910.7</v>
      </c>
      <c r="AK29" s="196" t="n">
        <v>16754.3</v>
      </c>
      <c r="AL29" s="196" t="n">
        <f aca="false">AJ29+AK29</f>
        <v>176665</v>
      </c>
      <c r="AM29" s="196" t="n">
        <f aca="false">AA29+AE29+AI29</f>
        <v>16928.1</v>
      </c>
      <c r="AN29" s="196" t="n">
        <f aca="false">AB29+AF29+AJ29</f>
        <v>180735.2</v>
      </c>
      <c r="AO29" s="196" t="n">
        <f aca="false">AC29+AG29+AK29</f>
        <v>896368.7</v>
      </c>
      <c r="AP29" s="196" t="n">
        <f aca="false">AD29+AH29+AL29</f>
        <v>1077103.9</v>
      </c>
      <c r="AQ29" s="207" t="s">
        <v>214</v>
      </c>
      <c r="AR29" s="196" t="n">
        <v>9546.6</v>
      </c>
      <c r="AS29" s="196" t="n">
        <v>32179.5</v>
      </c>
      <c r="AT29" s="196" t="n">
        <v>24307.9</v>
      </c>
      <c r="AU29" s="196" t="n">
        <v>57.3</v>
      </c>
      <c r="AV29" s="196" t="n">
        <f aca="false">1038550.5-28.02</f>
        <v>1038522.48</v>
      </c>
      <c r="AW29" s="196" t="n">
        <v>7473.5</v>
      </c>
      <c r="AX29" s="196" t="n">
        <f aca="false">AV29+AW29</f>
        <v>1045995.98</v>
      </c>
      <c r="AY29" s="196" t="n">
        <f aca="false">0.055*AX26</f>
        <v>56433.41</v>
      </c>
      <c r="AZ29" s="196" t="n">
        <f aca="false">BA29-AY29</f>
        <v>12982.2</v>
      </c>
      <c r="BA29" s="196" t="n">
        <f aca="false">69416.6-0.99</f>
        <v>69415.61</v>
      </c>
      <c r="BB29" s="196" t="n">
        <v>2714235.3</v>
      </c>
      <c r="BC29" s="196" t="n">
        <f aca="false">L29+BA29</f>
        <v>220435.41</v>
      </c>
      <c r="BD29" s="196" t="n">
        <v>0</v>
      </c>
      <c r="BE29" s="196" t="n">
        <v>14845.9</v>
      </c>
      <c r="BF29" s="196" t="n">
        <v>5138</v>
      </c>
      <c r="BG29" s="196" t="n">
        <v>158469.4</v>
      </c>
      <c r="BH29" s="196" t="n">
        <f aca="false">BG29+BF29+BE29+BD29</f>
        <v>178453.3</v>
      </c>
      <c r="BI29" s="207" t="s">
        <v>214</v>
      </c>
      <c r="BJ29" s="187" t="n">
        <v>2.41</v>
      </c>
      <c r="BK29" s="187" t="n">
        <v>1.48</v>
      </c>
      <c r="BL29" s="187" t="n">
        <v>-0.67</v>
      </c>
      <c r="BM29" s="187" t="n">
        <v>-0.34</v>
      </c>
      <c r="BN29" s="187" t="n">
        <v>-0.34</v>
      </c>
      <c r="BO29" s="187" t="s">
        <v>204</v>
      </c>
      <c r="BP29" s="187" t="s">
        <v>204</v>
      </c>
      <c r="BQ29" s="188" t="s">
        <v>204</v>
      </c>
      <c r="BR29" s="188" t="n">
        <v>10131</v>
      </c>
      <c r="BS29" s="188" t="n">
        <v>3741</v>
      </c>
      <c r="BT29" s="187" t="n">
        <f aca="false">AP29/AV29*100</f>
        <v>103.71502983739</v>
      </c>
      <c r="BU29" s="187" t="n">
        <f aca="false">AV29/BR29</f>
        <v>102.509375185076</v>
      </c>
      <c r="BV29" s="187" t="n">
        <f aca="false">AP29/BR29</f>
        <v>106.317629059323</v>
      </c>
      <c r="BW29" s="187" t="n">
        <f aca="false">(M29+BA29)/AV29*100</f>
        <v>7.96642456887404</v>
      </c>
      <c r="BX29" s="187" t="n">
        <v>5</v>
      </c>
      <c r="BY29" s="187" t="n">
        <v>5.4</v>
      </c>
      <c r="BZ29" s="187" t="n">
        <v>9.71</v>
      </c>
      <c r="CA29" s="187" t="n">
        <f aca="false">BZ29-BY29</f>
        <v>4.31</v>
      </c>
      <c r="CB29" s="187" t="n">
        <v>10.0946338</v>
      </c>
      <c r="CC29" s="187" t="n">
        <v>12.8481677</v>
      </c>
      <c r="CD29" s="187" t="n">
        <f aca="false">CC29-CB29</f>
        <v>2.7535339</v>
      </c>
    </row>
    <row r="30" s="220" customFormat="true" ht="10.35" hidden="false" customHeight="true" outlineLevel="0" collapsed="false">
      <c r="A30" s="218"/>
      <c r="B30" s="218"/>
      <c r="C30" s="218"/>
      <c r="D30" s="218"/>
      <c r="E30" s="218"/>
      <c r="F30" s="218"/>
      <c r="G30" s="218"/>
      <c r="H30" s="218"/>
      <c r="I30" s="215" t="s">
        <v>215</v>
      </c>
      <c r="J30" s="190" t="n">
        <v>166059.1</v>
      </c>
      <c r="K30" s="190" t="n">
        <v>1527.6</v>
      </c>
      <c r="L30" s="190" t="n">
        <f aca="false">J30+K30</f>
        <v>167586.7</v>
      </c>
      <c r="M30" s="190" t="n">
        <v>14192.1</v>
      </c>
      <c r="N30" s="190" t="n">
        <f aca="false">L30-M30</f>
        <v>153394.6</v>
      </c>
      <c r="O30" s="190" t="n">
        <v>31471.8</v>
      </c>
      <c r="P30" s="190" t="n">
        <v>71608</v>
      </c>
      <c r="Q30" s="190" t="n">
        <v>103018.3</v>
      </c>
      <c r="R30" s="190" t="n">
        <v>866797.8</v>
      </c>
      <c r="S30" s="190" t="n">
        <f aca="false">Q30+R30</f>
        <v>969816.1</v>
      </c>
      <c r="T30" s="190" t="n">
        <f aca="false">P30+S30</f>
        <v>1041424.1</v>
      </c>
      <c r="U30" s="190" t="n">
        <v>743.6</v>
      </c>
      <c r="V30" s="190" t="n">
        <f aca="false">N30+Q30+U30</f>
        <v>257156.5</v>
      </c>
      <c r="W30" s="190" t="n">
        <f aca="false">R30+V30</f>
        <v>1123954.3</v>
      </c>
      <c r="X30" s="190" t="s">
        <v>204</v>
      </c>
      <c r="Y30" s="190" t="s">
        <v>204</v>
      </c>
      <c r="Z30" s="215" t="s">
        <v>215</v>
      </c>
      <c r="AA30" s="192" t="n">
        <v>0</v>
      </c>
      <c r="AB30" s="190" t="n">
        <v>18699.6</v>
      </c>
      <c r="AC30" s="190" t="n">
        <v>862163.9</v>
      </c>
      <c r="AD30" s="190" t="n">
        <f aca="false">AB30+AC30</f>
        <v>880863.5</v>
      </c>
      <c r="AE30" s="192" t="n">
        <v>0</v>
      </c>
      <c r="AF30" s="190" t="n">
        <v>1983.3</v>
      </c>
      <c r="AG30" s="190" t="n">
        <v>26084.8</v>
      </c>
      <c r="AH30" s="190" t="n">
        <f aca="false">AF30+AG30</f>
        <v>28068.1</v>
      </c>
      <c r="AI30" s="190" t="n">
        <v>18768.1</v>
      </c>
      <c r="AJ30" s="190" t="n">
        <v>158847.9</v>
      </c>
      <c r="AK30" s="190" t="n">
        <v>16866.5</v>
      </c>
      <c r="AL30" s="190" t="n">
        <f aca="false">AJ30+AK30</f>
        <v>175714.4</v>
      </c>
      <c r="AM30" s="190" t="n">
        <f aca="false">AA30+AE30+AI30</f>
        <v>18768.1</v>
      </c>
      <c r="AN30" s="190" t="n">
        <f aca="false">AB30+AF30+AJ30</f>
        <v>179530.8</v>
      </c>
      <c r="AO30" s="190" t="n">
        <f aca="false">AC30+AG30+AK30</f>
        <v>905115.2</v>
      </c>
      <c r="AP30" s="190" t="n">
        <f aca="false">AD30+AH30+AL30</f>
        <v>1084646</v>
      </c>
      <c r="AQ30" s="215" t="s">
        <v>215</v>
      </c>
      <c r="AR30" s="190" t="n">
        <v>8148.7</v>
      </c>
      <c r="AS30" s="190" t="n">
        <v>31895.5</v>
      </c>
      <c r="AT30" s="190" t="n">
        <v>31233.6</v>
      </c>
      <c r="AU30" s="190" t="n">
        <v>46.3</v>
      </c>
      <c r="AV30" s="190" t="n">
        <f aca="false">1041472-27.72</f>
        <v>1041444.28</v>
      </c>
      <c r="AW30" s="190" t="n">
        <v>9970.3</v>
      </c>
      <c r="AX30" s="190" t="n">
        <f aca="false">AV30+AW30</f>
        <v>1051414.58</v>
      </c>
      <c r="AY30" s="190" t="n">
        <f aca="false">0.055*AX27</f>
        <v>57843.0083</v>
      </c>
      <c r="AZ30" s="190" t="n">
        <f aca="false">BA30-AY30</f>
        <v>8196.8317</v>
      </c>
      <c r="BA30" s="190" t="n">
        <f aca="false">66040.5-0.66</f>
        <v>66039.84</v>
      </c>
      <c r="BB30" s="190" t="n">
        <v>2758949.3</v>
      </c>
      <c r="BC30" s="190" t="n">
        <f aca="false">L30+BA30</f>
        <v>233626.54</v>
      </c>
      <c r="BD30" s="190" t="n">
        <v>3988.8</v>
      </c>
      <c r="BE30" s="190" t="n">
        <v>14888.3</v>
      </c>
      <c r="BF30" s="190" t="n">
        <v>5056.2</v>
      </c>
      <c r="BG30" s="190" t="n">
        <v>157407.7</v>
      </c>
      <c r="BH30" s="190" t="n">
        <f aca="false">BG30+BF30+BE30+BD30</f>
        <v>181341</v>
      </c>
      <c r="BI30" s="215" t="s">
        <v>215</v>
      </c>
      <c r="BJ30" s="193" t="n">
        <v>7.16</v>
      </c>
      <c r="BK30" s="193" t="n">
        <v>1.18</v>
      </c>
      <c r="BL30" s="193" t="n">
        <v>0.29</v>
      </c>
      <c r="BM30" s="193" t="n">
        <v>0.95</v>
      </c>
      <c r="BN30" s="193" t="n">
        <v>1.26</v>
      </c>
      <c r="BO30" s="193" t="s">
        <v>204</v>
      </c>
      <c r="BP30" s="193" t="s">
        <v>204</v>
      </c>
      <c r="BQ30" s="194" t="s">
        <v>204</v>
      </c>
      <c r="BR30" s="194" t="n">
        <v>10143</v>
      </c>
      <c r="BS30" s="194" t="n">
        <v>3741</v>
      </c>
      <c r="BT30" s="193" t="n">
        <f aca="false">AP30/AV30*100</f>
        <v>104.148250735027</v>
      </c>
      <c r="BU30" s="193" t="n">
        <f aca="false">AV30/BR30</f>
        <v>102.676158927339</v>
      </c>
      <c r="BV30" s="193" t="n">
        <f aca="false">AP30/BR30</f>
        <v>106.93542344474</v>
      </c>
      <c r="BW30" s="193" t="n">
        <f aca="false">(M30+BA30)/AV30*100</f>
        <v>7.70391095719494</v>
      </c>
      <c r="BX30" s="193" t="n">
        <v>5</v>
      </c>
      <c r="BY30" s="193" t="n">
        <v>5.36</v>
      </c>
      <c r="BZ30" s="193" t="n">
        <v>9.63</v>
      </c>
      <c r="CA30" s="193" t="n">
        <f aca="false">BZ30-BY30</f>
        <v>4.27</v>
      </c>
      <c r="CB30" s="193" t="n">
        <v>9.98</v>
      </c>
      <c r="CC30" s="193" t="n">
        <v>12.86</v>
      </c>
      <c r="CD30" s="193" t="n">
        <f aca="false">CC30-CB30</f>
        <v>2.88</v>
      </c>
    </row>
    <row r="31" s="220" customFormat="true" ht="10.35" hidden="false" customHeight="true" outlineLevel="0" collapsed="false">
      <c r="A31" s="218"/>
      <c r="B31" s="218"/>
      <c r="C31" s="218"/>
      <c r="D31" s="218"/>
      <c r="E31" s="218"/>
      <c r="F31" s="218"/>
      <c r="G31" s="218"/>
      <c r="H31" s="218"/>
      <c r="I31" s="207" t="s">
        <v>216</v>
      </c>
      <c r="J31" s="196" t="n">
        <v>153996</v>
      </c>
      <c r="K31" s="196" t="n">
        <v>1525.4</v>
      </c>
      <c r="L31" s="196" t="n">
        <f aca="false">J31+K31</f>
        <v>155521.4</v>
      </c>
      <c r="M31" s="196" t="n">
        <v>14502.5</v>
      </c>
      <c r="N31" s="196" t="n">
        <f aca="false">L31-M31</f>
        <v>141018.9</v>
      </c>
      <c r="O31" s="196" t="n">
        <v>30922.9</v>
      </c>
      <c r="P31" s="196" t="n">
        <v>71586.9</v>
      </c>
      <c r="Q31" s="196" t="n">
        <v>103162.1</v>
      </c>
      <c r="R31" s="196" t="n">
        <v>873958.6</v>
      </c>
      <c r="S31" s="196" t="n">
        <f aca="false">Q31+R31</f>
        <v>977120.7</v>
      </c>
      <c r="T31" s="196" t="n">
        <f aca="false">P31+S31</f>
        <v>1048707.6</v>
      </c>
      <c r="U31" s="196" t="n">
        <v>755</v>
      </c>
      <c r="V31" s="196" t="n">
        <f aca="false">N31+Q31+U31</f>
        <v>244936</v>
      </c>
      <c r="W31" s="196" t="n">
        <f aca="false">R31+V31</f>
        <v>1118894.6</v>
      </c>
      <c r="X31" s="196" t="s">
        <v>204</v>
      </c>
      <c r="Y31" s="196" t="s">
        <v>204</v>
      </c>
      <c r="Z31" s="207" t="s">
        <v>216</v>
      </c>
      <c r="AA31" s="186" t="n">
        <v>0</v>
      </c>
      <c r="AB31" s="196" t="n">
        <v>18624.4</v>
      </c>
      <c r="AC31" s="196" t="n">
        <v>872385</v>
      </c>
      <c r="AD31" s="196" t="n">
        <f aca="false">AB31+AC31</f>
        <v>891009.4</v>
      </c>
      <c r="AE31" s="186" t="n">
        <v>0</v>
      </c>
      <c r="AF31" s="196" t="n">
        <v>1875.1</v>
      </c>
      <c r="AG31" s="196" t="n">
        <v>24361.4</v>
      </c>
      <c r="AH31" s="196" t="n">
        <f aca="false">AF31+AG31</f>
        <v>26236.5</v>
      </c>
      <c r="AI31" s="196" t="n">
        <v>18777.5</v>
      </c>
      <c r="AJ31" s="196" t="n">
        <v>160233.7</v>
      </c>
      <c r="AK31" s="196" t="n">
        <v>16995.9</v>
      </c>
      <c r="AL31" s="196" t="n">
        <f aca="false">AJ31+AK31</f>
        <v>177229.6</v>
      </c>
      <c r="AM31" s="196" t="n">
        <f aca="false">AA31+AE31+AI31</f>
        <v>18777.5</v>
      </c>
      <c r="AN31" s="196" t="n">
        <f aca="false">AB31+AF31+AJ31</f>
        <v>180733.2</v>
      </c>
      <c r="AO31" s="196" t="n">
        <f aca="false">AC31+AG31+AK31</f>
        <v>913742.3</v>
      </c>
      <c r="AP31" s="196" t="n">
        <f aca="false">AD31+AH31+AL31</f>
        <v>1094475.5</v>
      </c>
      <c r="AQ31" s="207" t="s">
        <v>216</v>
      </c>
      <c r="AR31" s="196" t="n">
        <v>8587.4</v>
      </c>
      <c r="AS31" s="196" t="n">
        <v>31971</v>
      </c>
      <c r="AT31" s="196" t="n">
        <v>28484.9</v>
      </c>
      <c r="AU31" s="196" t="n">
        <v>52.9</v>
      </c>
      <c r="AV31" s="196" t="n">
        <f aca="false">1048755.5-14.3</f>
        <v>1048741.2</v>
      </c>
      <c r="AW31" s="196" t="n">
        <v>8118.6</v>
      </c>
      <c r="AX31" s="196" t="n">
        <f aca="false">AV31+AW31</f>
        <v>1056859.8</v>
      </c>
      <c r="AY31" s="196" t="n">
        <f aca="false">0.055*AX29</f>
        <v>57529.7789</v>
      </c>
      <c r="AZ31" s="196" t="n">
        <f aca="false">BA31-AY31</f>
        <v>14680.3611</v>
      </c>
      <c r="BA31" s="196" t="n">
        <f aca="false">72210.8-0.66</f>
        <v>72210.14</v>
      </c>
      <c r="BB31" s="196" t="n">
        <v>2779139.5</v>
      </c>
      <c r="BC31" s="196" t="n">
        <f aca="false">L31+BA31</f>
        <v>227731.54</v>
      </c>
      <c r="BD31" s="196" t="n">
        <v>0</v>
      </c>
      <c r="BE31" s="196" t="n">
        <v>14375</v>
      </c>
      <c r="BF31" s="196" t="n">
        <v>4661.7</v>
      </c>
      <c r="BG31" s="196" t="n">
        <v>158802.4</v>
      </c>
      <c r="BH31" s="196" t="n">
        <f aca="false">BG31+BF31+BE31+BD31</f>
        <v>177839.1</v>
      </c>
      <c r="BI31" s="207" t="s">
        <v>216</v>
      </c>
      <c r="BJ31" s="187" t="n">
        <v>0.84</v>
      </c>
      <c r="BK31" s="187" t="n">
        <v>2.25</v>
      </c>
      <c r="BL31" s="187" t="n">
        <v>1.24</v>
      </c>
      <c r="BM31" s="187" t="n">
        <v>1.22</v>
      </c>
      <c r="BN31" s="187" t="n">
        <v>0.8</v>
      </c>
      <c r="BO31" s="187" t="s">
        <v>204</v>
      </c>
      <c r="BP31" s="187" t="s">
        <v>204</v>
      </c>
      <c r="BQ31" s="188" t="s">
        <v>204</v>
      </c>
      <c r="BR31" s="188" t="n">
        <v>10159</v>
      </c>
      <c r="BS31" s="188" t="n">
        <v>3743</v>
      </c>
      <c r="BT31" s="187" t="n">
        <f aca="false">AP31/AV31*100</f>
        <v>104.360875686013</v>
      </c>
      <c r="BU31" s="187" t="n">
        <f aca="false">AV31/BR31</f>
        <v>103.232719755881</v>
      </c>
      <c r="BV31" s="187" t="n">
        <f aca="false">AP31/BR31</f>
        <v>107.734570331726</v>
      </c>
      <c r="BW31" s="187" t="n">
        <f aca="false">(M31+BA31)/AV31*100</f>
        <v>8.26825912818148</v>
      </c>
      <c r="BX31" s="187" t="n">
        <v>5</v>
      </c>
      <c r="BY31" s="187" t="n">
        <v>5.27</v>
      </c>
      <c r="BZ31" s="187" t="n">
        <v>9.54</v>
      </c>
      <c r="CA31" s="187" t="n">
        <f aca="false">BZ31-BY31</f>
        <v>4.27</v>
      </c>
      <c r="CB31" s="187" t="n">
        <v>9.88</v>
      </c>
      <c r="CC31" s="187" t="n">
        <v>12.79</v>
      </c>
      <c r="CD31" s="187" t="n">
        <f aca="false">CC31-CB31</f>
        <v>2.91</v>
      </c>
    </row>
    <row r="32" s="220" customFormat="true" ht="10.35" hidden="false" customHeight="true" outlineLevel="0" collapsed="false">
      <c r="A32" s="218"/>
      <c r="B32" s="218"/>
      <c r="C32" s="218"/>
      <c r="D32" s="218"/>
      <c r="E32" s="218"/>
      <c r="F32" s="218"/>
      <c r="G32" s="218"/>
      <c r="H32" s="218"/>
      <c r="I32" s="215" t="s">
        <v>217</v>
      </c>
      <c r="J32" s="190" t="n">
        <v>150900.6</v>
      </c>
      <c r="K32" s="190" t="n">
        <v>1523.6</v>
      </c>
      <c r="L32" s="190" t="n">
        <f aca="false">J32+K32</f>
        <v>152424.2</v>
      </c>
      <c r="M32" s="190" t="n">
        <v>13346.1</v>
      </c>
      <c r="N32" s="190" t="n">
        <f aca="false">L32-M32</f>
        <v>139078.1</v>
      </c>
      <c r="O32" s="190" t="n">
        <v>32478.1</v>
      </c>
      <c r="P32" s="190" t="n">
        <v>75151.1</v>
      </c>
      <c r="Q32" s="190" t="n">
        <v>104949.5</v>
      </c>
      <c r="R32" s="190" t="n">
        <v>881083.1</v>
      </c>
      <c r="S32" s="190" t="n">
        <f aca="false">Q32+R32</f>
        <v>986032.6</v>
      </c>
      <c r="T32" s="190" t="n">
        <f aca="false">P32+S32</f>
        <v>1061183.7</v>
      </c>
      <c r="U32" s="190" t="n">
        <v>714.3</v>
      </c>
      <c r="V32" s="190" t="n">
        <f aca="false">N32+Q32+U32</f>
        <v>244741.9</v>
      </c>
      <c r="W32" s="190" t="n">
        <f aca="false">R32+V32</f>
        <v>1125825</v>
      </c>
      <c r="X32" s="190" t="s">
        <v>204</v>
      </c>
      <c r="Y32" s="190" t="s">
        <v>204</v>
      </c>
      <c r="Z32" s="215" t="s">
        <v>217</v>
      </c>
      <c r="AA32" s="192" t="n">
        <v>0</v>
      </c>
      <c r="AB32" s="190" t="n">
        <v>18982.5</v>
      </c>
      <c r="AC32" s="190" t="n">
        <v>885427.1</v>
      </c>
      <c r="AD32" s="190" t="n">
        <f aca="false">AB32+AC32</f>
        <v>904409.6</v>
      </c>
      <c r="AE32" s="192" t="n">
        <v>0</v>
      </c>
      <c r="AF32" s="190" t="n">
        <v>1820.8</v>
      </c>
      <c r="AG32" s="190" t="n">
        <v>24924</v>
      </c>
      <c r="AH32" s="190" t="n">
        <f aca="false">AF32+AG32</f>
        <v>26744.8</v>
      </c>
      <c r="AI32" s="190" t="n">
        <v>19271.9</v>
      </c>
      <c r="AJ32" s="190" t="n">
        <v>159600.1</v>
      </c>
      <c r="AK32" s="190" t="n">
        <v>17024.9</v>
      </c>
      <c r="AL32" s="190" t="n">
        <f aca="false">AJ32+AK32</f>
        <v>176625</v>
      </c>
      <c r="AM32" s="190" t="n">
        <f aca="false">AA32+AE32+AI32</f>
        <v>19271.9</v>
      </c>
      <c r="AN32" s="190" t="n">
        <f aca="false">AB32+AF32+AJ32</f>
        <v>180403.4</v>
      </c>
      <c r="AO32" s="190" t="n">
        <f aca="false">AC32+AG32+AK32</f>
        <v>927376</v>
      </c>
      <c r="AP32" s="190" t="n">
        <f aca="false">AD32+AH32+AL32</f>
        <v>1107779.4</v>
      </c>
      <c r="AQ32" s="215" t="s">
        <v>217</v>
      </c>
      <c r="AR32" s="190" t="n">
        <v>8179.4</v>
      </c>
      <c r="AS32" s="190" t="n">
        <v>32023.8</v>
      </c>
      <c r="AT32" s="190" t="n">
        <v>26793.8</v>
      </c>
      <c r="AU32" s="190" t="n">
        <v>52.1</v>
      </c>
      <c r="AV32" s="190" t="n">
        <f aca="false">1061231.7-27.52</f>
        <v>1061204.18</v>
      </c>
      <c r="AW32" s="190" t="n">
        <v>8491.5</v>
      </c>
      <c r="AX32" s="190" t="n">
        <f aca="false">AV32+AW32</f>
        <v>1069695.68</v>
      </c>
      <c r="AY32" s="190" t="n">
        <f aca="false">0.055*AX30</f>
        <v>57827.8019</v>
      </c>
      <c r="AZ32" s="190" t="n">
        <f aca="false">BA32-AY32</f>
        <v>17148.7481</v>
      </c>
      <c r="BA32" s="190" t="n">
        <f aca="false">74979.7-3.15</f>
        <v>74976.55</v>
      </c>
      <c r="BB32" s="190" t="n">
        <v>2824513.3</v>
      </c>
      <c r="BC32" s="190" t="n">
        <f aca="false">L32+BA32</f>
        <v>227400.75</v>
      </c>
      <c r="BD32" s="190" t="n">
        <v>1763.7</v>
      </c>
      <c r="BE32" s="190" t="n">
        <v>14378.3</v>
      </c>
      <c r="BF32" s="190" t="n">
        <v>4371.9</v>
      </c>
      <c r="BG32" s="190" t="n">
        <v>158169.8</v>
      </c>
      <c r="BH32" s="190" t="n">
        <f aca="false">BG32+BF32+BE32+BD32</f>
        <v>178683.7</v>
      </c>
      <c r="BI32" s="215" t="s">
        <v>217</v>
      </c>
      <c r="BJ32" s="193" t="n">
        <v>0.82</v>
      </c>
      <c r="BK32" s="193" t="n">
        <v>5.36</v>
      </c>
      <c r="BL32" s="193" t="n">
        <v>2.73</v>
      </c>
      <c r="BM32" s="193" t="n">
        <v>2.61</v>
      </c>
      <c r="BN32" s="193" t="n">
        <v>1.43</v>
      </c>
      <c r="BO32" s="193" t="s">
        <v>204</v>
      </c>
      <c r="BP32" s="193" t="s">
        <v>204</v>
      </c>
      <c r="BQ32" s="194" t="s">
        <v>204</v>
      </c>
      <c r="BR32" s="194" t="n">
        <v>10178</v>
      </c>
      <c r="BS32" s="194" t="n">
        <v>3743</v>
      </c>
      <c r="BT32" s="193" t="n">
        <f aca="false">AP32/AV32*100</f>
        <v>104.388902802852</v>
      </c>
      <c r="BU32" s="193" t="n">
        <f aca="false">AV32/BR32</f>
        <v>104.264509726862</v>
      </c>
      <c r="BV32" s="193" t="n">
        <f aca="false">AP32/BR32</f>
        <v>108.840577716644</v>
      </c>
      <c r="BW32" s="193" t="n">
        <f aca="false">(M32+BA32)/AV32*100</f>
        <v>8.3228705337365</v>
      </c>
      <c r="BX32" s="193" t="n">
        <v>5</v>
      </c>
      <c r="BY32" s="193" t="n">
        <v>5.25</v>
      </c>
      <c r="BZ32" s="193" t="n">
        <v>9.47</v>
      </c>
      <c r="CA32" s="193" t="n">
        <f aca="false">BZ32-BY32</f>
        <v>4.22</v>
      </c>
      <c r="CB32" s="193" t="n">
        <v>9.89</v>
      </c>
      <c r="CC32" s="193" t="n">
        <v>12.68</v>
      </c>
      <c r="CD32" s="193" t="n">
        <f aca="false">CC32-CB32</f>
        <v>2.79</v>
      </c>
    </row>
    <row r="33" customFormat="false" ht="10.35" hidden="false" customHeight="true" outlineLevel="0" collapsed="false">
      <c r="A33" s="221"/>
      <c r="B33" s="221"/>
      <c r="C33" s="221"/>
      <c r="D33" s="221"/>
      <c r="E33" s="221"/>
      <c r="F33" s="221"/>
      <c r="G33" s="221"/>
      <c r="H33" s="221"/>
      <c r="I33" s="207" t="s">
        <v>218</v>
      </c>
      <c r="J33" s="196" t="n">
        <v>150750.7</v>
      </c>
      <c r="K33" s="196" t="n">
        <v>1521.3</v>
      </c>
      <c r="L33" s="196" t="n">
        <f aca="false">J33+K33</f>
        <v>152272</v>
      </c>
      <c r="M33" s="196" t="n">
        <v>13162.8</v>
      </c>
      <c r="N33" s="196" t="n">
        <f aca="false">L33-M33</f>
        <v>139109.2</v>
      </c>
      <c r="O33" s="196" t="n">
        <v>31948.6</v>
      </c>
      <c r="P33" s="196" t="n">
        <v>76461.4</v>
      </c>
      <c r="Q33" s="196" t="n">
        <v>104361.1</v>
      </c>
      <c r="R33" s="196" t="n">
        <v>887329.3</v>
      </c>
      <c r="S33" s="196" t="n">
        <f aca="false">Q33+R33</f>
        <v>991690.4</v>
      </c>
      <c r="T33" s="196" t="n">
        <f aca="false">P33+S33</f>
        <v>1068151.8</v>
      </c>
      <c r="U33" s="196" t="n">
        <v>703.6</v>
      </c>
      <c r="V33" s="196" t="n">
        <f aca="false">N33+Q33+U33</f>
        <v>244173.9</v>
      </c>
      <c r="W33" s="196" t="n">
        <f aca="false">R33+V33</f>
        <v>1131503.2</v>
      </c>
      <c r="X33" s="196" t="s">
        <v>204</v>
      </c>
      <c r="Y33" s="196" t="s">
        <v>204</v>
      </c>
      <c r="Z33" s="207" t="s">
        <v>218</v>
      </c>
      <c r="AA33" s="186" t="n">
        <v>0</v>
      </c>
      <c r="AB33" s="196" t="n">
        <v>19591.9</v>
      </c>
      <c r="AC33" s="196" t="n">
        <v>895052.8</v>
      </c>
      <c r="AD33" s="196" t="n">
        <f aca="false">AB33+AC33</f>
        <v>914644.7</v>
      </c>
      <c r="AE33" s="186" t="n">
        <v>0</v>
      </c>
      <c r="AF33" s="196" t="n">
        <v>1768.3</v>
      </c>
      <c r="AG33" s="196" t="n">
        <v>25837.6</v>
      </c>
      <c r="AH33" s="196" t="n">
        <f aca="false">AF33+AG33</f>
        <v>27605.9</v>
      </c>
      <c r="AI33" s="196" t="n">
        <v>19294.2</v>
      </c>
      <c r="AJ33" s="196" t="n">
        <v>162555.6</v>
      </c>
      <c r="AK33" s="196" t="n">
        <v>16958.1</v>
      </c>
      <c r="AL33" s="196" t="n">
        <f aca="false">AJ33+AK33</f>
        <v>179513.7</v>
      </c>
      <c r="AM33" s="196" t="n">
        <f aca="false">AA33+AE33+AI33</f>
        <v>19294.2</v>
      </c>
      <c r="AN33" s="196" t="n">
        <f aca="false">AB33+AF33+AJ33</f>
        <v>183915.8</v>
      </c>
      <c r="AO33" s="196" t="n">
        <f aca="false">AC33+AG33+AK33</f>
        <v>937848.5</v>
      </c>
      <c r="AP33" s="196" t="n">
        <f aca="false">AD33+AH33+AL33</f>
        <v>1121764.3</v>
      </c>
      <c r="AQ33" s="207" t="s">
        <v>218</v>
      </c>
      <c r="AR33" s="196" t="n">
        <v>7981.7</v>
      </c>
      <c r="AS33" s="196" t="n">
        <v>32127.1</v>
      </c>
      <c r="AT33" s="196" t="n">
        <v>28066.8</v>
      </c>
      <c r="AU33" s="196" t="n">
        <v>51.8</v>
      </c>
      <c r="AV33" s="196" t="n">
        <f aca="false">1068199.8-27.1</f>
        <v>1068172.7</v>
      </c>
      <c r="AW33" s="196" t="n">
        <v>7422.4</v>
      </c>
      <c r="AX33" s="196" t="n">
        <f aca="false">AV33+AW33</f>
        <v>1075595.1</v>
      </c>
      <c r="AY33" s="196" t="n">
        <f aca="false">0.055*AX31</f>
        <v>58127.289</v>
      </c>
      <c r="AZ33" s="196" t="n">
        <f aca="false">BA33-AY33</f>
        <v>14219.591</v>
      </c>
      <c r="BA33" s="196" t="n">
        <f aca="false">72352-5.12</f>
        <v>72346.88</v>
      </c>
      <c r="BB33" s="196" t="n">
        <v>2872372.7</v>
      </c>
      <c r="BC33" s="196" t="n">
        <f aca="false">L33+BA33</f>
        <v>224618.88</v>
      </c>
      <c r="BD33" s="196" t="n">
        <v>3491.5</v>
      </c>
      <c r="BE33" s="196" t="n">
        <v>14435.8</v>
      </c>
      <c r="BF33" s="196" t="n">
        <v>4265.5</v>
      </c>
      <c r="BG33" s="196" t="n">
        <v>160425.7</v>
      </c>
      <c r="BH33" s="196" t="n">
        <f aca="false">BG33+BF33+BE33+BD33</f>
        <v>182618.5</v>
      </c>
      <c r="BI33" s="207" t="s">
        <v>218</v>
      </c>
      <c r="BJ33" s="187" t="n">
        <v>3.05</v>
      </c>
      <c r="BK33" s="187" t="n">
        <v>12.47</v>
      </c>
      <c r="BL33" s="187" t="n">
        <v>3.89</v>
      </c>
      <c r="BM33" s="187" t="n">
        <v>3.97</v>
      </c>
      <c r="BN33" s="187" t="n">
        <v>1.94</v>
      </c>
      <c r="BO33" s="187" t="s">
        <v>204</v>
      </c>
      <c r="BP33" s="187" t="s">
        <v>204</v>
      </c>
      <c r="BQ33" s="188" t="s">
        <v>204</v>
      </c>
      <c r="BR33" s="188" t="n">
        <v>10208</v>
      </c>
      <c r="BS33" s="188" t="n">
        <v>3744</v>
      </c>
      <c r="BT33" s="187" t="n">
        <f aca="false">AP33/AV33*100</f>
        <v>105.017128784512</v>
      </c>
      <c r="BU33" s="187" t="n">
        <f aca="false">AV33/BR33</f>
        <v>104.640742554859</v>
      </c>
      <c r="BV33" s="187" t="n">
        <f aca="false">AP33/BR33</f>
        <v>109.890703369906</v>
      </c>
      <c r="BW33" s="187" t="n">
        <f aca="false">(M33+BA33)/AV33*100</f>
        <v>8.00522986591962</v>
      </c>
      <c r="BX33" s="187" t="n">
        <v>5</v>
      </c>
      <c r="BY33" s="187" t="n">
        <v>5.3</v>
      </c>
      <c r="BZ33" s="187" t="n">
        <v>9.5</v>
      </c>
      <c r="CA33" s="187" t="n">
        <f aca="false">BZ33-BY33</f>
        <v>4.2</v>
      </c>
      <c r="CB33" s="187" t="n">
        <v>9.9</v>
      </c>
      <c r="CC33" s="187" t="n">
        <v>12.68</v>
      </c>
      <c r="CD33" s="187" t="n">
        <f aca="false">CC33-CB33</f>
        <v>2.78</v>
      </c>
    </row>
    <row r="34" customFormat="false" ht="10.35" hidden="false" customHeight="true" outlineLevel="0" collapsed="false">
      <c r="A34" s="221"/>
      <c r="B34" s="221"/>
      <c r="C34" s="221"/>
      <c r="D34" s="221"/>
      <c r="E34" s="221"/>
      <c r="F34" s="221"/>
      <c r="G34" s="221"/>
      <c r="H34" s="221"/>
      <c r="I34" s="215" t="s">
        <v>219</v>
      </c>
      <c r="J34" s="190" t="n">
        <v>156833</v>
      </c>
      <c r="K34" s="190" t="n">
        <v>1528</v>
      </c>
      <c r="L34" s="190" t="n">
        <f aca="false">J34+K34</f>
        <v>158361</v>
      </c>
      <c r="M34" s="190" t="n">
        <v>13681.9</v>
      </c>
      <c r="N34" s="190" t="n">
        <f aca="false">L34-M34</f>
        <v>144679.1</v>
      </c>
      <c r="O34" s="190" t="n">
        <v>37211.8</v>
      </c>
      <c r="P34" s="190" t="n">
        <v>77333</v>
      </c>
      <c r="Q34" s="190" t="n">
        <v>110076.3</v>
      </c>
      <c r="R34" s="190" t="n">
        <v>899904.7</v>
      </c>
      <c r="S34" s="190" t="n">
        <f aca="false">Q34+R34</f>
        <v>1009981</v>
      </c>
      <c r="T34" s="190" t="n">
        <f aca="false">P34+S34</f>
        <v>1087314</v>
      </c>
      <c r="U34" s="190" t="n">
        <v>700.6</v>
      </c>
      <c r="V34" s="190" t="n">
        <f aca="false">N34+Q34+U34</f>
        <v>255456</v>
      </c>
      <c r="W34" s="190" t="n">
        <f aca="false">R34+V34</f>
        <v>1155360.7</v>
      </c>
      <c r="X34" s="190" t="s">
        <v>204</v>
      </c>
      <c r="Y34" s="190" t="s">
        <v>204</v>
      </c>
      <c r="Z34" s="215" t="s">
        <v>219</v>
      </c>
      <c r="AA34" s="192" t="n">
        <v>0</v>
      </c>
      <c r="AB34" s="190" t="n">
        <v>21813.5</v>
      </c>
      <c r="AC34" s="190" t="n">
        <v>910864.8</v>
      </c>
      <c r="AD34" s="190" t="n">
        <f aca="false">AB34+AC34</f>
        <v>932678.3</v>
      </c>
      <c r="AE34" s="192" t="n">
        <v>0</v>
      </c>
      <c r="AF34" s="190" t="n">
        <v>1614.5</v>
      </c>
      <c r="AG34" s="190" t="n">
        <v>26169.2</v>
      </c>
      <c r="AH34" s="190" t="n">
        <f aca="false">AF34+AG34</f>
        <v>27783.7</v>
      </c>
      <c r="AI34" s="190" t="n">
        <v>24879.7</v>
      </c>
      <c r="AJ34" s="190" t="n">
        <v>158783.9</v>
      </c>
      <c r="AK34" s="190" t="n">
        <v>16838.4</v>
      </c>
      <c r="AL34" s="190" t="n">
        <f aca="false">AJ34+AK34</f>
        <v>175622.3</v>
      </c>
      <c r="AM34" s="190" t="n">
        <f aca="false">AA34+AE34+AI34</f>
        <v>24879.7</v>
      </c>
      <c r="AN34" s="190" t="n">
        <f aca="false">AB34+AF34+AJ34</f>
        <v>182211.9</v>
      </c>
      <c r="AO34" s="190" t="n">
        <f aca="false">AC34+AG34+AK34</f>
        <v>953872.4</v>
      </c>
      <c r="AP34" s="190" t="n">
        <f aca="false">AD34+AH34+AL34</f>
        <v>1136084.3</v>
      </c>
      <c r="AQ34" s="215" t="s">
        <v>219</v>
      </c>
      <c r="AR34" s="190" t="n">
        <v>8743.2</v>
      </c>
      <c r="AS34" s="190" t="n">
        <v>32933.8</v>
      </c>
      <c r="AT34" s="190" t="n">
        <v>29040</v>
      </c>
      <c r="AU34" s="190" t="n">
        <v>51.5</v>
      </c>
      <c r="AV34" s="190" t="n">
        <f aca="false">1087362.3-27.11</f>
        <v>1087335.19</v>
      </c>
      <c r="AW34" s="190" t="n">
        <v>7250.4</v>
      </c>
      <c r="AX34" s="190" t="n">
        <f aca="false">AV34+AW34</f>
        <v>1094585.59</v>
      </c>
      <c r="AY34" s="190" t="n">
        <f aca="false">0.055*AX32</f>
        <v>58833.2624</v>
      </c>
      <c r="AZ34" s="190" t="n">
        <f aca="false">BA34-AY34</f>
        <v>16760.0476</v>
      </c>
      <c r="BA34" s="190" t="n">
        <f aca="false">75596.3-2.99</f>
        <v>75593.31</v>
      </c>
      <c r="BB34" s="190" t="n">
        <v>2750449.8</v>
      </c>
      <c r="BC34" s="190" t="n">
        <f aca="false">L34+BA34</f>
        <v>233954.31</v>
      </c>
      <c r="BD34" s="190" t="n">
        <v>2859.7</v>
      </c>
      <c r="BE34" s="190" t="n">
        <v>19724.6</v>
      </c>
      <c r="BF34" s="190" t="n">
        <v>5145.1</v>
      </c>
      <c r="BG34" s="190" t="n">
        <v>156093.6</v>
      </c>
      <c r="BH34" s="190" t="n">
        <f aca="false">BG34+BF34+BE34+BD34</f>
        <v>183823</v>
      </c>
      <c r="BI34" s="215" t="s">
        <v>219</v>
      </c>
      <c r="BJ34" s="193" t="n">
        <v>3.43</v>
      </c>
      <c r="BK34" s="193" t="n">
        <v>21.6</v>
      </c>
      <c r="BL34" s="193" t="n">
        <v>5.65</v>
      </c>
      <c r="BM34" s="193" t="n">
        <v>5.75</v>
      </c>
      <c r="BN34" s="193" t="n">
        <v>4.09</v>
      </c>
      <c r="BO34" s="193" t="s">
        <v>204</v>
      </c>
      <c r="BP34" s="193" t="s">
        <v>204</v>
      </c>
      <c r="BQ34" s="194" t="s">
        <v>204</v>
      </c>
      <c r="BR34" s="194" t="n">
        <v>10286</v>
      </c>
      <c r="BS34" s="194" t="n">
        <v>3746</v>
      </c>
      <c r="BT34" s="193" t="n">
        <f aca="false">AP34/AV34*100</f>
        <v>104.483356231669</v>
      </c>
      <c r="BU34" s="193" t="n">
        <f aca="false">AV34/BR34</f>
        <v>105.710207077581</v>
      </c>
      <c r="BV34" s="193" t="n">
        <f aca="false">AP34/BR34</f>
        <v>110.449572234105</v>
      </c>
      <c r="BW34" s="193" t="n">
        <f aca="false">(M34+BA34)/AV34*100</f>
        <v>8.21045900298693</v>
      </c>
      <c r="BX34" s="193" t="n">
        <v>5</v>
      </c>
      <c r="BY34" s="193" t="n">
        <v>5.26</v>
      </c>
      <c r="BZ34" s="193" t="n">
        <v>9.49</v>
      </c>
      <c r="CA34" s="193" t="n">
        <f aca="false">BZ34-BY34</f>
        <v>4.23</v>
      </c>
      <c r="CB34" s="193" t="n">
        <v>9.95</v>
      </c>
      <c r="CC34" s="193" t="n">
        <v>12.65</v>
      </c>
      <c r="CD34" s="193" t="n">
        <f aca="false">CC34-CB34</f>
        <v>2.7</v>
      </c>
    </row>
    <row r="35" s="222" customFormat="true" ht="10.35" hidden="false" customHeight="true" outlineLevel="0" collapsed="false">
      <c r="A35" s="207"/>
      <c r="B35" s="207"/>
      <c r="C35" s="207"/>
      <c r="D35" s="207"/>
      <c r="E35" s="207"/>
      <c r="F35" s="207"/>
      <c r="G35" s="207"/>
      <c r="H35" s="207"/>
      <c r="I35" s="207" t="s">
        <v>220</v>
      </c>
      <c r="J35" s="196" t="n">
        <v>155827.3</v>
      </c>
      <c r="K35" s="196" t="n">
        <v>1528.5</v>
      </c>
      <c r="L35" s="196" t="n">
        <f aca="false">J35+K35</f>
        <v>157355.8</v>
      </c>
      <c r="M35" s="196" t="n">
        <v>12674.1</v>
      </c>
      <c r="N35" s="196" t="n">
        <f aca="false">L35-M35</f>
        <v>144681.7</v>
      </c>
      <c r="O35" s="196" t="n">
        <v>35831.9</v>
      </c>
      <c r="P35" s="196" t="n">
        <v>74654.7</v>
      </c>
      <c r="Q35" s="196" t="n">
        <v>106191.8</v>
      </c>
      <c r="R35" s="196" t="n">
        <v>902947.7</v>
      </c>
      <c r="S35" s="196" t="n">
        <f aca="false">Q35+R35</f>
        <v>1009139.5</v>
      </c>
      <c r="T35" s="196" t="n">
        <f aca="false">P35+S35</f>
        <v>1083794.2</v>
      </c>
      <c r="U35" s="196" t="n">
        <v>736.6</v>
      </c>
      <c r="V35" s="196" t="n">
        <f aca="false">N35+Q35+U35</f>
        <v>251610.1</v>
      </c>
      <c r="W35" s="196" t="n">
        <f aca="false">R35+V35</f>
        <v>1154557.8</v>
      </c>
      <c r="X35" s="196" t="s">
        <v>204</v>
      </c>
      <c r="Y35" s="196" t="s">
        <v>204</v>
      </c>
      <c r="Z35" s="207" t="s">
        <v>220</v>
      </c>
      <c r="AA35" s="186" t="n">
        <v>0</v>
      </c>
      <c r="AB35" s="196" t="n">
        <v>22679.5</v>
      </c>
      <c r="AC35" s="196" t="n">
        <v>915603.1</v>
      </c>
      <c r="AD35" s="196" t="n">
        <f aca="false">AB35+AC35</f>
        <v>938282.6</v>
      </c>
      <c r="AE35" s="186" t="n">
        <v>0</v>
      </c>
      <c r="AF35" s="196" t="n">
        <v>1728.6</v>
      </c>
      <c r="AG35" s="196" t="n">
        <v>26247.4</v>
      </c>
      <c r="AH35" s="196" t="n">
        <f aca="false">AF35+AG35</f>
        <v>27976</v>
      </c>
      <c r="AI35" s="196" t="n">
        <v>26325</v>
      </c>
      <c r="AJ35" s="196" t="n">
        <v>159878</v>
      </c>
      <c r="AK35" s="196" t="n">
        <v>17046.6</v>
      </c>
      <c r="AL35" s="196" t="n">
        <f aca="false">AJ35+AK35</f>
        <v>176924.6</v>
      </c>
      <c r="AM35" s="196" t="n">
        <f aca="false">AA35+AE35+AI35</f>
        <v>26325</v>
      </c>
      <c r="AN35" s="196" t="n">
        <f aca="false">AB35+AF35+AJ35</f>
        <v>184286.1</v>
      </c>
      <c r="AO35" s="196" t="n">
        <f aca="false">AC35+AG35+AK35</f>
        <v>958897.1</v>
      </c>
      <c r="AP35" s="196" t="n">
        <f aca="false">AD35+AH35+AL35</f>
        <v>1143183.2</v>
      </c>
      <c r="AQ35" s="207" t="s">
        <v>220</v>
      </c>
      <c r="AR35" s="196" t="n">
        <v>8536.5</v>
      </c>
      <c r="AS35" s="196" t="n">
        <v>32286.7</v>
      </c>
      <c r="AT35" s="196" t="n">
        <v>32518.9</v>
      </c>
      <c r="AU35" s="196" t="n">
        <v>72.1</v>
      </c>
      <c r="AV35" s="196" t="n">
        <f aca="false">1083842.7-25.82</f>
        <v>1083816.88</v>
      </c>
      <c r="AW35" s="196" t="n">
        <v>7430.9</v>
      </c>
      <c r="AX35" s="196" t="n">
        <f aca="false">AV35+AW35</f>
        <v>1091247.78</v>
      </c>
      <c r="AY35" s="196" t="n">
        <f aca="false">0.055*AX33</f>
        <v>59157.7305</v>
      </c>
      <c r="AZ35" s="196" t="n">
        <f aca="false">BA35-AY35</f>
        <v>10775.5195</v>
      </c>
      <c r="BA35" s="196" t="n">
        <f aca="false">69935.2-1.95</f>
        <v>69933.25</v>
      </c>
      <c r="BB35" s="196" t="n">
        <v>2774288.5</v>
      </c>
      <c r="BC35" s="196" t="n">
        <f aca="false">L35+BA35</f>
        <v>227289.05</v>
      </c>
      <c r="BD35" s="196" t="n">
        <v>0</v>
      </c>
      <c r="BE35" s="196" t="n">
        <v>20552.8</v>
      </c>
      <c r="BF35" s="196" t="n">
        <v>5463</v>
      </c>
      <c r="BG35" s="196" t="n">
        <v>157059.9</v>
      </c>
      <c r="BH35" s="196" t="n">
        <f aca="false">BG35+BF35+BE35+BD35</f>
        <v>183075.7</v>
      </c>
      <c r="BI35" s="207" t="s">
        <v>220</v>
      </c>
      <c r="BJ35" s="187" t="n">
        <v>4.24</v>
      </c>
      <c r="BK35" s="187" t="n">
        <v>25.58</v>
      </c>
      <c r="BL35" s="187" t="n">
        <v>6.2</v>
      </c>
      <c r="BM35" s="187" t="n">
        <v>6.38</v>
      </c>
      <c r="BN35" s="187" t="n">
        <v>4.02</v>
      </c>
      <c r="BO35" s="187" t="s">
        <v>204</v>
      </c>
      <c r="BP35" s="187" t="s">
        <v>204</v>
      </c>
      <c r="BQ35" s="188" t="s">
        <v>204</v>
      </c>
      <c r="BR35" s="188" t="n">
        <v>10373</v>
      </c>
      <c r="BS35" s="188" t="n">
        <v>3752</v>
      </c>
      <c r="BT35" s="187" t="n">
        <f aca="false">AP35/AV35*100</f>
        <v>105.477523103349</v>
      </c>
      <c r="BU35" s="187" t="n">
        <f aca="false">AV35/BR35</f>
        <v>104.48441916514</v>
      </c>
      <c r="BV35" s="187" t="n">
        <f aca="false">AP35/BR35</f>
        <v>110.207577364311</v>
      </c>
      <c r="BW35" s="187" t="n">
        <f aca="false">(M35+BA35)/AV35*100</f>
        <v>7.62189180888196</v>
      </c>
      <c r="BX35" s="187" t="n">
        <v>5</v>
      </c>
      <c r="BY35" s="187" t="n">
        <v>5.34</v>
      </c>
      <c r="BZ35" s="187" t="n">
        <v>9.49</v>
      </c>
      <c r="CA35" s="187" t="n">
        <f aca="false">BZ35-BY35</f>
        <v>4.15</v>
      </c>
      <c r="CB35" s="187" t="n">
        <v>10.06</v>
      </c>
      <c r="CC35" s="187" t="n">
        <v>12.56</v>
      </c>
      <c r="CD35" s="187" t="n">
        <f aca="false">CC35-CB35</f>
        <v>2.5</v>
      </c>
    </row>
    <row r="36" s="222" customFormat="true" ht="10.35" hidden="false" customHeight="true" outlineLevel="0" collapsed="false">
      <c r="A36" s="207"/>
      <c r="B36" s="207"/>
      <c r="C36" s="207"/>
      <c r="D36" s="207"/>
      <c r="E36" s="207"/>
      <c r="F36" s="207"/>
      <c r="G36" s="207"/>
      <c r="H36" s="207"/>
      <c r="I36" s="215" t="s">
        <v>221</v>
      </c>
      <c r="J36" s="190" t="n">
        <v>157407.3</v>
      </c>
      <c r="K36" s="190" t="n">
        <v>1528.3</v>
      </c>
      <c r="L36" s="190" t="n">
        <f aca="false">J36+K36</f>
        <v>158935.6</v>
      </c>
      <c r="M36" s="190" t="n">
        <v>12972.6</v>
      </c>
      <c r="N36" s="190" t="n">
        <f aca="false">L36-M36</f>
        <v>145963</v>
      </c>
      <c r="O36" s="190" t="n">
        <v>35913.7</v>
      </c>
      <c r="P36" s="190" t="n">
        <v>75656.1</v>
      </c>
      <c r="Q36" s="190" t="n">
        <v>105737.9</v>
      </c>
      <c r="R36" s="190" t="n">
        <v>908198.9</v>
      </c>
      <c r="S36" s="190" t="n">
        <f aca="false">Q36+R36</f>
        <v>1013936.8</v>
      </c>
      <c r="T36" s="190" t="n">
        <f aca="false">P36+S36</f>
        <v>1089592.9</v>
      </c>
      <c r="U36" s="190" t="n">
        <v>673</v>
      </c>
      <c r="V36" s="190" t="n">
        <f aca="false">N36+Q36+U36</f>
        <v>252373.9</v>
      </c>
      <c r="W36" s="190" t="n">
        <f aca="false">R36+V36</f>
        <v>1160572.8</v>
      </c>
      <c r="X36" s="190" t="s">
        <v>204</v>
      </c>
      <c r="Y36" s="190" t="s">
        <v>204</v>
      </c>
      <c r="Z36" s="215" t="s">
        <v>221</v>
      </c>
      <c r="AA36" s="192" t="n">
        <v>0</v>
      </c>
      <c r="AB36" s="190" t="n">
        <v>22023.5</v>
      </c>
      <c r="AC36" s="190" t="n">
        <v>922299.1</v>
      </c>
      <c r="AD36" s="190" t="n">
        <f aca="false">AB36+AC36</f>
        <v>944322.6</v>
      </c>
      <c r="AE36" s="192" t="n">
        <v>0</v>
      </c>
      <c r="AF36" s="190" t="n">
        <v>1767.6</v>
      </c>
      <c r="AG36" s="190" t="n">
        <v>26253.1</v>
      </c>
      <c r="AH36" s="190" t="n">
        <f aca="false">AF36+AG36</f>
        <v>28020.7</v>
      </c>
      <c r="AI36" s="190" t="n">
        <v>26437.3</v>
      </c>
      <c r="AJ36" s="190" t="n">
        <v>159727.2</v>
      </c>
      <c r="AK36" s="190" t="n">
        <v>17013.1</v>
      </c>
      <c r="AL36" s="190" t="n">
        <f aca="false">AJ36+AK36</f>
        <v>176740.3</v>
      </c>
      <c r="AM36" s="190" t="n">
        <f aca="false">AA36+AE36+AI36</f>
        <v>26437.3</v>
      </c>
      <c r="AN36" s="190" t="n">
        <f aca="false">AB36+AF36+AJ36</f>
        <v>183518.3</v>
      </c>
      <c r="AO36" s="190" t="n">
        <f aca="false">AC36+AG36+AK36</f>
        <v>965565.3</v>
      </c>
      <c r="AP36" s="190" t="n">
        <f aca="false">AD36+AH36+AL36</f>
        <v>1149083.6</v>
      </c>
      <c r="AQ36" s="215" t="s">
        <v>221</v>
      </c>
      <c r="AR36" s="190" t="n">
        <v>8727.9</v>
      </c>
      <c r="AS36" s="190" t="n">
        <v>33571.8</v>
      </c>
      <c r="AT36" s="190" t="n">
        <v>30644.8</v>
      </c>
      <c r="AU36" s="190" t="n">
        <v>43.8</v>
      </c>
      <c r="AV36" s="190" t="n">
        <f aca="false">1089641.4-25.4</f>
        <v>1089616</v>
      </c>
      <c r="AW36" s="190" t="n">
        <v>7472.2</v>
      </c>
      <c r="AX36" s="190" t="n">
        <f aca="false">AV36+AW36</f>
        <v>1097088.2</v>
      </c>
      <c r="AY36" s="190" t="n">
        <f aca="false">0.055*AX34</f>
        <v>60202.20745</v>
      </c>
      <c r="AZ36" s="190" t="n">
        <f aca="false">BA36-AY36</f>
        <v>6929.99255</v>
      </c>
      <c r="BA36" s="190" t="n">
        <f aca="false">67134-1.8</f>
        <v>67132.2</v>
      </c>
      <c r="BB36" s="190" t="n">
        <v>2804623.6</v>
      </c>
      <c r="BC36" s="190" t="n">
        <f aca="false">L36+BA36</f>
        <v>226067.8</v>
      </c>
      <c r="BD36" s="190" t="n">
        <v>0</v>
      </c>
      <c r="BE36" s="190" t="n">
        <v>20414.8</v>
      </c>
      <c r="BF36" s="190" t="n">
        <v>5083.8</v>
      </c>
      <c r="BG36" s="190" t="n">
        <v>156918.6</v>
      </c>
      <c r="BH36" s="190" t="n">
        <f aca="false">BG36+BF36+BE36+BD36</f>
        <v>182417.2</v>
      </c>
      <c r="BI36" s="215" t="s">
        <v>221</v>
      </c>
      <c r="BJ36" s="193" t="n">
        <v>-2.05</v>
      </c>
      <c r="BK36" s="193" t="n">
        <v>24.31</v>
      </c>
      <c r="BL36" s="193" t="n">
        <v>6.92</v>
      </c>
      <c r="BM36" s="193" t="n">
        <v>6.41</v>
      </c>
      <c r="BN36" s="193" t="n">
        <v>4.56</v>
      </c>
      <c r="BO36" s="193" t="s">
        <v>204</v>
      </c>
      <c r="BP36" s="193" t="s">
        <v>204</v>
      </c>
      <c r="BQ36" s="194" t="s">
        <v>204</v>
      </c>
      <c r="BR36" s="194" t="n">
        <v>10382</v>
      </c>
      <c r="BS36" s="194" t="n">
        <v>3752</v>
      </c>
      <c r="BT36" s="193" t="n">
        <f aca="false">AP36/AV36*100</f>
        <v>105.457665819885</v>
      </c>
      <c r="BU36" s="193" t="n">
        <f aca="false">AV36/BR36</f>
        <v>104.952417645926</v>
      </c>
      <c r="BV36" s="193" t="n">
        <f aca="false">AP36/BR36</f>
        <v>110.68036987093</v>
      </c>
      <c r="BW36" s="193" t="n">
        <f aca="false">(M36+BA36)/AV36*100</f>
        <v>7.35165416073185</v>
      </c>
      <c r="BX36" s="193" t="n">
        <v>5</v>
      </c>
      <c r="BY36" s="193" t="n">
        <v>5.34</v>
      </c>
      <c r="BZ36" s="193" t="n">
        <v>9.49</v>
      </c>
      <c r="CA36" s="193" t="n">
        <f aca="false">BZ36-BY36</f>
        <v>4.15</v>
      </c>
      <c r="CB36" s="193" t="n">
        <v>10.14</v>
      </c>
      <c r="CC36" s="193" t="n">
        <v>12.55</v>
      </c>
      <c r="CD36" s="193" t="n">
        <f aca="false">CC36-CB36</f>
        <v>2.41</v>
      </c>
    </row>
    <row r="37" s="222" customFormat="true" ht="10.35" hidden="false" customHeight="true" outlineLevel="0" collapsed="false">
      <c r="A37" s="207"/>
      <c r="B37" s="207"/>
      <c r="C37" s="207"/>
      <c r="D37" s="207"/>
      <c r="E37" s="207"/>
      <c r="F37" s="207"/>
      <c r="G37" s="207"/>
      <c r="H37" s="207"/>
      <c r="I37" s="207" t="s">
        <v>222</v>
      </c>
      <c r="J37" s="196" t="n">
        <v>157971.8</v>
      </c>
      <c r="K37" s="196" t="n">
        <v>1528.5</v>
      </c>
      <c r="L37" s="196" t="n">
        <f aca="false">J37+K37</f>
        <v>159500.3</v>
      </c>
      <c r="M37" s="196" t="n">
        <v>14853.8</v>
      </c>
      <c r="N37" s="196" t="n">
        <f aca="false">L37-M37</f>
        <v>144646.5</v>
      </c>
      <c r="O37" s="196" t="n">
        <v>35653.6</v>
      </c>
      <c r="P37" s="196" t="n">
        <v>73964.5</v>
      </c>
      <c r="Q37" s="196" t="n">
        <v>106339.7</v>
      </c>
      <c r="R37" s="196" t="n">
        <v>916866.5</v>
      </c>
      <c r="S37" s="196" t="n">
        <f aca="false">Q37+R37</f>
        <v>1023206.2</v>
      </c>
      <c r="T37" s="196" t="n">
        <f aca="false">P37+S37</f>
        <v>1097170.7</v>
      </c>
      <c r="U37" s="196" t="n">
        <v>726.7</v>
      </c>
      <c r="V37" s="196" t="n">
        <f aca="false">N37+Q37+U37</f>
        <v>251712.9</v>
      </c>
      <c r="W37" s="196" t="n">
        <f aca="false">R37+V37</f>
        <v>1168579.4</v>
      </c>
      <c r="X37" s="196" t="s">
        <v>204</v>
      </c>
      <c r="Y37" s="196" t="s">
        <v>204</v>
      </c>
      <c r="Z37" s="207" t="s">
        <v>222</v>
      </c>
      <c r="AA37" s="186" t="n">
        <v>0</v>
      </c>
      <c r="AB37" s="196" t="n">
        <v>22460.3</v>
      </c>
      <c r="AC37" s="196" t="n">
        <v>929835.4</v>
      </c>
      <c r="AD37" s="196" t="n">
        <f aca="false">AB37+AC37</f>
        <v>952295.7</v>
      </c>
      <c r="AE37" s="186" t="n">
        <v>0</v>
      </c>
      <c r="AF37" s="196" t="n">
        <v>1787.7</v>
      </c>
      <c r="AG37" s="196" t="n">
        <v>27896.8</v>
      </c>
      <c r="AH37" s="196" t="n">
        <f aca="false">AF37+AG37</f>
        <v>29684.5</v>
      </c>
      <c r="AI37" s="196" t="n">
        <v>27610.8</v>
      </c>
      <c r="AJ37" s="196" t="n">
        <v>159846.4</v>
      </c>
      <c r="AK37" s="196" t="n">
        <v>17138.9</v>
      </c>
      <c r="AL37" s="196" t="n">
        <f aca="false">AJ37+AK37</f>
        <v>176985.3</v>
      </c>
      <c r="AM37" s="196" t="n">
        <f aca="false">AA37+AE37+AI37</f>
        <v>27610.8</v>
      </c>
      <c r="AN37" s="196" t="n">
        <f aca="false">AB37+AF37+AJ37</f>
        <v>184094.4</v>
      </c>
      <c r="AO37" s="196" t="n">
        <f aca="false">AC37+AG37+AK37</f>
        <v>974871.1</v>
      </c>
      <c r="AP37" s="196" t="n">
        <f aca="false">AD37+AH37+AL37</f>
        <v>1158965.5</v>
      </c>
      <c r="AQ37" s="207" t="s">
        <v>222</v>
      </c>
      <c r="AR37" s="196" t="n">
        <v>9605.1</v>
      </c>
      <c r="AS37" s="196" t="n">
        <v>36136.1</v>
      </c>
      <c r="AT37" s="196" t="n">
        <v>32415.4</v>
      </c>
      <c r="AU37" s="196" t="n">
        <v>50.1</v>
      </c>
      <c r="AV37" s="196" t="n">
        <f aca="false">1097219.2-25</f>
        <v>1097194.2</v>
      </c>
      <c r="AW37" s="196" t="n">
        <v>7032.7</v>
      </c>
      <c r="AX37" s="196" t="n">
        <f aca="false">AV37+AW37</f>
        <v>1104226.9</v>
      </c>
      <c r="AY37" s="196" t="n">
        <f aca="false">0.055*AX35</f>
        <v>60018.6279</v>
      </c>
      <c r="AZ37" s="196" t="n">
        <f aca="false">BA37-AY37</f>
        <v>4768.92460000001</v>
      </c>
      <c r="BA37" s="196" t="n">
        <f aca="false">64863.3-1.8775-73.87</f>
        <v>64787.5525</v>
      </c>
      <c r="BB37" s="196" t="n">
        <v>2872599.7</v>
      </c>
      <c r="BC37" s="196" t="n">
        <f aca="false">L37+BA37</f>
        <v>224287.8525</v>
      </c>
      <c r="BD37" s="196" t="n">
        <v>0</v>
      </c>
      <c r="BE37" s="196" t="n">
        <v>18625</v>
      </c>
      <c r="BF37" s="196" t="n">
        <v>5387.4</v>
      </c>
      <c r="BG37" s="196" t="n">
        <v>156999.4</v>
      </c>
      <c r="BH37" s="196" t="n">
        <f aca="false">BG37+BF37+BE37+BD37</f>
        <v>181011.8</v>
      </c>
      <c r="BI37" s="207" t="s">
        <v>222</v>
      </c>
      <c r="BJ37" s="187" t="n">
        <v>-2.51</v>
      </c>
      <c r="BK37" s="187" t="n">
        <v>25.32</v>
      </c>
      <c r="BL37" s="187" t="n">
        <v>7.95</v>
      </c>
      <c r="BM37" s="187" t="n">
        <v>7.31</v>
      </c>
      <c r="BN37" s="187" t="n">
        <v>5.28</v>
      </c>
      <c r="BO37" s="187" t="s">
        <v>204</v>
      </c>
      <c r="BP37" s="187" t="s">
        <v>204</v>
      </c>
      <c r="BQ37" s="188" t="s">
        <v>204</v>
      </c>
      <c r="BR37" s="188" t="n">
        <v>10387</v>
      </c>
      <c r="BS37" s="188" t="n">
        <v>3753</v>
      </c>
      <c r="BT37" s="187" t="n">
        <f aca="false">AP37/AV37*100</f>
        <v>105.629933151305</v>
      </c>
      <c r="BU37" s="187" t="n">
        <f aca="false">AV37/BR37</f>
        <v>105.631481659767</v>
      </c>
      <c r="BV37" s="187" t="n">
        <f aca="false">AP37/BR37</f>
        <v>111.578463463945</v>
      </c>
      <c r="BW37" s="187" t="n">
        <f aca="false">(M37+BA37)/AV37*100</f>
        <v>7.25863775984233</v>
      </c>
      <c r="BX37" s="187" t="n">
        <v>5</v>
      </c>
      <c r="BY37" s="187" t="n">
        <v>5.35</v>
      </c>
      <c r="BZ37" s="187" t="n">
        <v>9.5</v>
      </c>
      <c r="CA37" s="187" t="n">
        <f aca="false">BZ37-BY37</f>
        <v>4.15</v>
      </c>
      <c r="CB37" s="187" t="n">
        <v>10.24</v>
      </c>
      <c r="CC37" s="187" t="n">
        <v>12.56</v>
      </c>
      <c r="CD37" s="187" t="n">
        <f aca="false">CC37-CB37</f>
        <v>2.32</v>
      </c>
    </row>
    <row r="38" s="222" customFormat="true" ht="10.35" hidden="false" customHeight="true" outlineLevel="0" collapsed="false">
      <c r="A38" s="207"/>
      <c r="B38" s="207"/>
      <c r="C38" s="207"/>
      <c r="D38" s="207"/>
      <c r="E38" s="207"/>
      <c r="F38" s="207"/>
      <c r="G38" s="207"/>
      <c r="H38" s="207"/>
      <c r="I38" s="215" t="s">
        <v>223</v>
      </c>
      <c r="J38" s="190" t="n">
        <v>157263.9</v>
      </c>
      <c r="K38" s="190" t="n">
        <v>1527.1</v>
      </c>
      <c r="L38" s="190" t="n">
        <f aca="false">J38+K38</f>
        <v>158791</v>
      </c>
      <c r="M38" s="190" t="n">
        <v>14032</v>
      </c>
      <c r="N38" s="190" t="n">
        <f aca="false">L38-M38</f>
        <v>144759</v>
      </c>
      <c r="O38" s="190" t="n">
        <v>35335</v>
      </c>
      <c r="P38" s="190" t="n">
        <v>75732.1</v>
      </c>
      <c r="Q38" s="190" t="n">
        <v>107867.8</v>
      </c>
      <c r="R38" s="190" t="n">
        <v>917613.1</v>
      </c>
      <c r="S38" s="190" t="n">
        <f aca="false">Q38+R38</f>
        <v>1025480.9</v>
      </c>
      <c r="T38" s="190" t="n">
        <f aca="false">P38+S38</f>
        <v>1101213</v>
      </c>
      <c r="U38" s="190" t="n">
        <v>703.7</v>
      </c>
      <c r="V38" s="190" t="n">
        <f aca="false">N38+Q38+U38</f>
        <v>253330.5</v>
      </c>
      <c r="W38" s="190" t="n">
        <f aca="false">R38+V38</f>
        <v>1170943.6</v>
      </c>
      <c r="X38" s="190" t="s">
        <v>204</v>
      </c>
      <c r="Y38" s="190" t="s">
        <v>204</v>
      </c>
      <c r="Z38" s="215" t="s">
        <v>223</v>
      </c>
      <c r="AA38" s="192" t="n">
        <v>0</v>
      </c>
      <c r="AB38" s="190" t="n">
        <v>21189.7</v>
      </c>
      <c r="AC38" s="190" t="n">
        <v>937496</v>
      </c>
      <c r="AD38" s="190" t="n">
        <f aca="false">AB38+AC38</f>
        <v>958685.7</v>
      </c>
      <c r="AE38" s="192" t="n">
        <v>0</v>
      </c>
      <c r="AF38" s="190" t="n">
        <v>1783</v>
      </c>
      <c r="AG38" s="190" t="n">
        <v>28432.4</v>
      </c>
      <c r="AH38" s="190" t="n">
        <f aca="false">AF38+AG38</f>
        <v>30215.4</v>
      </c>
      <c r="AI38" s="190" t="n">
        <v>26476.5</v>
      </c>
      <c r="AJ38" s="190" t="n">
        <v>159175.3</v>
      </c>
      <c r="AK38" s="190" t="n">
        <v>17224.4</v>
      </c>
      <c r="AL38" s="190" t="n">
        <f aca="false">AJ38+AK38</f>
        <v>176399.7</v>
      </c>
      <c r="AM38" s="190" t="n">
        <f aca="false">AA38+AE38+AI38</f>
        <v>26476.5</v>
      </c>
      <c r="AN38" s="190" t="n">
        <f aca="false">AB38+AF38+AJ38</f>
        <v>182148</v>
      </c>
      <c r="AO38" s="190" t="n">
        <f aca="false">AC38+AG38+AK38</f>
        <v>983152.8</v>
      </c>
      <c r="AP38" s="190" t="n">
        <f aca="false">AD38+AH38+AL38</f>
        <v>1165300.8</v>
      </c>
      <c r="AQ38" s="215" t="s">
        <v>223</v>
      </c>
      <c r="AR38" s="190" t="n">
        <v>10385.9</v>
      </c>
      <c r="AS38" s="190" t="n">
        <v>35732.2</v>
      </c>
      <c r="AT38" s="190" t="n">
        <v>33335.5</v>
      </c>
      <c r="AU38" s="190" t="n">
        <v>42.5</v>
      </c>
      <c r="AV38" s="190" t="n">
        <f aca="false">1101261.7-24.71</f>
        <v>1101236.99</v>
      </c>
      <c r="AW38" s="190" t="n">
        <v>7729.6</v>
      </c>
      <c r="AX38" s="190" t="n">
        <f aca="false">AV38+AW38</f>
        <v>1108966.59</v>
      </c>
      <c r="AY38" s="190" t="n">
        <f aca="false">0.055*AX36</f>
        <v>60339.851</v>
      </c>
      <c r="AZ38" s="190" t="n">
        <f aca="false">BA38-AY38</f>
        <v>7020.47810000002</v>
      </c>
      <c r="BA38" s="190" t="n">
        <f aca="false">67496.6-2.4009-133.87</f>
        <v>67360.3291</v>
      </c>
      <c r="BB38" s="190" t="n">
        <v>2874417.4</v>
      </c>
      <c r="BC38" s="190" t="n">
        <f aca="false">L38+BA38</f>
        <v>226151.3291</v>
      </c>
      <c r="BD38" s="190" t="n">
        <v>0</v>
      </c>
      <c r="BE38" s="190" t="n">
        <v>18857.5</v>
      </c>
      <c r="BF38" s="190" t="n">
        <v>4878.4</v>
      </c>
      <c r="BG38" s="190" t="n">
        <v>155896.3</v>
      </c>
      <c r="BH38" s="190" t="n">
        <f aca="false">BG38+BF38+BE38+BD38</f>
        <v>179632.2</v>
      </c>
      <c r="BI38" s="215" t="s">
        <v>223</v>
      </c>
      <c r="BJ38" s="193" t="n">
        <v>-1.72</v>
      </c>
      <c r="BK38" s="193" t="n">
        <v>23.45</v>
      </c>
      <c r="BL38" s="193" t="n">
        <v>8.86</v>
      </c>
      <c r="BM38" s="193" t="n">
        <v>8.15</v>
      </c>
      <c r="BN38" s="193" t="n">
        <v>5.49</v>
      </c>
      <c r="BO38" s="193" t="s">
        <v>204</v>
      </c>
      <c r="BP38" s="193" t="s">
        <v>204</v>
      </c>
      <c r="BQ38" s="194" t="s">
        <v>204</v>
      </c>
      <c r="BR38" s="194" t="n">
        <v>10391</v>
      </c>
      <c r="BS38" s="194" t="n">
        <v>3756</v>
      </c>
      <c r="BT38" s="193" t="n">
        <f aca="false">AP38/AV38*100</f>
        <v>105.817440803546</v>
      </c>
      <c r="BU38" s="193" t="n">
        <f aca="false">AV38/BR38</f>
        <v>105.979885477817</v>
      </c>
      <c r="BV38" s="193" t="n">
        <f aca="false">AP38/BR38</f>
        <v>112.145202579155</v>
      </c>
      <c r="BW38" s="193" t="n">
        <f aca="false">(M38+BA38)/AV38*100</f>
        <v>7.39099120707887</v>
      </c>
      <c r="BX38" s="193" t="n">
        <v>5</v>
      </c>
      <c r="BY38" s="193" t="n">
        <v>5.42</v>
      </c>
      <c r="BZ38" s="193" t="n">
        <v>9.46</v>
      </c>
      <c r="CA38" s="193" t="n">
        <f aca="false">BZ38-BY38</f>
        <v>4.04</v>
      </c>
      <c r="CB38" s="193" t="n">
        <v>10.4</v>
      </c>
      <c r="CC38" s="193" t="n">
        <v>12.71</v>
      </c>
      <c r="CD38" s="193" t="n">
        <f aca="false">CC38-CB38</f>
        <v>2.31</v>
      </c>
    </row>
    <row r="39" s="222" customFormat="true" ht="10.35" hidden="false" customHeight="true" outlineLevel="0" collapsed="false">
      <c r="A39" s="207"/>
      <c r="B39" s="207"/>
      <c r="C39" s="207"/>
      <c r="D39" s="207"/>
      <c r="E39" s="207"/>
      <c r="F39" s="207"/>
      <c r="G39" s="207"/>
      <c r="H39" s="207"/>
      <c r="I39" s="207" t="s">
        <v>224</v>
      </c>
      <c r="J39" s="196" t="n">
        <v>178237.9</v>
      </c>
      <c r="K39" s="196" t="n">
        <v>1528.1</v>
      </c>
      <c r="L39" s="196" t="n">
        <f aca="false">J39+K39</f>
        <v>179766</v>
      </c>
      <c r="M39" s="196" t="n">
        <v>15161.7</v>
      </c>
      <c r="N39" s="196" t="n">
        <f aca="false">L39-M39</f>
        <v>164604.3</v>
      </c>
      <c r="O39" s="196" t="n">
        <v>35985.9</v>
      </c>
      <c r="P39" s="196" t="n">
        <v>76810.9</v>
      </c>
      <c r="Q39" s="196" t="n">
        <v>108103.6</v>
      </c>
      <c r="R39" s="196" t="n">
        <v>931733.5</v>
      </c>
      <c r="S39" s="196" t="n">
        <f aca="false">Q39+R39</f>
        <v>1039837.1</v>
      </c>
      <c r="T39" s="196" t="n">
        <f aca="false">P39+S39</f>
        <v>1116648</v>
      </c>
      <c r="U39" s="196" t="n">
        <v>716.2</v>
      </c>
      <c r="V39" s="196" t="n">
        <f aca="false">N39+Q39+U39</f>
        <v>273424.1</v>
      </c>
      <c r="W39" s="196" t="n">
        <f aca="false">R39+V39</f>
        <v>1205157.6</v>
      </c>
      <c r="X39" s="196" t="s">
        <v>204</v>
      </c>
      <c r="Y39" s="196" t="s">
        <v>204</v>
      </c>
      <c r="Z39" s="207" t="s">
        <v>224</v>
      </c>
      <c r="AA39" s="186" t="n">
        <v>0</v>
      </c>
      <c r="AB39" s="196" t="n">
        <v>21712.9</v>
      </c>
      <c r="AC39" s="196" t="n">
        <v>948971.5</v>
      </c>
      <c r="AD39" s="196" t="n">
        <f aca="false">AB39+AC39</f>
        <v>970684.4</v>
      </c>
      <c r="AE39" s="186" t="n">
        <v>0</v>
      </c>
      <c r="AF39" s="196" t="n">
        <v>2025.1</v>
      </c>
      <c r="AG39" s="196" t="n">
        <v>29701.8</v>
      </c>
      <c r="AH39" s="196" t="n">
        <f aca="false">AF39+AG39</f>
        <v>31726.9</v>
      </c>
      <c r="AI39" s="196" t="n">
        <v>28363.2</v>
      </c>
      <c r="AJ39" s="196" t="n">
        <v>163729.1</v>
      </c>
      <c r="AK39" s="196" t="n">
        <v>17468.2</v>
      </c>
      <c r="AL39" s="196" t="n">
        <f aca="false">AJ39+AK39</f>
        <v>181197.3</v>
      </c>
      <c r="AM39" s="196" t="n">
        <f aca="false">AA39+AE39+AI39</f>
        <v>28363.2</v>
      </c>
      <c r="AN39" s="196" t="n">
        <f aca="false">AB39+AF39+AJ39</f>
        <v>187467.1</v>
      </c>
      <c r="AO39" s="196" t="n">
        <f aca="false">AC39+AG39+AK39</f>
        <v>996141.5</v>
      </c>
      <c r="AP39" s="196" t="n">
        <f aca="false">AD39+AH39+AL39</f>
        <v>1183608.6</v>
      </c>
      <c r="AQ39" s="207" t="s">
        <v>224</v>
      </c>
      <c r="AR39" s="196" t="n">
        <v>11183</v>
      </c>
      <c r="AS39" s="196" t="n">
        <v>37497.8</v>
      </c>
      <c r="AT39" s="196" t="n">
        <v>36052.1</v>
      </c>
      <c r="AU39" s="196" t="n">
        <v>41.7</v>
      </c>
      <c r="AV39" s="196" t="n">
        <f aca="false">1116696.7-24.65</f>
        <v>1116672.05</v>
      </c>
      <c r="AW39" s="196" t="n">
        <v>8078.1</v>
      </c>
      <c r="AX39" s="196" t="n">
        <f aca="false">AV39+AW39</f>
        <v>1124750.15</v>
      </c>
      <c r="AY39" s="196" t="n">
        <f aca="false">0.055*AX37</f>
        <v>60732.4795</v>
      </c>
      <c r="AZ39" s="196" t="n">
        <f aca="false">BA39-AY39</f>
        <v>4381.7664</v>
      </c>
      <c r="BA39" s="196" t="n">
        <f aca="false">65190-1.8841-73.87</f>
        <v>65114.2459</v>
      </c>
      <c r="BB39" s="196" t="n">
        <v>2950169.7</v>
      </c>
      <c r="BC39" s="196" t="n">
        <f aca="false">L39+BA39</f>
        <v>244880.2459</v>
      </c>
      <c r="BD39" s="196" t="n">
        <v>4000</v>
      </c>
      <c r="BE39" s="196" t="n">
        <v>29222.3</v>
      </c>
      <c r="BF39" s="196" t="n">
        <v>5360.7</v>
      </c>
      <c r="BG39" s="196" t="n">
        <v>160083.1</v>
      </c>
      <c r="BH39" s="196" t="n">
        <f aca="false">BG39+BF39+BE39+BD39</f>
        <v>198666.1</v>
      </c>
      <c r="BI39" s="207" t="s">
        <v>224</v>
      </c>
      <c r="BJ39" s="187" t="n">
        <v>19.17</v>
      </c>
      <c r="BK39" s="187" t="n">
        <v>27.11</v>
      </c>
      <c r="BL39" s="187" t="n">
        <v>10.29</v>
      </c>
      <c r="BM39" s="187" t="n">
        <v>11.43</v>
      </c>
      <c r="BN39" s="187" t="n">
        <v>8.57</v>
      </c>
      <c r="BO39" s="187" t="s">
        <v>204</v>
      </c>
      <c r="BP39" s="187" t="s">
        <v>204</v>
      </c>
      <c r="BQ39" s="188" t="s">
        <v>204</v>
      </c>
      <c r="BR39" s="188" t="n">
        <v>10391</v>
      </c>
      <c r="BS39" s="188" t="n">
        <v>3757</v>
      </c>
      <c r="BT39" s="187" t="n">
        <f aca="false">AP39/AV39*100</f>
        <v>105.994289012607</v>
      </c>
      <c r="BU39" s="187" t="n">
        <f aca="false">AV39/BR39</f>
        <v>107.46531132711</v>
      </c>
      <c r="BV39" s="187" t="n">
        <f aca="false">AP39/BR39</f>
        <v>113.907092676355</v>
      </c>
      <c r="BW39" s="187" t="n">
        <f aca="false">(M39+BA39)/AV39*100</f>
        <v>7.18885602088814</v>
      </c>
      <c r="BX39" s="187" t="n">
        <v>5</v>
      </c>
      <c r="BY39" s="187" t="n">
        <v>5.46</v>
      </c>
      <c r="BZ39" s="187" t="n">
        <v>9.51</v>
      </c>
      <c r="CA39" s="187" t="n">
        <f aca="false">BZ39-BY39</f>
        <v>4.05</v>
      </c>
      <c r="CB39" s="187" t="n">
        <v>10.54</v>
      </c>
      <c r="CC39" s="187" t="n">
        <v>12.81</v>
      </c>
      <c r="CD39" s="187" t="n">
        <f aca="false">CC39-CB39</f>
        <v>2.27</v>
      </c>
    </row>
    <row r="40" s="222" customFormat="true" ht="10.35" hidden="false" customHeight="true" outlineLevel="0" collapsed="false">
      <c r="A40" s="207"/>
      <c r="B40" s="207"/>
      <c r="C40" s="207"/>
      <c r="D40" s="207"/>
      <c r="E40" s="207"/>
      <c r="F40" s="207"/>
      <c r="G40" s="207"/>
      <c r="H40" s="207"/>
      <c r="I40" s="215" t="s">
        <v>225</v>
      </c>
      <c r="J40" s="190" t="n">
        <v>168858.3</v>
      </c>
      <c r="K40" s="190" t="n">
        <v>1528.8</v>
      </c>
      <c r="L40" s="190" t="n">
        <f aca="false">J40+K40</f>
        <v>170387.1</v>
      </c>
      <c r="M40" s="190" t="n">
        <v>16100.1</v>
      </c>
      <c r="N40" s="190" t="n">
        <f aca="false">L40-M40</f>
        <v>154287</v>
      </c>
      <c r="O40" s="190" t="n">
        <v>39425.5</v>
      </c>
      <c r="P40" s="190" t="n">
        <v>82779.3</v>
      </c>
      <c r="Q40" s="190" t="n">
        <v>118217.9</v>
      </c>
      <c r="R40" s="190" t="n">
        <v>946318.1</v>
      </c>
      <c r="S40" s="190" t="n">
        <f aca="false">Q40+R40</f>
        <v>1064536</v>
      </c>
      <c r="T40" s="190" t="n">
        <f aca="false">P40+S40</f>
        <v>1147315.3</v>
      </c>
      <c r="U40" s="190" t="n">
        <v>788.5</v>
      </c>
      <c r="V40" s="190" t="n">
        <f aca="false">N40+Q40+U40</f>
        <v>273293.4</v>
      </c>
      <c r="W40" s="190" t="n">
        <f aca="false">R40+V40</f>
        <v>1219611.5</v>
      </c>
      <c r="X40" s="190" t="s">
        <v>204</v>
      </c>
      <c r="Y40" s="190" t="s">
        <v>204</v>
      </c>
      <c r="Z40" s="215" t="s">
        <v>225</v>
      </c>
      <c r="AA40" s="192" t="n">
        <v>0</v>
      </c>
      <c r="AB40" s="190" t="n">
        <v>20919.7</v>
      </c>
      <c r="AC40" s="190" t="n">
        <v>959297.9</v>
      </c>
      <c r="AD40" s="190" t="n">
        <f aca="false">AB40+AC40</f>
        <v>980217.6</v>
      </c>
      <c r="AE40" s="192" t="n">
        <v>0</v>
      </c>
      <c r="AF40" s="190" t="n">
        <v>1846.4</v>
      </c>
      <c r="AG40" s="190" t="n">
        <v>28721.3</v>
      </c>
      <c r="AH40" s="190" t="n">
        <f aca="false">AF40+AG40</f>
        <v>30567.7</v>
      </c>
      <c r="AI40" s="190" t="n">
        <v>26155.9</v>
      </c>
      <c r="AJ40" s="190" t="n">
        <v>171543.8</v>
      </c>
      <c r="AK40" s="190" t="n">
        <v>17447.1</v>
      </c>
      <c r="AL40" s="190" t="n">
        <f aca="false">AJ40+AK40</f>
        <v>188990.9</v>
      </c>
      <c r="AM40" s="190" t="n">
        <f aca="false">AA40+AE40+AI40</f>
        <v>26155.9</v>
      </c>
      <c r="AN40" s="190" t="n">
        <f aca="false">AB40+AF40+AJ40</f>
        <v>194309.9</v>
      </c>
      <c r="AO40" s="190" t="n">
        <f aca="false">AC40+AG40+AK40</f>
        <v>1005466.3</v>
      </c>
      <c r="AP40" s="190" t="n">
        <f aca="false">AD40+AH40+AL40</f>
        <v>1199776.2</v>
      </c>
      <c r="AQ40" s="215" t="s">
        <v>225</v>
      </c>
      <c r="AR40" s="190" t="n">
        <v>10348.2</v>
      </c>
      <c r="AS40" s="190" t="n">
        <v>35369.8</v>
      </c>
      <c r="AT40" s="190" t="n">
        <v>35152.7</v>
      </c>
      <c r="AU40" s="190" t="n">
        <v>146.6</v>
      </c>
      <c r="AV40" s="190" t="n">
        <f aca="false">1147364.2-25.52</f>
        <v>1147338.68</v>
      </c>
      <c r="AW40" s="190" t="n">
        <v>7705.6</v>
      </c>
      <c r="AX40" s="190" t="n">
        <f aca="false">AV40+AW40</f>
        <v>1155044.28</v>
      </c>
      <c r="AY40" s="190" t="n">
        <f aca="false">0.055*AX38</f>
        <v>60993.16245</v>
      </c>
      <c r="AZ40" s="190" t="n">
        <f aca="false">BA40-AY40</f>
        <v>13942.62885</v>
      </c>
      <c r="BA40" s="190" t="n">
        <f aca="false">75012.1-2.6387-73.67</f>
        <v>74935.7913</v>
      </c>
      <c r="BB40" s="190" t="n">
        <v>3029188.4</v>
      </c>
      <c r="BC40" s="190" t="n">
        <f aca="false">L40+BA40</f>
        <v>245322.8913</v>
      </c>
      <c r="BD40" s="190" t="n">
        <v>1422.9</v>
      </c>
      <c r="BE40" s="190" t="n">
        <v>30233</v>
      </c>
      <c r="BF40" s="190" t="n">
        <v>4900.8</v>
      </c>
      <c r="BG40" s="190" t="n">
        <v>168433.9</v>
      </c>
      <c r="BH40" s="190" t="n">
        <f aca="false">BG40+BF40+BE40+BD40</f>
        <v>204990.6</v>
      </c>
      <c r="BI40" s="215" t="s">
        <v>225</v>
      </c>
      <c r="BJ40" s="193" t="n">
        <v>19.37</v>
      </c>
      <c r="BK40" s="193" t="n">
        <v>21.64</v>
      </c>
      <c r="BL40" s="193" t="n">
        <v>11.32</v>
      </c>
      <c r="BM40" s="193" t="n">
        <v>12.26</v>
      </c>
      <c r="BN40" s="193" t="n">
        <v>9.88</v>
      </c>
      <c r="BO40" s="193" t="s">
        <v>204</v>
      </c>
      <c r="BP40" s="193" t="s">
        <v>204</v>
      </c>
      <c r="BQ40" s="194" t="s">
        <v>204</v>
      </c>
      <c r="BR40" s="194" t="n">
        <v>10396</v>
      </c>
      <c r="BS40" s="194" t="n">
        <v>3759</v>
      </c>
      <c r="BT40" s="193" t="n">
        <f aca="false">AP40/AV40*100</f>
        <v>104.570361037597</v>
      </c>
      <c r="BU40" s="193" t="n">
        <f aca="false">AV40/BR40</f>
        <v>110.363474413236</v>
      </c>
      <c r="BV40" s="193" t="n">
        <f aca="false">AP40/BR40</f>
        <v>115.407483647557</v>
      </c>
      <c r="BW40" s="193" t="n">
        <f aca="false">(M40+BA40)/AV40*100</f>
        <v>7.93452647303759</v>
      </c>
      <c r="BX40" s="193" t="n">
        <v>5</v>
      </c>
      <c r="BY40" s="193" t="n">
        <v>5.43</v>
      </c>
      <c r="BZ40" s="193" t="n">
        <v>9.58</v>
      </c>
      <c r="CA40" s="193" t="n">
        <f aca="false">BZ40-BY40</f>
        <v>4.15</v>
      </c>
      <c r="CB40" s="193" t="n">
        <v>10.56</v>
      </c>
      <c r="CC40" s="193" t="n">
        <v>13</v>
      </c>
      <c r="CD40" s="193" t="n">
        <f aca="false">CC40-CB40</f>
        <v>2.44</v>
      </c>
    </row>
    <row r="41" s="222" customFormat="true" ht="10.35" hidden="false" customHeight="true" outlineLevel="0" collapsed="false">
      <c r="A41" s="207"/>
      <c r="B41" s="207"/>
      <c r="C41" s="207"/>
      <c r="D41" s="207"/>
      <c r="E41" s="207"/>
      <c r="F41" s="207"/>
      <c r="G41" s="207"/>
      <c r="H41" s="207"/>
      <c r="I41" s="223" t="s">
        <v>227</v>
      </c>
      <c r="J41" s="209" t="n">
        <f aca="false">J53</f>
        <v>206552.2</v>
      </c>
      <c r="K41" s="209" t="n">
        <f aca="false">K53</f>
        <v>1541.9</v>
      </c>
      <c r="L41" s="209" t="n">
        <f aca="false">L53</f>
        <v>208094.1</v>
      </c>
      <c r="M41" s="209" t="n">
        <f aca="false">M53</f>
        <v>15979.6</v>
      </c>
      <c r="N41" s="209" t="n">
        <f aca="false">N53</f>
        <v>192114.5</v>
      </c>
      <c r="O41" s="209" t="n">
        <f aca="false">O53</f>
        <v>30355.7</v>
      </c>
      <c r="P41" s="209" t="n">
        <f aca="false">P53</f>
        <v>88099.4</v>
      </c>
      <c r="Q41" s="209" t="n">
        <f aca="false">Q53</f>
        <v>135528.4</v>
      </c>
      <c r="R41" s="209" t="n">
        <f aca="false">R53</f>
        <v>1045471.1</v>
      </c>
      <c r="S41" s="209" t="n">
        <f aca="false">S53</f>
        <v>1180999.5</v>
      </c>
      <c r="T41" s="209" t="n">
        <f aca="false">T53</f>
        <v>1269098.9</v>
      </c>
      <c r="U41" s="209" t="n">
        <f aca="false">U53</f>
        <v>621</v>
      </c>
      <c r="V41" s="209" t="n">
        <f aca="false">V53</f>
        <v>328263.9</v>
      </c>
      <c r="W41" s="209" t="n">
        <f aca="false">W53</f>
        <v>1373735</v>
      </c>
      <c r="X41" s="210" t="s">
        <v>204</v>
      </c>
      <c r="Y41" s="210" t="s">
        <v>204</v>
      </c>
      <c r="Z41" s="223" t="s">
        <v>227</v>
      </c>
      <c r="AA41" s="209" t="n">
        <f aca="false">AA53</f>
        <v>0</v>
      </c>
      <c r="AB41" s="209" t="n">
        <f aca="false">AB53</f>
        <v>25708.3</v>
      </c>
      <c r="AC41" s="209" t="n">
        <f aca="false">AC53</f>
        <v>1050976</v>
      </c>
      <c r="AD41" s="209" t="n">
        <f aca="false">AD53</f>
        <v>1076684.3</v>
      </c>
      <c r="AE41" s="209" t="n">
        <f aca="false">AE53</f>
        <v>0</v>
      </c>
      <c r="AF41" s="209" t="n">
        <f aca="false">AF53</f>
        <v>1921.3</v>
      </c>
      <c r="AG41" s="209" t="n">
        <f aca="false">AG53</f>
        <v>22033.3</v>
      </c>
      <c r="AH41" s="209" t="n">
        <f aca="false">AH53</f>
        <v>23954.6</v>
      </c>
      <c r="AI41" s="209" t="n">
        <f aca="false">AI53</f>
        <v>25407.3</v>
      </c>
      <c r="AJ41" s="209" t="n">
        <f aca="false">AJ53</f>
        <v>232935.5</v>
      </c>
      <c r="AK41" s="209" t="n">
        <f aca="false">AK53</f>
        <v>18916</v>
      </c>
      <c r="AL41" s="209" t="n">
        <f aca="false">AL53</f>
        <v>251851.5</v>
      </c>
      <c r="AM41" s="209" t="n">
        <f aca="false">AM53</f>
        <v>25407.3</v>
      </c>
      <c r="AN41" s="209" t="n">
        <f aca="false">AN53</f>
        <v>260565.1</v>
      </c>
      <c r="AO41" s="209" t="n">
        <f aca="false">AO53</f>
        <v>1091925.3</v>
      </c>
      <c r="AP41" s="209" t="n">
        <f aca="false">AP53</f>
        <v>1352490.4</v>
      </c>
      <c r="AQ41" s="223" t="s">
        <v>227</v>
      </c>
      <c r="AR41" s="209" t="n">
        <f aca="false">AR53</f>
        <v>13614.7</v>
      </c>
      <c r="AS41" s="209" t="n">
        <f aca="false">AS53</f>
        <v>50299.7</v>
      </c>
      <c r="AT41" s="209" t="n">
        <f aca="false">AT53</f>
        <v>35190.2</v>
      </c>
      <c r="AU41" s="209" t="n">
        <f aca="false">AU53</f>
        <v>58.5</v>
      </c>
      <c r="AV41" s="209" t="n">
        <f aca="false">AV53</f>
        <v>1269113.64</v>
      </c>
      <c r="AW41" s="209" t="n">
        <f aca="false">AW53</f>
        <v>10934.2</v>
      </c>
      <c r="AX41" s="209" t="n">
        <f aca="false">AX53</f>
        <v>1280047.84</v>
      </c>
      <c r="AY41" s="209" t="n">
        <f aca="false">AY53</f>
        <v>49693.31</v>
      </c>
      <c r="AZ41" s="209" t="n">
        <f aca="false">AZ53</f>
        <v>26071.6557</v>
      </c>
      <c r="BA41" s="209" t="n">
        <f aca="false">BA53</f>
        <v>75764.9657</v>
      </c>
      <c r="BB41" s="209" t="n">
        <f aca="false">BB53</f>
        <v>3332696.5</v>
      </c>
      <c r="BC41" s="209" t="n">
        <f aca="false">BC53</f>
        <v>283859.0657</v>
      </c>
      <c r="BD41" s="209" t="n">
        <f aca="false">BD53</f>
        <v>6000</v>
      </c>
      <c r="BE41" s="209" t="n">
        <f aca="false">BE53</f>
        <v>35715.7</v>
      </c>
      <c r="BF41" s="209" t="n">
        <f aca="false">BF53</f>
        <v>4710.3</v>
      </c>
      <c r="BG41" s="209" t="n">
        <f aca="false">BG53</f>
        <v>229191.6</v>
      </c>
      <c r="BH41" s="209" t="n">
        <f aca="false">BH53</f>
        <v>275617.6</v>
      </c>
      <c r="BI41" s="223" t="s">
        <v>227</v>
      </c>
      <c r="BJ41" s="211" t="n">
        <f aca="false">BJ53</f>
        <v>55.51</v>
      </c>
      <c r="BK41" s="211" t="n">
        <f aca="false">BK53</f>
        <v>25.09</v>
      </c>
      <c r="BL41" s="211" t="n">
        <f aca="false">BL53</f>
        <v>8.61</v>
      </c>
      <c r="BM41" s="211" t="n">
        <f aca="false">BM53</f>
        <v>13.58</v>
      </c>
      <c r="BN41" s="211" t="n">
        <f aca="false">BN53</f>
        <v>12.64</v>
      </c>
      <c r="BO41" s="212" t="n">
        <v>2.03560235416583</v>
      </c>
      <c r="BP41" s="212" t="s">
        <v>204</v>
      </c>
      <c r="BQ41" s="213" t="s">
        <v>204</v>
      </c>
      <c r="BR41" s="214" t="n">
        <f aca="false">BR53</f>
        <v>10588</v>
      </c>
      <c r="BS41" s="214" t="n">
        <f aca="false">BS53</f>
        <v>3775</v>
      </c>
      <c r="BT41" s="211" t="n">
        <f aca="false">BT53</f>
        <v>106.569684334966</v>
      </c>
      <c r="BU41" s="211" t="n">
        <f aca="false">BU53</f>
        <v>119.863396297696</v>
      </c>
      <c r="BV41" s="211" t="n">
        <f aca="false">BV53</f>
        <v>127.738043067624</v>
      </c>
      <c r="BW41" s="211" t="n">
        <f aca="false">BW53</f>
        <v>7.2290268427026</v>
      </c>
      <c r="BX41" s="211" t="n">
        <f aca="false">BX53</f>
        <v>5</v>
      </c>
      <c r="BY41" s="211" t="n">
        <f aca="false">BY53</f>
        <v>5.06</v>
      </c>
      <c r="BZ41" s="211" t="n">
        <f aca="false">BZ53</f>
        <v>7.95</v>
      </c>
      <c r="CA41" s="211" t="n">
        <f aca="false">CA53</f>
        <v>2.89</v>
      </c>
      <c r="CB41" s="211" t="n">
        <f aca="false">CB53</f>
        <v>9.72</v>
      </c>
      <c r="CC41" s="211" t="n">
        <f aca="false">CC53</f>
        <v>12.93</v>
      </c>
      <c r="CD41" s="211" t="n">
        <f aca="false">CD53</f>
        <v>3.21</v>
      </c>
    </row>
    <row r="42" s="222" customFormat="true" ht="10.35" hidden="false" customHeight="true" outlineLevel="0" collapsed="false">
      <c r="A42" s="207"/>
      <c r="B42" s="207"/>
      <c r="C42" s="207"/>
      <c r="D42" s="207"/>
      <c r="E42" s="207"/>
      <c r="F42" s="207"/>
      <c r="G42" s="207"/>
      <c r="H42" s="207"/>
      <c r="I42" s="215" t="s">
        <v>214</v>
      </c>
      <c r="J42" s="190" t="n">
        <v>170895.7</v>
      </c>
      <c r="K42" s="190" t="n">
        <v>1532.5</v>
      </c>
      <c r="L42" s="190" t="n">
        <f aca="false">J42+K42</f>
        <v>172428.2</v>
      </c>
      <c r="M42" s="190" t="n">
        <v>14597.1</v>
      </c>
      <c r="N42" s="190" t="n">
        <f aca="false">L42-M42</f>
        <v>157831.1</v>
      </c>
      <c r="O42" s="190" t="n">
        <v>34568.2</v>
      </c>
      <c r="P42" s="190" t="n">
        <v>82205.4</v>
      </c>
      <c r="Q42" s="190" t="n">
        <v>114430</v>
      </c>
      <c r="R42" s="190" t="n">
        <v>956594.5</v>
      </c>
      <c r="S42" s="190" t="n">
        <f aca="false">Q42+R42</f>
        <v>1071024.5</v>
      </c>
      <c r="T42" s="190" t="n">
        <f aca="false">P42+S42</f>
        <v>1153229.9</v>
      </c>
      <c r="U42" s="190" t="n">
        <v>716.7</v>
      </c>
      <c r="V42" s="190" t="n">
        <f aca="false">N42+Q42+U42</f>
        <v>272977.8</v>
      </c>
      <c r="W42" s="190" t="n">
        <f aca="false">R42+V42</f>
        <v>1229572.3</v>
      </c>
      <c r="X42" s="190" t="s">
        <v>204</v>
      </c>
      <c r="Y42" s="190" t="s">
        <v>204</v>
      </c>
      <c r="Z42" s="215" t="s">
        <v>214</v>
      </c>
      <c r="AA42" s="192" t="n">
        <v>0</v>
      </c>
      <c r="AB42" s="190" t="n">
        <v>21704.9</v>
      </c>
      <c r="AC42" s="190" t="n">
        <v>952808.2</v>
      </c>
      <c r="AD42" s="190" t="n">
        <f aca="false">AB42+AC42</f>
        <v>974513.1</v>
      </c>
      <c r="AE42" s="192" t="n">
        <v>0</v>
      </c>
      <c r="AF42" s="190" t="n">
        <v>1846.9</v>
      </c>
      <c r="AG42" s="190" t="n">
        <v>27850.9</v>
      </c>
      <c r="AH42" s="190" t="n">
        <f aca="false">AF42+AG42</f>
        <v>29697.8</v>
      </c>
      <c r="AI42" s="190" t="n">
        <v>26301.6</v>
      </c>
      <c r="AJ42" s="190" t="n">
        <v>188653.7</v>
      </c>
      <c r="AK42" s="190" t="n">
        <v>17501.7</v>
      </c>
      <c r="AL42" s="190" t="n">
        <f aca="false">AJ42+AK42</f>
        <v>206155.4</v>
      </c>
      <c r="AM42" s="190" t="n">
        <f aca="false">AA42+AE42+AI42</f>
        <v>26301.6</v>
      </c>
      <c r="AN42" s="190" t="n">
        <f aca="false">AB42+AF42+AJ42</f>
        <v>212205.5</v>
      </c>
      <c r="AO42" s="190" t="n">
        <f aca="false">AC42+AG42+AK42</f>
        <v>998160.8</v>
      </c>
      <c r="AP42" s="190" t="n">
        <f aca="false">AD42+AH42+AL42</f>
        <v>1210366.3</v>
      </c>
      <c r="AQ42" s="215" t="s">
        <v>214</v>
      </c>
      <c r="AR42" s="190" t="n">
        <v>9447.6</v>
      </c>
      <c r="AS42" s="190" t="n">
        <v>36924.7</v>
      </c>
      <c r="AT42" s="190" t="n">
        <v>34760.5</v>
      </c>
      <c r="AU42" s="190" t="n">
        <v>46.8</v>
      </c>
      <c r="AV42" s="190" t="n">
        <f aca="false">1153279.1-25.72</f>
        <v>1153253.38</v>
      </c>
      <c r="AW42" s="190" t="n">
        <v>7752.4</v>
      </c>
      <c r="AX42" s="190" t="n">
        <f aca="false">AV42+AW42</f>
        <v>1161005.78</v>
      </c>
      <c r="AY42" s="190" t="n">
        <f aca="false">0.055*AX39</f>
        <v>61861.25825</v>
      </c>
      <c r="AZ42" s="190" t="n">
        <f aca="false">BA42-AY42</f>
        <v>8468.70554999999</v>
      </c>
      <c r="BA42" s="171" t="n">
        <f aca="false">70408.7-2.9662-75.77</f>
        <v>70329.9638</v>
      </c>
      <c r="BB42" s="190" t="n">
        <v>3076386.8</v>
      </c>
      <c r="BC42" s="190" t="n">
        <f aca="false">L42+BA42</f>
        <v>242758.1638</v>
      </c>
      <c r="BD42" s="190" t="n">
        <v>2388.6</v>
      </c>
      <c r="BE42" s="190" t="n">
        <v>29206.2</v>
      </c>
      <c r="BF42" s="190" t="n">
        <v>4762.2</v>
      </c>
      <c r="BG42" s="190" t="n">
        <v>185491.3</v>
      </c>
      <c r="BH42" s="190" t="n">
        <f aca="false">BG42+BF42+BE42+BD42</f>
        <v>221848.3</v>
      </c>
      <c r="BI42" s="215" t="s">
        <v>214</v>
      </c>
      <c r="BJ42" s="193" t="n">
        <v>14.73</v>
      </c>
      <c r="BK42" s="193" t="n">
        <v>4.57</v>
      </c>
      <c r="BL42" s="193" t="n">
        <v>-0.72</v>
      </c>
      <c r="BM42" s="193" t="n">
        <v>0.91</v>
      </c>
      <c r="BN42" s="193" t="n">
        <v>0.82</v>
      </c>
      <c r="BO42" s="193" t="s">
        <v>204</v>
      </c>
      <c r="BP42" s="193" t="s">
        <v>204</v>
      </c>
      <c r="BQ42" s="194" t="s">
        <v>204</v>
      </c>
      <c r="BR42" s="194" t="n">
        <v>10375</v>
      </c>
      <c r="BS42" s="194" t="n">
        <v>3760</v>
      </c>
      <c r="BT42" s="193" t="n">
        <f aca="false">AP42/AV42*100</f>
        <v>104.952330597115</v>
      </c>
      <c r="BU42" s="193" t="n">
        <f aca="false">AV42/BR42</f>
        <v>111.156952289157</v>
      </c>
      <c r="BV42" s="193" t="n">
        <f aca="false">AP42/BR42</f>
        <v>116.661812048193</v>
      </c>
      <c r="BW42" s="193" t="n">
        <f aca="false">(M42+BA42)/AV42*100</f>
        <v>7.36412875720338</v>
      </c>
      <c r="BX42" s="193" t="n">
        <v>5</v>
      </c>
      <c r="BY42" s="193" t="n">
        <v>5.56</v>
      </c>
      <c r="BZ42" s="193" t="n">
        <v>9.59</v>
      </c>
      <c r="CA42" s="193" t="n">
        <f aca="false">BZ42-BY42</f>
        <v>4.03</v>
      </c>
      <c r="CB42" s="193" t="n">
        <v>10.65</v>
      </c>
      <c r="CC42" s="193" t="n">
        <v>12.99</v>
      </c>
      <c r="CD42" s="193" t="n">
        <f aca="false">CC42-CB42</f>
        <v>2.34</v>
      </c>
    </row>
    <row r="43" s="222" customFormat="true" ht="10.35" hidden="false" customHeight="true" outlineLevel="0" collapsed="false">
      <c r="A43" s="207"/>
      <c r="B43" s="207"/>
      <c r="C43" s="207"/>
      <c r="D43" s="207"/>
      <c r="E43" s="207"/>
      <c r="F43" s="207"/>
      <c r="G43" s="207"/>
      <c r="H43" s="207"/>
      <c r="I43" s="207" t="s">
        <v>215</v>
      </c>
      <c r="J43" s="196" t="n">
        <v>178627.1</v>
      </c>
      <c r="K43" s="196" t="n">
        <v>1534.4</v>
      </c>
      <c r="L43" s="196" t="n">
        <f aca="false">J43+K43</f>
        <v>180161.5</v>
      </c>
      <c r="M43" s="196" t="n">
        <v>14990.9</v>
      </c>
      <c r="N43" s="196" t="n">
        <f aca="false">L43-M43</f>
        <v>165170.6</v>
      </c>
      <c r="O43" s="196" t="n">
        <v>33549.1</v>
      </c>
      <c r="P43" s="196" t="n">
        <v>78804.4</v>
      </c>
      <c r="Q43" s="196" t="n">
        <v>110436.4</v>
      </c>
      <c r="R43" s="196" t="n">
        <v>969983.5</v>
      </c>
      <c r="S43" s="196" t="n">
        <f aca="false">Q43+R43</f>
        <v>1080419.9</v>
      </c>
      <c r="T43" s="196" t="n">
        <f aca="false">P43+S43</f>
        <v>1159224.3</v>
      </c>
      <c r="U43" s="196" t="n">
        <v>714.8</v>
      </c>
      <c r="V43" s="196" t="n">
        <f aca="false">N43+Q43+U43</f>
        <v>276321.8</v>
      </c>
      <c r="W43" s="196" t="n">
        <f aca="false">R43+V43</f>
        <v>1246305.3</v>
      </c>
      <c r="X43" s="196" t="s">
        <v>204</v>
      </c>
      <c r="Y43" s="196" t="s">
        <v>204</v>
      </c>
      <c r="Z43" s="207" t="s">
        <v>215</v>
      </c>
      <c r="AA43" s="186" t="n">
        <v>0</v>
      </c>
      <c r="AB43" s="196" t="n">
        <v>21484.9</v>
      </c>
      <c r="AC43" s="196" t="n">
        <v>956876.6</v>
      </c>
      <c r="AD43" s="196" t="n">
        <f aca="false">AB43+AC43</f>
        <v>978361.5</v>
      </c>
      <c r="AE43" s="186" t="n">
        <v>0</v>
      </c>
      <c r="AF43" s="196" t="n">
        <v>2049.9</v>
      </c>
      <c r="AG43" s="196" t="n">
        <v>27929.1</v>
      </c>
      <c r="AH43" s="196" t="n">
        <f aca="false">AF43+AG43</f>
        <v>29979</v>
      </c>
      <c r="AI43" s="196" t="n">
        <v>28508.3</v>
      </c>
      <c r="AJ43" s="196" t="n">
        <v>192166.6</v>
      </c>
      <c r="AK43" s="196" t="n">
        <v>17791.1</v>
      </c>
      <c r="AL43" s="196" t="n">
        <f aca="false">AJ43+AK43</f>
        <v>209957.7</v>
      </c>
      <c r="AM43" s="196" t="n">
        <f aca="false">AA43+AE43+AI43</f>
        <v>28508.3</v>
      </c>
      <c r="AN43" s="196" t="n">
        <f aca="false">AB43+AF43+AJ43</f>
        <v>215701.4</v>
      </c>
      <c r="AO43" s="196" t="n">
        <f aca="false">AC43+AG43+AK43</f>
        <v>1002596.8</v>
      </c>
      <c r="AP43" s="196" t="n">
        <f aca="false">AD43+AH43+AL43</f>
        <v>1218298.2</v>
      </c>
      <c r="AQ43" s="207" t="s">
        <v>215</v>
      </c>
      <c r="AR43" s="196" t="n">
        <v>8392</v>
      </c>
      <c r="AS43" s="196" t="n">
        <v>39354.6</v>
      </c>
      <c r="AT43" s="196" t="n">
        <v>33914.3</v>
      </c>
      <c r="AU43" s="196" t="n">
        <v>29.2</v>
      </c>
      <c r="AV43" s="196" t="n">
        <f aca="false">1159273.3-25.32</f>
        <v>1159247.98</v>
      </c>
      <c r="AW43" s="196" t="n">
        <v>9232.5</v>
      </c>
      <c r="AX43" s="196" t="n">
        <f aca="false">AV43+AW43</f>
        <v>1168480.48</v>
      </c>
      <c r="AY43" s="196" t="n">
        <f aca="false">0.055*AX40</f>
        <v>63527.4354</v>
      </c>
      <c r="AZ43" s="196" t="n">
        <f aca="false">BA43-AY43</f>
        <v>6915.7631</v>
      </c>
      <c r="BA43" s="180" t="n">
        <f aca="false">70511.7-2.7315-65.77</f>
        <v>70443.1985</v>
      </c>
      <c r="BB43" s="196" t="n">
        <v>3133103.4</v>
      </c>
      <c r="BC43" s="196" t="n">
        <f aca="false">L43+BA43</f>
        <v>250604.6985</v>
      </c>
      <c r="BD43" s="196" t="n">
        <v>0</v>
      </c>
      <c r="BE43" s="196" t="n">
        <v>36638.2</v>
      </c>
      <c r="BF43" s="196" t="n">
        <v>4768.2</v>
      </c>
      <c r="BG43" s="196" t="n">
        <v>189005.8</v>
      </c>
      <c r="BH43" s="196" t="n">
        <f aca="false">BG43+BF43+BE43+BD43</f>
        <v>230412.2</v>
      </c>
      <c r="BI43" s="207" t="s">
        <v>215</v>
      </c>
      <c r="BJ43" s="187" t="n">
        <v>22.16</v>
      </c>
      <c r="BK43" s="187" t="n">
        <v>4.48</v>
      </c>
      <c r="BL43" s="187" t="n">
        <v>-0.28</v>
      </c>
      <c r="BM43" s="187" t="n">
        <v>2.03</v>
      </c>
      <c r="BN43" s="187" t="n">
        <v>2.19</v>
      </c>
      <c r="BO43" s="187" t="s">
        <v>204</v>
      </c>
      <c r="BP43" s="187" t="s">
        <v>204</v>
      </c>
      <c r="BQ43" s="188" t="s">
        <v>204</v>
      </c>
      <c r="BR43" s="188" t="n">
        <v>10388</v>
      </c>
      <c r="BS43" s="188" t="n">
        <v>3760</v>
      </c>
      <c r="BT43" s="187" t="n">
        <f aca="false">AP43/AV43*100</f>
        <v>105.093838507271</v>
      </c>
      <c r="BU43" s="187" t="n">
        <f aca="false">AV43/BR43</f>
        <v>111.594915286869</v>
      </c>
      <c r="BV43" s="187" t="n">
        <f aca="false">AP43/BR43</f>
        <v>117.279380053908</v>
      </c>
      <c r="BW43" s="187" t="n">
        <f aca="false">(M43+BA43)/AV43*100</f>
        <v>7.36978627299398</v>
      </c>
      <c r="BX43" s="187" t="n">
        <v>5</v>
      </c>
      <c r="BY43" s="187" t="n">
        <v>5.6</v>
      </c>
      <c r="BZ43" s="187" t="n">
        <v>9.6</v>
      </c>
      <c r="CA43" s="187" t="n">
        <f aca="false">BZ43-BY43</f>
        <v>4</v>
      </c>
      <c r="CB43" s="187" t="n">
        <v>10.62</v>
      </c>
      <c r="CC43" s="187" t="n">
        <v>12.96</v>
      </c>
      <c r="CD43" s="187" t="n">
        <f aca="false">CC43-CB43</f>
        <v>2.34</v>
      </c>
    </row>
    <row r="44" s="222" customFormat="true" ht="10.35" hidden="false" customHeight="true" outlineLevel="0" collapsed="false">
      <c r="A44" s="207"/>
      <c r="B44" s="207"/>
      <c r="C44" s="207"/>
      <c r="D44" s="207"/>
      <c r="E44" s="207"/>
      <c r="F44" s="207"/>
      <c r="G44" s="207"/>
      <c r="H44" s="207"/>
      <c r="I44" s="215" t="s">
        <v>216</v>
      </c>
      <c r="J44" s="190" t="n">
        <v>172411.3</v>
      </c>
      <c r="K44" s="190" t="n">
        <v>1535.5</v>
      </c>
      <c r="L44" s="190" t="n">
        <f aca="false">J44+K44</f>
        <v>173946.8</v>
      </c>
      <c r="M44" s="190" t="n">
        <v>16039.1</v>
      </c>
      <c r="N44" s="190" t="n">
        <f aca="false">L44-M44</f>
        <v>157907.7</v>
      </c>
      <c r="O44" s="190" t="n">
        <v>31008.9</v>
      </c>
      <c r="P44" s="190" t="n">
        <v>76928.8</v>
      </c>
      <c r="Q44" s="190" t="n">
        <v>112179.2</v>
      </c>
      <c r="R44" s="190" t="n">
        <v>981061.1</v>
      </c>
      <c r="S44" s="190" t="n">
        <f aca="false">Q44+R44</f>
        <v>1093240.3</v>
      </c>
      <c r="T44" s="190" t="n">
        <f aca="false">P44+S44</f>
        <v>1170169.1</v>
      </c>
      <c r="U44" s="190" t="n">
        <v>732.9</v>
      </c>
      <c r="V44" s="190" t="n">
        <f aca="false">N44+Q44+U44</f>
        <v>270819.8</v>
      </c>
      <c r="W44" s="190" t="n">
        <f aca="false">R44+V44</f>
        <v>1251880.9</v>
      </c>
      <c r="X44" s="190" t="s">
        <v>204</v>
      </c>
      <c r="Y44" s="190" t="s">
        <v>204</v>
      </c>
      <c r="Z44" s="215" t="s">
        <v>216</v>
      </c>
      <c r="AA44" s="192" t="n">
        <v>0</v>
      </c>
      <c r="AB44" s="190" t="n">
        <v>22208.8</v>
      </c>
      <c r="AC44" s="190" t="n">
        <v>966257.3</v>
      </c>
      <c r="AD44" s="190" t="n">
        <f aca="false">AB44+AC44</f>
        <v>988466.1</v>
      </c>
      <c r="AE44" s="192" t="n">
        <v>0</v>
      </c>
      <c r="AF44" s="190" t="n">
        <v>2019.2</v>
      </c>
      <c r="AG44" s="190" t="n">
        <v>27340.6</v>
      </c>
      <c r="AH44" s="190" t="n">
        <f aca="false">AF44+AG44</f>
        <v>29359.8</v>
      </c>
      <c r="AI44" s="190" t="n">
        <v>23976.4</v>
      </c>
      <c r="AJ44" s="190" t="n">
        <v>194291.4</v>
      </c>
      <c r="AK44" s="190" t="n">
        <v>18281.4</v>
      </c>
      <c r="AL44" s="190" t="n">
        <f aca="false">AJ44+AK44</f>
        <v>212572.8</v>
      </c>
      <c r="AM44" s="190" t="n">
        <f aca="false">AA44+AE44+AI44</f>
        <v>23976.4</v>
      </c>
      <c r="AN44" s="190" t="n">
        <f aca="false">AB44+AF44+AJ44</f>
        <v>218519.4</v>
      </c>
      <c r="AO44" s="190" t="n">
        <f aca="false">AC44+AG44+AK44</f>
        <v>1011879.3</v>
      </c>
      <c r="AP44" s="190" t="n">
        <f aca="false">AD44+AH44+AL44</f>
        <v>1230398.7</v>
      </c>
      <c r="AQ44" s="215" t="s">
        <v>216</v>
      </c>
      <c r="AR44" s="190" t="n">
        <v>8342.8</v>
      </c>
      <c r="AS44" s="190" t="n">
        <v>37687.7</v>
      </c>
      <c r="AT44" s="190" t="n">
        <v>32718.6</v>
      </c>
      <c r="AU44" s="190" t="n">
        <v>133.7</v>
      </c>
      <c r="AV44" s="190" t="n">
        <f aca="false">1170218.1-25.41</f>
        <v>1170192.69</v>
      </c>
      <c r="AW44" s="190" t="n">
        <v>8136.6</v>
      </c>
      <c r="AX44" s="190" t="n">
        <f aca="false">AV44+AW44</f>
        <v>1178329.29</v>
      </c>
      <c r="AY44" s="190" t="n">
        <f aca="false">0.055*AX42</f>
        <v>63855.3179</v>
      </c>
      <c r="AZ44" s="190" t="n">
        <f aca="false">BA44-AY44</f>
        <v>8585.58519999999</v>
      </c>
      <c r="BA44" s="171" t="n">
        <f aca="false">72508.3-1.6869-65.71</f>
        <v>72440.9031</v>
      </c>
      <c r="BB44" s="190" t="n">
        <v>3159959.6</v>
      </c>
      <c r="BC44" s="190" t="n">
        <f aca="false">L44+BA44</f>
        <v>246387.7031</v>
      </c>
      <c r="BD44" s="190" t="n">
        <v>0</v>
      </c>
      <c r="BE44" s="190" t="n">
        <v>33948</v>
      </c>
      <c r="BF44" s="190" t="n">
        <v>4372.4</v>
      </c>
      <c r="BG44" s="190" t="n">
        <v>190880.8</v>
      </c>
      <c r="BH44" s="190" t="n">
        <f aca="false">BG44+BF44+BE44+BD44</f>
        <v>229201.2</v>
      </c>
      <c r="BI44" s="215" t="s">
        <v>216</v>
      </c>
      <c r="BJ44" s="193" t="n">
        <v>24.28</v>
      </c>
      <c r="BK44" s="193" t="n">
        <v>10.24</v>
      </c>
      <c r="BL44" s="193" t="n">
        <v>0.64</v>
      </c>
      <c r="BM44" s="193" t="n">
        <v>3.17</v>
      </c>
      <c r="BN44" s="193" t="n">
        <v>2.65</v>
      </c>
      <c r="BO44" s="193" t="s">
        <v>204</v>
      </c>
      <c r="BP44" s="193" t="s">
        <v>204</v>
      </c>
      <c r="BQ44" s="194" t="s">
        <v>204</v>
      </c>
      <c r="BR44" s="194" t="n">
        <v>10406</v>
      </c>
      <c r="BS44" s="194" t="n">
        <v>3763</v>
      </c>
      <c r="BT44" s="193" t="n">
        <f aca="false">AP44/AV44*100</f>
        <v>105.144965484274</v>
      </c>
      <c r="BU44" s="193" t="n">
        <f aca="false">AV44/BR44</f>
        <v>112.453650778397</v>
      </c>
      <c r="BV44" s="193" t="n">
        <f aca="false">AP44/BR44</f>
        <v>118.239352296752</v>
      </c>
      <c r="BW44" s="193" t="n">
        <f aca="false">(M44+BA44)/AV44*100</f>
        <v>7.56114816441043</v>
      </c>
      <c r="BX44" s="193" t="n">
        <v>5</v>
      </c>
      <c r="BY44" s="193" t="n">
        <v>5.65</v>
      </c>
      <c r="BZ44" s="193" t="n">
        <v>9.56</v>
      </c>
      <c r="CA44" s="193" t="n">
        <f aca="false">BZ44-BY44</f>
        <v>3.91</v>
      </c>
      <c r="CB44" s="193" t="n">
        <v>10.62</v>
      </c>
      <c r="CC44" s="193" t="n">
        <v>12.91</v>
      </c>
      <c r="CD44" s="193" t="n">
        <f aca="false">CC44-CB44</f>
        <v>2.29</v>
      </c>
    </row>
    <row r="45" s="222" customFormat="true" ht="10.35" hidden="false" customHeight="true" outlineLevel="0" collapsed="false">
      <c r="A45" s="207"/>
      <c r="B45" s="207"/>
      <c r="C45" s="207"/>
      <c r="D45" s="207"/>
      <c r="E45" s="207"/>
      <c r="F45" s="207"/>
      <c r="G45" s="207"/>
      <c r="H45" s="207"/>
      <c r="I45" s="207" t="s">
        <v>217</v>
      </c>
      <c r="J45" s="196" t="n">
        <v>167210.1</v>
      </c>
      <c r="K45" s="196" t="n">
        <v>1535</v>
      </c>
      <c r="L45" s="196" t="n">
        <f aca="false">J45+K45</f>
        <v>168745.1</v>
      </c>
      <c r="M45" s="196" t="n">
        <v>13917.4</v>
      </c>
      <c r="N45" s="196" t="n">
        <f aca="false">L45-M45</f>
        <v>154827.7</v>
      </c>
      <c r="O45" s="196" t="n">
        <v>30746.7</v>
      </c>
      <c r="P45" s="196" t="n">
        <v>80454.2</v>
      </c>
      <c r="Q45" s="196" t="n">
        <v>113252</v>
      </c>
      <c r="R45" s="196" t="n">
        <v>993006.4</v>
      </c>
      <c r="S45" s="196" t="n">
        <f aca="false">Q45+R45</f>
        <v>1106258.4</v>
      </c>
      <c r="T45" s="196" t="n">
        <f aca="false">P45+S45</f>
        <v>1186712.6</v>
      </c>
      <c r="U45" s="196" t="n">
        <v>725.1</v>
      </c>
      <c r="V45" s="196" t="n">
        <f aca="false">N45+Q45+U45</f>
        <v>268804.8</v>
      </c>
      <c r="W45" s="196" t="n">
        <f aca="false">R45+V45</f>
        <v>1261811.2</v>
      </c>
      <c r="X45" s="196" t="s">
        <v>204</v>
      </c>
      <c r="Y45" s="196" t="s">
        <v>204</v>
      </c>
      <c r="Z45" s="207" t="s">
        <v>217</v>
      </c>
      <c r="AA45" s="186" t="n">
        <v>0</v>
      </c>
      <c r="AB45" s="196" t="n">
        <v>22417.4</v>
      </c>
      <c r="AC45" s="196" t="n">
        <v>975834.8</v>
      </c>
      <c r="AD45" s="196" t="n">
        <f aca="false">AB45+AC45</f>
        <v>998252.2</v>
      </c>
      <c r="AE45" s="186" t="n">
        <v>0</v>
      </c>
      <c r="AF45" s="196" t="n">
        <v>1926.5</v>
      </c>
      <c r="AG45" s="196" t="n">
        <v>26619.6</v>
      </c>
      <c r="AH45" s="196" t="n">
        <f aca="false">AF45+AG45</f>
        <v>28546.1</v>
      </c>
      <c r="AI45" s="196" t="n">
        <v>23762.8</v>
      </c>
      <c r="AJ45" s="196" t="n">
        <v>199205.7</v>
      </c>
      <c r="AK45" s="196" t="n">
        <v>18688.8</v>
      </c>
      <c r="AL45" s="196" t="n">
        <f aca="false">AJ45+AK45</f>
        <v>217894.5</v>
      </c>
      <c r="AM45" s="196" t="n">
        <f aca="false">AA45+AE45+AI45</f>
        <v>23762.8</v>
      </c>
      <c r="AN45" s="196" t="n">
        <f aca="false">AB45+AF45+AJ45</f>
        <v>223549.6</v>
      </c>
      <c r="AO45" s="196" t="n">
        <f aca="false">AC45+AG45+AK45</f>
        <v>1021143.2</v>
      </c>
      <c r="AP45" s="196" t="n">
        <f aca="false">AD45+AH45+AL45</f>
        <v>1244692.8</v>
      </c>
      <c r="AQ45" s="207" t="s">
        <v>217</v>
      </c>
      <c r="AR45" s="196" t="n">
        <v>7807.3</v>
      </c>
      <c r="AS45" s="196" t="n">
        <v>37657.8</v>
      </c>
      <c r="AT45" s="196" t="n">
        <v>29362.1</v>
      </c>
      <c r="AU45" s="196" t="n">
        <v>47.9</v>
      </c>
      <c r="AV45" s="196" t="n">
        <f aca="false">1186761.7-25</f>
        <v>1186736.7</v>
      </c>
      <c r="AW45" s="196" t="n">
        <v>8818.8</v>
      </c>
      <c r="AX45" s="196" t="n">
        <f aca="false">AV45+AW45</f>
        <v>1195555.5</v>
      </c>
      <c r="AY45" s="196" t="n">
        <f aca="false">0.055*AX43</f>
        <v>64266.4264</v>
      </c>
      <c r="AZ45" s="196" t="n">
        <f aca="false">BA45-AY45</f>
        <v>17234.6199</v>
      </c>
      <c r="BA45" s="180" t="n">
        <f aca="false">81567.7-0.9437-65.71</f>
        <v>81501.0463</v>
      </c>
      <c r="BB45" s="196" t="n">
        <v>3217841.2</v>
      </c>
      <c r="BC45" s="196" t="n">
        <f aca="false">L45+BA45</f>
        <v>250246.1463</v>
      </c>
      <c r="BD45" s="196" t="n">
        <v>6000</v>
      </c>
      <c r="BE45" s="196" t="n">
        <v>33826.9</v>
      </c>
      <c r="BF45" s="196" t="n">
        <v>4589.6</v>
      </c>
      <c r="BG45" s="196" t="n">
        <v>195595.2</v>
      </c>
      <c r="BH45" s="196" t="n">
        <f aca="false">BG45+BF45+BE45+BD45</f>
        <v>240011.7</v>
      </c>
      <c r="BI45" s="207" t="s">
        <v>217</v>
      </c>
      <c r="BJ45" s="187" t="n">
        <v>30.35</v>
      </c>
      <c r="BK45" s="187" t="n">
        <v>10.67</v>
      </c>
      <c r="BL45" s="187" t="n">
        <v>1.55</v>
      </c>
      <c r="BM45" s="187" t="n">
        <v>4.58</v>
      </c>
      <c r="BN45" s="187" t="n">
        <v>3.46</v>
      </c>
      <c r="BO45" s="187" t="s">
        <v>204</v>
      </c>
      <c r="BP45" s="187" t="s">
        <v>204</v>
      </c>
      <c r="BQ45" s="188" t="s">
        <v>204</v>
      </c>
      <c r="BR45" s="188" t="n">
        <v>10426</v>
      </c>
      <c r="BS45" s="188" t="n">
        <v>3764</v>
      </c>
      <c r="BT45" s="187" t="n">
        <f aca="false">AP45/AV45*100</f>
        <v>104.883652793412</v>
      </c>
      <c r="BU45" s="187" t="n">
        <f aca="false">AV45/BR45</f>
        <v>113.824736236332</v>
      </c>
      <c r="BV45" s="187" t="n">
        <f aca="false">AP45/BR45</f>
        <v>119.383541147132</v>
      </c>
      <c r="BW45" s="187" t="n">
        <f aca="false">(M45+BA45)/AV45*100</f>
        <v>8.0404057867259</v>
      </c>
      <c r="BX45" s="187" t="n">
        <v>5</v>
      </c>
      <c r="BY45" s="187" t="n">
        <v>5.66</v>
      </c>
      <c r="BZ45" s="187" t="n">
        <v>9.58</v>
      </c>
      <c r="CA45" s="187" t="n">
        <f aca="false">BZ45-BY45</f>
        <v>3.92</v>
      </c>
      <c r="CB45" s="187" t="n">
        <v>10.6</v>
      </c>
      <c r="CC45" s="187" t="n">
        <v>12.98</v>
      </c>
      <c r="CD45" s="187" t="n">
        <f aca="false">CC45-CB45</f>
        <v>2.38</v>
      </c>
    </row>
    <row r="46" s="222" customFormat="true" ht="10.35" hidden="false" customHeight="true" outlineLevel="0" collapsed="false">
      <c r="A46" s="207"/>
      <c r="B46" s="207"/>
      <c r="C46" s="207"/>
      <c r="D46" s="207"/>
      <c r="E46" s="207"/>
      <c r="F46" s="207"/>
      <c r="G46" s="207"/>
      <c r="H46" s="207"/>
      <c r="I46" s="215" t="s">
        <v>218</v>
      </c>
      <c r="J46" s="190" t="n">
        <v>167464.6</v>
      </c>
      <c r="K46" s="190" t="n">
        <v>1535.7</v>
      </c>
      <c r="L46" s="190" t="n">
        <f aca="false">J46+K46</f>
        <v>169000.3</v>
      </c>
      <c r="M46" s="190" t="n">
        <v>13746.7</v>
      </c>
      <c r="N46" s="190" t="n">
        <f aca="false">L46-M46</f>
        <v>155253.6</v>
      </c>
      <c r="O46" s="190" t="n">
        <v>29462.2</v>
      </c>
      <c r="P46" s="190" t="n">
        <v>81391.1</v>
      </c>
      <c r="Q46" s="190" t="n">
        <v>113932.7</v>
      </c>
      <c r="R46" s="190" t="n">
        <v>1005555.2</v>
      </c>
      <c r="S46" s="190" t="n">
        <f aca="false">Q46+R46</f>
        <v>1119487.9</v>
      </c>
      <c r="T46" s="190" t="n">
        <f aca="false">P46+S46</f>
        <v>1200879</v>
      </c>
      <c r="U46" s="190" t="n">
        <v>735.5</v>
      </c>
      <c r="V46" s="190" t="n">
        <f aca="false">N46+Q46+U46</f>
        <v>269921.8</v>
      </c>
      <c r="W46" s="190" t="n">
        <f aca="false">R46+V46</f>
        <v>1275477</v>
      </c>
      <c r="X46" s="190" t="s">
        <v>204</v>
      </c>
      <c r="Y46" s="190" t="s">
        <v>204</v>
      </c>
      <c r="Z46" s="215" t="s">
        <v>218</v>
      </c>
      <c r="AA46" s="192" t="n">
        <v>0</v>
      </c>
      <c r="AB46" s="190" t="n">
        <v>23292.3</v>
      </c>
      <c r="AC46" s="190" t="n">
        <v>984935</v>
      </c>
      <c r="AD46" s="190" t="n">
        <f aca="false">AB46+AC46</f>
        <v>1008227.3</v>
      </c>
      <c r="AE46" s="192" t="n">
        <v>0</v>
      </c>
      <c r="AF46" s="190" t="n">
        <v>1882.7</v>
      </c>
      <c r="AG46" s="190" t="n">
        <v>27297.1</v>
      </c>
      <c r="AH46" s="190" t="n">
        <f aca="false">AF46+AG46</f>
        <v>29179.8</v>
      </c>
      <c r="AI46" s="190" t="n">
        <v>24441.1</v>
      </c>
      <c r="AJ46" s="190" t="n">
        <v>208745.9</v>
      </c>
      <c r="AK46" s="190" t="n">
        <v>18778.4</v>
      </c>
      <c r="AL46" s="190" t="n">
        <f aca="false">AJ46+AK46</f>
        <v>227524.3</v>
      </c>
      <c r="AM46" s="190" t="n">
        <f aca="false">AA46+AE46+AI46</f>
        <v>24441.1</v>
      </c>
      <c r="AN46" s="190" t="n">
        <f aca="false">AB46+AF46+AJ46</f>
        <v>233920.9</v>
      </c>
      <c r="AO46" s="190" t="n">
        <f aca="false">AC46+AG46+AK46</f>
        <v>1031010.5</v>
      </c>
      <c r="AP46" s="190" t="n">
        <f aca="false">AD46+AH46+AL46</f>
        <v>1264931.4</v>
      </c>
      <c r="AQ46" s="215" t="s">
        <v>218</v>
      </c>
      <c r="AR46" s="190" t="n">
        <v>6810.6</v>
      </c>
      <c r="AS46" s="190" t="n">
        <v>37840.8</v>
      </c>
      <c r="AT46" s="190" t="n">
        <v>29979.9</v>
      </c>
      <c r="AU46" s="190" t="n">
        <v>61.8</v>
      </c>
      <c r="AV46" s="190" t="n">
        <f aca="false">1200928.2-25.38</f>
        <v>1200902.82</v>
      </c>
      <c r="AW46" s="190" t="n">
        <v>9226.4</v>
      </c>
      <c r="AX46" s="190" t="n">
        <f aca="false">AV46+AW46</f>
        <v>1210129.22</v>
      </c>
      <c r="AY46" s="190" t="n">
        <f aca="false">0.055*AX44</f>
        <v>64808.11095</v>
      </c>
      <c r="AZ46" s="190" t="n">
        <f aca="false">BA46-AY46</f>
        <v>11576.15955</v>
      </c>
      <c r="BA46" s="171" t="n">
        <f aca="false">76451.1-1.1195-65.71</f>
        <v>76384.2705</v>
      </c>
      <c r="BB46" s="190" t="n">
        <v>3261591.5</v>
      </c>
      <c r="BC46" s="190" t="n">
        <f aca="false">L46+BA46</f>
        <v>245384.5705</v>
      </c>
      <c r="BD46" s="190" t="n">
        <v>5957.9</v>
      </c>
      <c r="BE46" s="190" t="n">
        <v>31648.6</v>
      </c>
      <c r="BF46" s="190" t="n">
        <v>4421.2</v>
      </c>
      <c r="BG46" s="190" t="n">
        <v>205136.1</v>
      </c>
      <c r="BH46" s="190" t="n">
        <f aca="false">BG46+BF46+BE46+BD46</f>
        <v>247163.8</v>
      </c>
      <c r="BI46" s="215" t="s">
        <v>218</v>
      </c>
      <c r="BJ46" s="193" t="n">
        <v>35.46</v>
      </c>
      <c r="BK46" s="193" t="n">
        <v>15.39</v>
      </c>
      <c r="BL46" s="193" t="n">
        <v>2.53</v>
      </c>
      <c r="BM46" s="193" t="n">
        <v>6.04</v>
      </c>
      <c r="BN46" s="193" t="n">
        <v>4.58</v>
      </c>
      <c r="BO46" s="193" t="s">
        <v>204</v>
      </c>
      <c r="BP46" s="193" t="s">
        <v>204</v>
      </c>
      <c r="BQ46" s="194" t="s">
        <v>204</v>
      </c>
      <c r="BR46" s="194" t="n">
        <v>10467</v>
      </c>
      <c r="BS46" s="194" t="n">
        <v>3765</v>
      </c>
      <c r="BT46" s="193" t="n">
        <f aca="false">AP46/AV46*100</f>
        <v>105.331703692727</v>
      </c>
      <c r="BU46" s="193" t="n">
        <f aca="false">AV46/BR46</f>
        <v>114.732284322155</v>
      </c>
      <c r="BV46" s="193" t="n">
        <f aca="false">AP46/BR46</f>
        <v>120.84946976211</v>
      </c>
      <c r="BW46" s="193" t="n">
        <f aca="false">(M46+BA46)/AV46*100</f>
        <v>7.50526762023925</v>
      </c>
      <c r="BX46" s="193" t="n">
        <v>5</v>
      </c>
      <c r="BY46" s="193" t="n">
        <v>5.71</v>
      </c>
      <c r="BZ46" s="193" t="n">
        <v>9.63</v>
      </c>
      <c r="CA46" s="193" t="n">
        <f aca="false">BZ46-BY46</f>
        <v>3.92</v>
      </c>
      <c r="CB46" s="193" t="n">
        <v>10.57</v>
      </c>
      <c r="CC46" s="193" t="n">
        <v>12.97</v>
      </c>
      <c r="CD46" s="193" t="n">
        <f aca="false">CC46-CB46</f>
        <v>2.4</v>
      </c>
    </row>
    <row r="47" s="222" customFormat="true" ht="10.35" hidden="false" customHeight="true" outlineLevel="0" collapsed="false">
      <c r="A47" s="207"/>
      <c r="B47" s="207"/>
      <c r="C47" s="207"/>
      <c r="D47" s="207"/>
      <c r="E47" s="207"/>
      <c r="F47" s="207"/>
      <c r="G47" s="207"/>
      <c r="H47" s="207"/>
      <c r="I47" s="207" t="s">
        <v>219</v>
      </c>
      <c r="J47" s="196" t="n">
        <v>170395.7</v>
      </c>
      <c r="K47" s="196" t="n">
        <v>1535.8</v>
      </c>
      <c r="L47" s="196" t="n">
        <f aca="false">J47+K47</f>
        <v>171931.5</v>
      </c>
      <c r="M47" s="196" t="n">
        <v>15348.5</v>
      </c>
      <c r="N47" s="196" t="n">
        <f aca="false">L47-M47</f>
        <v>156583</v>
      </c>
      <c r="O47" s="196" t="n">
        <v>32006.4</v>
      </c>
      <c r="P47" s="196" t="n">
        <v>84983.8</v>
      </c>
      <c r="Q47" s="196" t="n">
        <v>118482.9</v>
      </c>
      <c r="R47" s="196" t="n">
        <v>1018496.7</v>
      </c>
      <c r="S47" s="196" t="n">
        <f aca="false">Q47+R47</f>
        <v>1136979.6</v>
      </c>
      <c r="T47" s="196" t="n">
        <f aca="false">P47+S47</f>
        <v>1221963.4</v>
      </c>
      <c r="U47" s="196" t="n">
        <v>872.5</v>
      </c>
      <c r="V47" s="196" t="n">
        <f aca="false">N47+Q47+U47</f>
        <v>275938.4</v>
      </c>
      <c r="W47" s="196" t="n">
        <f aca="false">R47+V47</f>
        <v>1294435.1</v>
      </c>
      <c r="X47" s="196" t="s">
        <v>204</v>
      </c>
      <c r="Y47" s="196" t="s">
        <v>204</v>
      </c>
      <c r="Z47" s="207" t="s">
        <v>219</v>
      </c>
      <c r="AA47" s="186" t="n">
        <v>0</v>
      </c>
      <c r="AB47" s="196" t="n">
        <v>27304.8</v>
      </c>
      <c r="AC47" s="196" t="n">
        <v>1002373.5</v>
      </c>
      <c r="AD47" s="196" t="n">
        <f aca="false">AB47+AC47</f>
        <v>1029678.3</v>
      </c>
      <c r="AE47" s="186" t="n">
        <v>0</v>
      </c>
      <c r="AF47" s="196" t="n">
        <v>1748.1</v>
      </c>
      <c r="AG47" s="196" t="n">
        <v>27280.9</v>
      </c>
      <c r="AH47" s="196" t="n">
        <f aca="false">AF47+AG47</f>
        <v>29029</v>
      </c>
      <c r="AI47" s="196" t="n">
        <v>25938.9</v>
      </c>
      <c r="AJ47" s="196" t="n">
        <v>211094.5</v>
      </c>
      <c r="AK47" s="196" t="n">
        <v>18628.9</v>
      </c>
      <c r="AL47" s="196" t="n">
        <f aca="false">AJ47+AK47</f>
        <v>229723.4</v>
      </c>
      <c r="AM47" s="196" t="n">
        <f aca="false">AA47+AE47+AI47</f>
        <v>25938.9</v>
      </c>
      <c r="AN47" s="196" t="n">
        <f aca="false">AB47+AF47+AJ47</f>
        <v>240147.4</v>
      </c>
      <c r="AO47" s="196" t="n">
        <f aca="false">AC47+AG47+AK47</f>
        <v>1048283.3</v>
      </c>
      <c r="AP47" s="196" t="n">
        <f aca="false">AD47+AH47+AL47</f>
        <v>1288430.7</v>
      </c>
      <c r="AQ47" s="207" t="s">
        <v>219</v>
      </c>
      <c r="AR47" s="196" t="n">
        <v>6638.1</v>
      </c>
      <c r="AS47" s="196" t="n">
        <v>40542.6</v>
      </c>
      <c r="AT47" s="196" t="n">
        <v>29944.4</v>
      </c>
      <c r="AU47" s="196" t="n">
        <v>47</v>
      </c>
      <c r="AV47" s="196" t="n">
        <f aca="false">1222012.7-26.62</f>
        <v>1221986.08</v>
      </c>
      <c r="AW47" s="196" t="n">
        <v>8738.6</v>
      </c>
      <c r="AX47" s="196" t="n">
        <f aca="false">AV47+AW47</f>
        <v>1230724.68</v>
      </c>
      <c r="AY47" s="196" t="n">
        <f aca="false">0.055*AX45</f>
        <v>65755.5525</v>
      </c>
      <c r="AZ47" s="196" t="n">
        <f aca="false">BA47-AY47</f>
        <v>12284.9269</v>
      </c>
      <c r="BA47" s="180" t="n">
        <f aca="false">78107.9-1.7106-65.71</f>
        <v>78040.4794</v>
      </c>
      <c r="BB47" s="196" t="n">
        <v>3113917.5</v>
      </c>
      <c r="BC47" s="196" t="n">
        <f aca="false">L47+BA47</f>
        <v>249971.9794</v>
      </c>
      <c r="BD47" s="196" t="n">
        <v>5113.9</v>
      </c>
      <c r="BE47" s="196" t="n">
        <v>36958.1</v>
      </c>
      <c r="BF47" s="196" t="n">
        <v>4597.6</v>
      </c>
      <c r="BG47" s="196" t="n">
        <v>207557.1</v>
      </c>
      <c r="BH47" s="196" t="n">
        <f aca="false">BG47+BF47+BE47+BD47</f>
        <v>254226.7</v>
      </c>
      <c r="BI47" s="207" t="s">
        <v>219</v>
      </c>
      <c r="BJ47" s="187" t="n">
        <v>38.48</v>
      </c>
      <c r="BK47" s="187" t="n">
        <v>30.96</v>
      </c>
      <c r="BL47" s="187" t="n">
        <v>4.25</v>
      </c>
      <c r="BM47" s="187" t="n">
        <v>8.17</v>
      </c>
      <c r="BN47" s="187" t="n">
        <v>6.14</v>
      </c>
      <c r="BO47" s="187" t="s">
        <v>204</v>
      </c>
      <c r="BP47" s="187" t="s">
        <v>204</v>
      </c>
      <c r="BQ47" s="188" t="s">
        <v>204</v>
      </c>
      <c r="BR47" s="188" t="n">
        <v>10578</v>
      </c>
      <c r="BS47" s="188" t="n">
        <v>3773</v>
      </c>
      <c r="BT47" s="187" t="n">
        <f aca="false">AP47/AV47*100</f>
        <v>105.437428550741</v>
      </c>
      <c r="BU47" s="187" t="n">
        <f aca="false">AV47/BR47</f>
        <v>115.521467196067</v>
      </c>
      <c r="BV47" s="187" t="n">
        <f aca="false">AP47/BR47</f>
        <v>121.802864435621</v>
      </c>
      <c r="BW47" s="187" t="n">
        <f aca="false">(M47+BA47)/AV47*100</f>
        <v>7.64239306228431</v>
      </c>
      <c r="BX47" s="187" t="n">
        <v>5</v>
      </c>
      <c r="BY47" s="187" t="n">
        <v>5.7</v>
      </c>
      <c r="BZ47" s="187" t="n">
        <v>9.68</v>
      </c>
      <c r="CA47" s="187" t="n">
        <f aca="false">BZ47-BY47</f>
        <v>3.98</v>
      </c>
      <c r="CB47" s="187" t="n">
        <v>10.55</v>
      </c>
      <c r="CC47" s="187" t="n">
        <v>13.01</v>
      </c>
      <c r="CD47" s="187" t="n">
        <f aca="false">CC47-CB47</f>
        <v>2.46</v>
      </c>
    </row>
    <row r="48" s="222" customFormat="true" ht="10.35" hidden="false" customHeight="true" outlineLevel="0" collapsed="false">
      <c r="A48" s="207"/>
      <c r="B48" s="207"/>
      <c r="C48" s="207"/>
      <c r="D48" s="207"/>
      <c r="E48" s="207"/>
      <c r="F48" s="207"/>
      <c r="G48" s="207"/>
      <c r="H48" s="207"/>
      <c r="I48" s="215" t="s">
        <v>220</v>
      </c>
      <c r="J48" s="190" t="n">
        <v>171815.6</v>
      </c>
      <c r="K48" s="190" t="n">
        <v>1536.7</v>
      </c>
      <c r="L48" s="190" t="n">
        <f aca="false">J48+K48</f>
        <v>173352.3</v>
      </c>
      <c r="M48" s="190" t="n">
        <v>14434.7</v>
      </c>
      <c r="N48" s="190" t="n">
        <f aca="false">L48-M48</f>
        <v>158917.6</v>
      </c>
      <c r="O48" s="190" t="n">
        <v>28058.8</v>
      </c>
      <c r="P48" s="190" t="n">
        <v>85749.3</v>
      </c>
      <c r="Q48" s="190" t="n">
        <v>113231.7</v>
      </c>
      <c r="R48" s="190" t="n">
        <v>1024653.9</v>
      </c>
      <c r="S48" s="190" t="n">
        <f aca="false">Q48+R48</f>
        <v>1137885.6</v>
      </c>
      <c r="T48" s="190" t="n">
        <f aca="false">P48+S48</f>
        <v>1223634.9</v>
      </c>
      <c r="U48" s="190" t="n">
        <v>746.7</v>
      </c>
      <c r="V48" s="190" t="n">
        <f aca="false">N48+Q48+U48</f>
        <v>272896</v>
      </c>
      <c r="W48" s="190" t="n">
        <f aca="false">R48+V48</f>
        <v>1297549.9</v>
      </c>
      <c r="X48" s="190" t="s">
        <v>204</v>
      </c>
      <c r="Y48" s="190" t="s">
        <v>204</v>
      </c>
      <c r="Z48" s="215" t="s">
        <v>220</v>
      </c>
      <c r="AA48" s="192" t="n">
        <v>0</v>
      </c>
      <c r="AB48" s="190" t="n">
        <v>27745.6</v>
      </c>
      <c r="AC48" s="190" t="n">
        <v>1002124.1</v>
      </c>
      <c r="AD48" s="190" t="n">
        <f aca="false">AB48+AC48</f>
        <v>1029869.7</v>
      </c>
      <c r="AE48" s="192" t="n">
        <v>0</v>
      </c>
      <c r="AF48" s="190" t="n">
        <v>1805.5</v>
      </c>
      <c r="AG48" s="190" t="n">
        <v>26869.7</v>
      </c>
      <c r="AH48" s="190" t="n">
        <f aca="false">AF48+AG48</f>
        <v>28675.2</v>
      </c>
      <c r="AI48" s="190" t="n">
        <v>26023.6</v>
      </c>
      <c r="AJ48" s="190" t="n">
        <v>218662</v>
      </c>
      <c r="AK48" s="190" t="n">
        <v>18633.2</v>
      </c>
      <c r="AL48" s="190" t="n">
        <f aca="false">AJ48+AK48</f>
        <v>237295.2</v>
      </c>
      <c r="AM48" s="190" t="n">
        <f aca="false">AA48+AE48+AI48</f>
        <v>26023.6</v>
      </c>
      <c r="AN48" s="190" t="n">
        <f aca="false">AB48+AF48+AJ48</f>
        <v>248213.1</v>
      </c>
      <c r="AO48" s="190" t="n">
        <f aca="false">AC48+AG48+AK48</f>
        <v>1047627</v>
      </c>
      <c r="AP48" s="190" t="n">
        <f aca="false">AD48+AH48+AL48</f>
        <v>1295840.1</v>
      </c>
      <c r="AQ48" s="215" t="s">
        <v>220</v>
      </c>
      <c r="AR48" s="190" t="n">
        <v>6699.5</v>
      </c>
      <c r="AS48" s="190" t="n">
        <v>40822.7</v>
      </c>
      <c r="AT48" s="190" t="n">
        <v>32058.1</v>
      </c>
      <c r="AU48" s="190" t="n">
        <v>239.5</v>
      </c>
      <c r="AV48" s="190" t="n">
        <f aca="false">1223684.5-26.88</f>
        <v>1223657.62</v>
      </c>
      <c r="AW48" s="190" t="n">
        <v>9184.3</v>
      </c>
      <c r="AX48" s="190" t="n">
        <f aca="false">AV48+AW48</f>
        <v>1232841.92</v>
      </c>
      <c r="AY48" s="190" t="n">
        <f aca="false">0.055*AX46</f>
        <v>66557.1071</v>
      </c>
      <c r="AZ48" s="190" t="n">
        <f aca="false">BA48-AY48</f>
        <v>8543.70950000001</v>
      </c>
      <c r="BA48" s="171" t="n">
        <f aca="false">75102.6-1.7834</f>
        <v>75100.8166</v>
      </c>
      <c r="BB48" s="190" t="n">
        <v>3140304.6</v>
      </c>
      <c r="BC48" s="190" t="n">
        <f aca="false">L48+BA48</f>
        <v>248453.1166</v>
      </c>
      <c r="BD48" s="190" t="n">
        <v>6000</v>
      </c>
      <c r="BE48" s="190" t="n">
        <v>35016.3</v>
      </c>
      <c r="BF48" s="190" t="n">
        <v>5916.5</v>
      </c>
      <c r="BG48" s="190" t="n">
        <v>215122.5</v>
      </c>
      <c r="BH48" s="190" t="n">
        <f aca="false">BG48+BF48+BE48+BD48</f>
        <v>262055.3</v>
      </c>
      <c r="BI48" s="215" t="s">
        <v>220</v>
      </c>
      <c r="BJ48" s="193" t="n">
        <v>44.12</v>
      </c>
      <c r="BK48" s="193" t="n">
        <v>27.35</v>
      </c>
      <c r="BL48" s="193" t="n">
        <v>4.18</v>
      </c>
      <c r="BM48" s="193" t="n">
        <v>8.6</v>
      </c>
      <c r="BN48" s="193" t="n">
        <v>6.39</v>
      </c>
      <c r="BO48" s="193" t="s">
        <v>204</v>
      </c>
      <c r="BP48" s="193" t="s">
        <v>204</v>
      </c>
      <c r="BQ48" s="194" t="s">
        <v>204</v>
      </c>
      <c r="BR48" s="194" t="n">
        <v>10580</v>
      </c>
      <c r="BS48" s="194" t="n">
        <v>3773</v>
      </c>
      <c r="BT48" s="193" t="n">
        <f aca="false">AP48/AV48*100</f>
        <v>105.89891149454</v>
      </c>
      <c r="BU48" s="193" t="n">
        <f aca="false">AV48/BR48</f>
        <v>115.657620037807</v>
      </c>
      <c r="BV48" s="193" t="n">
        <f aca="false">AP48/BR48</f>
        <v>122.480160680529</v>
      </c>
      <c r="BW48" s="193" t="n">
        <f aca="false">(M48+BA48)/AV48*100</f>
        <v>7.3170399249424</v>
      </c>
      <c r="BX48" s="193" t="n">
        <v>5</v>
      </c>
      <c r="BY48" s="193" t="n">
        <v>5.69</v>
      </c>
      <c r="BZ48" s="193" t="n">
        <v>9.66</v>
      </c>
      <c r="CA48" s="193" t="n">
        <f aca="false">BZ48-BY48</f>
        <v>3.97</v>
      </c>
      <c r="CB48" s="193" t="n">
        <v>10.5</v>
      </c>
      <c r="CC48" s="193" t="n">
        <v>12.95</v>
      </c>
      <c r="CD48" s="193" t="n">
        <f aca="false">CC48-CB48</f>
        <v>2.45</v>
      </c>
    </row>
    <row r="49" s="222" customFormat="true" ht="10.35" hidden="false" customHeight="true" outlineLevel="0" collapsed="false">
      <c r="A49" s="207"/>
      <c r="B49" s="207"/>
      <c r="C49" s="207"/>
      <c r="D49" s="207"/>
      <c r="E49" s="207"/>
      <c r="F49" s="207"/>
      <c r="G49" s="207"/>
      <c r="H49" s="207"/>
      <c r="I49" s="207" t="s">
        <v>221</v>
      </c>
      <c r="J49" s="196" t="n">
        <v>173683.4</v>
      </c>
      <c r="K49" s="196" t="n">
        <v>1539.2</v>
      </c>
      <c r="L49" s="196" t="n">
        <f aca="false">J49+K49</f>
        <v>175222.6</v>
      </c>
      <c r="M49" s="196" t="n">
        <v>13402.1</v>
      </c>
      <c r="N49" s="196" t="n">
        <f aca="false">L49-M49</f>
        <v>161820.5</v>
      </c>
      <c r="O49" s="196" t="n">
        <v>28443.7</v>
      </c>
      <c r="P49" s="196" t="n">
        <v>84683.1</v>
      </c>
      <c r="Q49" s="196" t="n">
        <v>114733.7</v>
      </c>
      <c r="R49" s="196" t="n">
        <v>1029163</v>
      </c>
      <c r="S49" s="196" t="n">
        <f aca="false">Q49+R49</f>
        <v>1143896.7</v>
      </c>
      <c r="T49" s="196" t="n">
        <f aca="false">P49+S49</f>
        <v>1228579.8</v>
      </c>
      <c r="U49" s="196" t="n">
        <v>779.5</v>
      </c>
      <c r="V49" s="196" t="n">
        <f aca="false">N49+Q49+U49</f>
        <v>277333.7</v>
      </c>
      <c r="W49" s="196" t="n">
        <f aca="false">R49+V49</f>
        <v>1306496.7</v>
      </c>
      <c r="X49" s="196" t="s">
        <v>204</v>
      </c>
      <c r="Y49" s="196" t="s">
        <v>204</v>
      </c>
      <c r="Z49" s="207" t="s">
        <v>221</v>
      </c>
      <c r="AA49" s="186" t="n">
        <v>0</v>
      </c>
      <c r="AB49" s="196" t="n">
        <v>27501.5</v>
      </c>
      <c r="AC49" s="196" t="n">
        <v>1008690</v>
      </c>
      <c r="AD49" s="196" t="n">
        <f aca="false">AB49+AC49</f>
        <v>1036191.5</v>
      </c>
      <c r="AE49" s="186" t="n">
        <v>0</v>
      </c>
      <c r="AF49" s="196" t="n">
        <v>1850</v>
      </c>
      <c r="AG49" s="196" t="n">
        <v>26493.2</v>
      </c>
      <c r="AH49" s="196" t="n">
        <f aca="false">AF49+AG49</f>
        <v>28343.2</v>
      </c>
      <c r="AI49" s="196" t="n">
        <v>25780.6</v>
      </c>
      <c r="AJ49" s="196" t="n">
        <v>223801.3</v>
      </c>
      <c r="AK49" s="196" t="n">
        <v>18836.7</v>
      </c>
      <c r="AL49" s="196" t="n">
        <f aca="false">AJ49+AK49</f>
        <v>242638</v>
      </c>
      <c r="AM49" s="196" t="n">
        <f aca="false">AA49+AE49+AI49</f>
        <v>25780.6</v>
      </c>
      <c r="AN49" s="196" t="n">
        <f aca="false">AB49+AF49+AJ49</f>
        <v>253152.8</v>
      </c>
      <c r="AO49" s="196" t="n">
        <f aca="false">AC49+AG49+AK49</f>
        <v>1054019.9</v>
      </c>
      <c r="AP49" s="196" t="n">
        <f aca="false">AD49+AH49+AL49</f>
        <v>1307172.7</v>
      </c>
      <c r="AQ49" s="207" t="s">
        <v>221</v>
      </c>
      <c r="AR49" s="196" t="n">
        <v>6998</v>
      </c>
      <c r="AS49" s="196" t="n">
        <v>47017</v>
      </c>
      <c r="AT49" s="196" t="n">
        <v>30518.1</v>
      </c>
      <c r="AU49" s="196" t="n">
        <v>10.7</v>
      </c>
      <c r="AV49" s="196" t="n">
        <f aca="false">1228629.4-27</f>
        <v>1228602.4</v>
      </c>
      <c r="AW49" s="196" t="n">
        <v>8812.8</v>
      </c>
      <c r="AX49" s="196" t="n">
        <f aca="false">AV49+AW49</f>
        <v>1237415.2</v>
      </c>
      <c r="AY49" s="196" t="n">
        <f aca="false">0.055*AX47</f>
        <v>67689.8574</v>
      </c>
      <c r="AZ49" s="196" t="n">
        <f aca="false">BA49-AY49</f>
        <v>7294.8205</v>
      </c>
      <c r="BA49" s="180" t="n">
        <f aca="false">74986.5-1.8221</f>
        <v>74984.6779</v>
      </c>
      <c r="BB49" s="196" t="n">
        <v>3180075.6</v>
      </c>
      <c r="BC49" s="196" t="n">
        <f aca="false">L49+BA49</f>
        <v>250207.2779</v>
      </c>
      <c r="BD49" s="196" t="n">
        <v>4505</v>
      </c>
      <c r="BE49" s="196" t="n">
        <v>29919.2</v>
      </c>
      <c r="BF49" s="196" t="n">
        <v>5532.6</v>
      </c>
      <c r="BG49" s="196" t="n">
        <v>220161.5</v>
      </c>
      <c r="BH49" s="196" t="n">
        <f aca="false">BG49+BF49+BE49+BD49</f>
        <v>260118.3</v>
      </c>
      <c r="BI49" s="207" t="s">
        <v>221</v>
      </c>
      <c r="BJ49" s="187" t="n">
        <v>43.23</v>
      </c>
      <c r="BK49" s="187" t="n">
        <v>28.59</v>
      </c>
      <c r="BL49" s="187" t="n">
        <v>4.81</v>
      </c>
      <c r="BM49" s="187" t="n">
        <v>9.09</v>
      </c>
      <c r="BN49" s="187" t="n">
        <v>7.12</v>
      </c>
      <c r="BO49" s="187" t="s">
        <v>204</v>
      </c>
      <c r="BP49" s="187" t="s">
        <v>204</v>
      </c>
      <c r="BQ49" s="187" t="s">
        <v>204</v>
      </c>
      <c r="BR49" s="188" t="n">
        <v>10583</v>
      </c>
      <c r="BS49" s="188" t="n">
        <v>3774</v>
      </c>
      <c r="BT49" s="187" t="n">
        <f aca="false">AP49/AV49*100</f>
        <v>106.395095760842</v>
      </c>
      <c r="BU49" s="187" t="n">
        <f aca="false">AV49/BR49</f>
        <v>116.09207219125</v>
      </c>
      <c r="BV49" s="187" t="n">
        <f aca="false">AP49/BR49</f>
        <v>123.516271378626</v>
      </c>
      <c r="BW49" s="187" t="n">
        <f aca="false">(M49+BA49)/AV49*100</f>
        <v>7.19409126174587</v>
      </c>
      <c r="BX49" s="187" t="n">
        <v>5</v>
      </c>
      <c r="BY49" s="187" t="n">
        <v>5.53</v>
      </c>
      <c r="BZ49" s="187" t="n">
        <v>9.62</v>
      </c>
      <c r="CA49" s="187" t="n">
        <f aca="false">BZ49-BY49</f>
        <v>4.09</v>
      </c>
      <c r="CB49" s="187" t="n">
        <v>10.42</v>
      </c>
      <c r="CC49" s="187" t="n">
        <v>12.98</v>
      </c>
      <c r="CD49" s="187" t="n">
        <f aca="false">CC49-CB49</f>
        <v>2.56</v>
      </c>
    </row>
    <row r="50" s="222" customFormat="true" ht="10.35" hidden="false" customHeight="true" outlineLevel="0" collapsed="false">
      <c r="A50" s="207"/>
      <c r="B50" s="207"/>
      <c r="C50" s="207"/>
      <c r="D50" s="207"/>
      <c r="E50" s="207"/>
      <c r="F50" s="207"/>
      <c r="G50" s="207"/>
      <c r="H50" s="207"/>
      <c r="I50" s="215" t="s">
        <v>222</v>
      </c>
      <c r="J50" s="190" t="n">
        <v>190365.7</v>
      </c>
      <c r="K50" s="190" t="n">
        <v>1541.1</v>
      </c>
      <c r="L50" s="190" t="n">
        <f aca="false">J50+K50</f>
        <v>191906.8</v>
      </c>
      <c r="M50" s="190" t="n">
        <v>18559.2</v>
      </c>
      <c r="N50" s="190" t="n">
        <f aca="false">L50-M50</f>
        <v>173347.6</v>
      </c>
      <c r="O50" s="190" t="n">
        <v>27834.9</v>
      </c>
      <c r="P50" s="190" t="n">
        <v>84642.7</v>
      </c>
      <c r="Q50" s="190" t="n">
        <v>116703.6</v>
      </c>
      <c r="R50" s="190" t="n">
        <v>1019713.5</v>
      </c>
      <c r="S50" s="190" t="n">
        <f aca="false">Q50+R50</f>
        <v>1136417.1</v>
      </c>
      <c r="T50" s="190" t="n">
        <f aca="false">P50+S50</f>
        <v>1221059.8</v>
      </c>
      <c r="U50" s="190" t="n">
        <v>903.8</v>
      </c>
      <c r="V50" s="190" t="n">
        <f aca="false">N50+Q50+U50</f>
        <v>290955</v>
      </c>
      <c r="W50" s="190" t="n">
        <f aca="false">R50+V50</f>
        <v>1310668.5</v>
      </c>
      <c r="X50" s="190" t="s">
        <v>204</v>
      </c>
      <c r="Y50" s="190" t="s">
        <v>204</v>
      </c>
      <c r="Z50" s="215" t="s">
        <v>222</v>
      </c>
      <c r="AA50" s="192" t="n">
        <v>0</v>
      </c>
      <c r="AB50" s="190" t="n">
        <v>27302.9</v>
      </c>
      <c r="AC50" s="190" t="n">
        <v>1019364</v>
      </c>
      <c r="AD50" s="190" t="n">
        <f aca="false">AB50+AC50</f>
        <v>1046666.9</v>
      </c>
      <c r="AE50" s="192" t="n">
        <v>0</v>
      </c>
      <c r="AF50" s="190" t="n">
        <v>1880.3</v>
      </c>
      <c r="AG50" s="190" t="n">
        <v>23483</v>
      </c>
      <c r="AH50" s="190" t="n">
        <f aca="false">AF50+AG50</f>
        <v>25363.3</v>
      </c>
      <c r="AI50" s="190" t="n">
        <v>25871.7</v>
      </c>
      <c r="AJ50" s="190" t="n">
        <v>201036.1</v>
      </c>
      <c r="AK50" s="190" t="n">
        <v>18739.5</v>
      </c>
      <c r="AL50" s="190" t="n">
        <f aca="false">AJ50+AK50</f>
        <v>219775.6</v>
      </c>
      <c r="AM50" s="190" t="n">
        <f aca="false">AA50+AE50+AI50</f>
        <v>25871.7</v>
      </c>
      <c r="AN50" s="190" t="n">
        <f aca="false">AB50+AF50+AJ50</f>
        <v>230219.3</v>
      </c>
      <c r="AO50" s="190" t="n">
        <f aca="false">AC50+AG50+AK50</f>
        <v>1061586.5</v>
      </c>
      <c r="AP50" s="190" t="n">
        <f aca="false">AD50+AH50+AL50</f>
        <v>1291805.8</v>
      </c>
      <c r="AQ50" s="215" t="s">
        <v>222</v>
      </c>
      <c r="AR50" s="190" t="n">
        <v>8339.6</v>
      </c>
      <c r="AS50" s="190" t="n">
        <v>42963</v>
      </c>
      <c r="AT50" s="190" t="n">
        <v>29914.9</v>
      </c>
      <c r="AU50" s="190" t="n">
        <v>49.5</v>
      </c>
      <c r="AV50" s="190" t="n">
        <f aca="false">1221109.4-27.43</f>
        <v>1221081.97</v>
      </c>
      <c r="AW50" s="190" t="n">
        <v>9785</v>
      </c>
      <c r="AX50" s="190" t="n">
        <f aca="false">AV50+AW50</f>
        <v>1230866.97</v>
      </c>
      <c r="AY50" s="190" t="n">
        <f aca="false">0.055*AX48</f>
        <v>67806.3056</v>
      </c>
      <c r="AZ50" s="190" t="n">
        <f aca="false">BA50-AY50</f>
        <v>12297.559</v>
      </c>
      <c r="BA50" s="171" t="n">
        <f aca="false">80106.9-3.0354</f>
        <v>80103.8646</v>
      </c>
      <c r="BB50" s="190" t="n">
        <v>3198820</v>
      </c>
      <c r="BC50" s="190" t="n">
        <f aca="false">L50+BA50</f>
        <v>272010.6646</v>
      </c>
      <c r="BD50" s="190" t="n">
        <v>0</v>
      </c>
      <c r="BE50" s="190" t="n">
        <v>29879.3</v>
      </c>
      <c r="BF50" s="190" t="n">
        <v>5262.3</v>
      </c>
      <c r="BG50" s="190" t="n">
        <v>197393.2</v>
      </c>
      <c r="BH50" s="190" t="n">
        <f aca="false">BG50+BF50+BE50+BD50</f>
        <v>232534.8</v>
      </c>
      <c r="BI50" s="215" t="s">
        <v>222</v>
      </c>
      <c r="BJ50" s="193" t="n">
        <v>18.09</v>
      </c>
      <c r="BK50" s="193" t="n">
        <v>29.05</v>
      </c>
      <c r="BL50" s="193" t="n">
        <v>5.58</v>
      </c>
      <c r="BM50" s="193" t="n">
        <v>7.29</v>
      </c>
      <c r="BN50" s="193" t="n">
        <v>7.47</v>
      </c>
      <c r="BO50" s="193" t="s">
        <v>204</v>
      </c>
      <c r="BP50" s="193" t="s">
        <v>204</v>
      </c>
      <c r="BQ50" s="193" t="s">
        <v>204</v>
      </c>
      <c r="BR50" s="194" t="n">
        <v>10583</v>
      </c>
      <c r="BS50" s="194" t="n">
        <v>3774</v>
      </c>
      <c r="BT50" s="193" t="n">
        <f aca="false">AP50/AV50*100</f>
        <v>105.791898638877</v>
      </c>
      <c r="BU50" s="193" t="n">
        <f aca="false">AV50/BR50</f>
        <v>115.381457998677</v>
      </c>
      <c r="BV50" s="193" t="n">
        <f aca="false">AP50/BR50</f>
        <v>122.064235094019</v>
      </c>
      <c r="BW50" s="193" t="n">
        <f aca="false">(M50+BA50)/AV50*100</f>
        <v>8.07997063456764</v>
      </c>
      <c r="BX50" s="193" t="n">
        <v>5</v>
      </c>
      <c r="BY50" s="193" t="n">
        <v>5.51</v>
      </c>
      <c r="BZ50" s="193" t="n">
        <v>9.58</v>
      </c>
      <c r="CA50" s="193" t="n">
        <f aca="false">BZ50-BY50</f>
        <v>4.07</v>
      </c>
      <c r="CB50" s="193" t="n">
        <v>10.24</v>
      </c>
      <c r="CC50" s="193" t="n">
        <v>13.06</v>
      </c>
      <c r="CD50" s="193" t="n">
        <f aca="false">CC50-CB50</f>
        <v>2.82</v>
      </c>
    </row>
    <row r="51" s="222" customFormat="true" ht="10.35" hidden="false" customHeight="true" outlineLevel="0" collapsed="false">
      <c r="A51" s="207"/>
      <c r="B51" s="207"/>
      <c r="C51" s="207"/>
      <c r="D51" s="207"/>
      <c r="E51" s="207"/>
      <c r="F51" s="207"/>
      <c r="G51" s="207"/>
      <c r="H51" s="207"/>
      <c r="I51" s="207" t="s">
        <v>223</v>
      </c>
      <c r="J51" s="196" t="n">
        <v>192164.7</v>
      </c>
      <c r="K51" s="196" t="n">
        <v>1541.8</v>
      </c>
      <c r="L51" s="196" t="n">
        <f aca="false">J51+K51</f>
        <v>193706.5</v>
      </c>
      <c r="M51" s="196" t="n">
        <v>16085</v>
      </c>
      <c r="N51" s="196" t="n">
        <f aca="false">L51-M51</f>
        <v>177621.5</v>
      </c>
      <c r="O51" s="196" t="n">
        <v>26349</v>
      </c>
      <c r="P51" s="196" t="n">
        <v>84759.9</v>
      </c>
      <c r="Q51" s="196" t="n">
        <v>118501.6</v>
      </c>
      <c r="R51" s="196" t="n">
        <v>1029044.7</v>
      </c>
      <c r="S51" s="196" t="n">
        <f aca="false">Q51+R51</f>
        <v>1147546.3</v>
      </c>
      <c r="T51" s="196" t="n">
        <f aca="false">P51+S51</f>
        <v>1232306.2</v>
      </c>
      <c r="U51" s="196" t="n">
        <v>897.7</v>
      </c>
      <c r="V51" s="196" t="n">
        <f aca="false">N51+Q51+U51</f>
        <v>297020.8</v>
      </c>
      <c r="W51" s="196" t="n">
        <f aca="false">R51+V51</f>
        <v>1326065.5</v>
      </c>
      <c r="X51" s="196" t="s">
        <v>204</v>
      </c>
      <c r="Y51" s="196" t="s">
        <v>204</v>
      </c>
      <c r="Z51" s="207" t="s">
        <v>223</v>
      </c>
      <c r="AA51" s="186" t="n">
        <v>0</v>
      </c>
      <c r="AB51" s="196" t="n">
        <v>27150.5</v>
      </c>
      <c r="AC51" s="196" t="n">
        <v>1027307.2</v>
      </c>
      <c r="AD51" s="196" t="n">
        <f aca="false">AB51+AC51</f>
        <v>1054457.7</v>
      </c>
      <c r="AE51" s="186" t="n">
        <v>0</v>
      </c>
      <c r="AF51" s="196" t="n">
        <v>1913.4</v>
      </c>
      <c r="AG51" s="196" t="n">
        <v>23997.5</v>
      </c>
      <c r="AH51" s="196" t="n">
        <f aca="false">AF51+AG51</f>
        <v>25910.9</v>
      </c>
      <c r="AI51" s="196" t="n">
        <v>25783.7</v>
      </c>
      <c r="AJ51" s="196" t="n">
        <v>223070.8</v>
      </c>
      <c r="AK51" s="196" t="n">
        <v>18849.4</v>
      </c>
      <c r="AL51" s="196" t="n">
        <f aca="false">AJ51+AK51</f>
        <v>241920.2</v>
      </c>
      <c r="AM51" s="196" t="n">
        <f aca="false">AA51+AE51+AI51</f>
        <v>25783.7</v>
      </c>
      <c r="AN51" s="196" t="n">
        <f aca="false">AB51+AF51+AJ51</f>
        <v>252134.7</v>
      </c>
      <c r="AO51" s="196" t="n">
        <f aca="false">AC51+AG51+AK51</f>
        <v>1070154.1</v>
      </c>
      <c r="AP51" s="196" t="n">
        <f aca="false">AD51+AH51+AL51</f>
        <v>1322288.8</v>
      </c>
      <c r="AQ51" s="207" t="s">
        <v>223</v>
      </c>
      <c r="AR51" s="196" t="n">
        <v>8632.5</v>
      </c>
      <c r="AS51" s="196" t="n">
        <v>43053.8</v>
      </c>
      <c r="AT51" s="196" t="n">
        <v>37213</v>
      </c>
      <c r="AU51" s="196" t="n">
        <v>23.9</v>
      </c>
      <c r="AV51" s="196" t="n">
        <f aca="false">1232355.8-27.35</f>
        <v>1232328.45</v>
      </c>
      <c r="AW51" s="196" t="n">
        <v>10004.3</v>
      </c>
      <c r="AX51" s="196" t="n">
        <f aca="false">AV51+AW51</f>
        <v>1242332.75</v>
      </c>
      <c r="AY51" s="196" t="n">
        <f aca="false">0.04*AX49</f>
        <v>49496.608</v>
      </c>
      <c r="AZ51" s="196" t="n">
        <f aca="false">BA51-AY51</f>
        <v>12227.6682</v>
      </c>
      <c r="BA51" s="180" t="n">
        <f aca="false">61727.8-3.5238</f>
        <v>61724.2762</v>
      </c>
      <c r="BB51" s="196" t="n">
        <v>3230542.5</v>
      </c>
      <c r="BC51" s="196" t="n">
        <f aca="false">L51+BA51</f>
        <v>255430.7762</v>
      </c>
      <c r="BD51" s="196" t="n">
        <v>6000</v>
      </c>
      <c r="BE51" s="196" t="n">
        <v>34419.4</v>
      </c>
      <c r="BF51" s="196" t="n">
        <v>5365.1</v>
      </c>
      <c r="BG51" s="196" t="n">
        <v>219427.9</v>
      </c>
      <c r="BH51" s="196" t="n">
        <f aca="false">BG51+BF51+BE51+BD51</f>
        <v>265212.4</v>
      </c>
      <c r="BI51" s="207" t="s">
        <v>223</v>
      </c>
      <c r="BJ51" s="187" t="n">
        <v>48.65</v>
      </c>
      <c r="BK51" s="187" t="n">
        <v>28.1</v>
      </c>
      <c r="BL51" s="187" t="n">
        <v>6.43</v>
      </c>
      <c r="BM51" s="187" t="n">
        <v>11.04</v>
      </c>
      <c r="BN51" s="187" t="n">
        <v>8.73</v>
      </c>
      <c r="BO51" s="187" t="s">
        <v>204</v>
      </c>
      <c r="BP51" s="187" t="s">
        <v>204</v>
      </c>
      <c r="BQ51" s="187" t="s">
        <v>204</v>
      </c>
      <c r="BR51" s="188" t="n">
        <v>10583</v>
      </c>
      <c r="BS51" s="188" t="n">
        <v>3774</v>
      </c>
      <c r="BT51" s="187" t="n">
        <f aca="false">AP51/AV51*100</f>
        <v>107.300030280077</v>
      </c>
      <c r="BU51" s="187" t="n">
        <f aca="false">AV51/BR51</f>
        <v>116.444150996882</v>
      </c>
      <c r="BV51" s="187" t="n">
        <f aca="false">AP51/BR51</f>
        <v>124.944609279032</v>
      </c>
      <c r="BW51" s="187" t="n">
        <f aca="false">(M51+BA51)/AV51*100</f>
        <v>6.31400469574487</v>
      </c>
      <c r="BX51" s="187" t="n">
        <v>5</v>
      </c>
      <c r="BY51" s="187" t="n">
        <v>5.37</v>
      </c>
      <c r="BZ51" s="187" t="n">
        <v>8.29</v>
      </c>
      <c r="CA51" s="187" t="n">
        <f aca="false">BZ51-BY51</f>
        <v>2.92</v>
      </c>
      <c r="CB51" s="187" t="n">
        <v>10.04</v>
      </c>
      <c r="CC51" s="187" t="n">
        <v>13.02</v>
      </c>
      <c r="CD51" s="187" t="n">
        <f aca="false">CC51-CB51</f>
        <v>2.98</v>
      </c>
    </row>
    <row r="52" s="222" customFormat="true" ht="10.35" hidden="false" customHeight="true" outlineLevel="0" collapsed="false">
      <c r="A52" s="207"/>
      <c r="B52" s="207"/>
      <c r="C52" s="207"/>
      <c r="D52" s="207"/>
      <c r="E52" s="207"/>
      <c r="F52" s="207"/>
      <c r="G52" s="224"/>
      <c r="H52" s="224"/>
      <c r="I52" s="215" t="s">
        <v>224</v>
      </c>
      <c r="J52" s="190" t="n">
        <v>209565.8</v>
      </c>
      <c r="K52" s="190" t="n">
        <v>1541.8</v>
      </c>
      <c r="L52" s="190" t="n">
        <f aca="false">J52+K52</f>
        <v>211107.6</v>
      </c>
      <c r="M52" s="190" t="n">
        <v>17356.9</v>
      </c>
      <c r="N52" s="190" t="n">
        <f aca="false">L52-M52</f>
        <v>193750.7</v>
      </c>
      <c r="O52" s="190" t="n">
        <v>26361.7</v>
      </c>
      <c r="P52" s="190" t="n">
        <v>86366.5</v>
      </c>
      <c r="Q52" s="190" t="n">
        <v>122236.9</v>
      </c>
      <c r="R52" s="190" t="n">
        <v>1034858.6</v>
      </c>
      <c r="S52" s="190" t="n">
        <f aca="false">Q52+R52</f>
        <v>1157095.5</v>
      </c>
      <c r="T52" s="190" t="n">
        <f aca="false">P52+S52</f>
        <v>1243462</v>
      </c>
      <c r="U52" s="190" t="n">
        <v>784.8</v>
      </c>
      <c r="V52" s="190" t="n">
        <f aca="false">N52+Q52+U52</f>
        <v>316772.4</v>
      </c>
      <c r="W52" s="190" t="n">
        <f aca="false">R52+V52</f>
        <v>1351631</v>
      </c>
      <c r="X52" s="190" t="s">
        <v>204</v>
      </c>
      <c r="Y52" s="190" t="s">
        <v>204</v>
      </c>
      <c r="Z52" s="215" t="s">
        <v>224</v>
      </c>
      <c r="AA52" s="192" t="n">
        <v>0</v>
      </c>
      <c r="AB52" s="190" t="n">
        <v>26798.7</v>
      </c>
      <c r="AC52" s="190" t="n">
        <v>1041583.8</v>
      </c>
      <c r="AD52" s="190" t="n">
        <f aca="false">AB52+AC52</f>
        <v>1068382.5</v>
      </c>
      <c r="AE52" s="192" t="n">
        <v>0</v>
      </c>
      <c r="AF52" s="190" t="n">
        <v>2044.6</v>
      </c>
      <c r="AG52" s="190" t="n">
        <v>23897.2</v>
      </c>
      <c r="AH52" s="190" t="n">
        <f aca="false">AF52+AG52</f>
        <v>25941.8</v>
      </c>
      <c r="AI52" s="190" t="n">
        <v>25561.6</v>
      </c>
      <c r="AJ52" s="190" t="n">
        <v>221967.9</v>
      </c>
      <c r="AK52" s="190" t="n">
        <v>18805</v>
      </c>
      <c r="AL52" s="190" t="n">
        <f aca="false">AJ52+AK52</f>
        <v>240772.9</v>
      </c>
      <c r="AM52" s="190" t="n">
        <f aca="false">AA52+AE52+AI52</f>
        <v>25561.6</v>
      </c>
      <c r="AN52" s="190" t="n">
        <f aca="false">AB52+AF52+AJ52</f>
        <v>250811.2</v>
      </c>
      <c r="AO52" s="190" t="n">
        <f aca="false">AC52+AG52+AK52</f>
        <v>1084286</v>
      </c>
      <c r="AP52" s="190" t="n">
        <f aca="false">AD52+AH52+AL52</f>
        <v>1335097.2</v>
      </c>
      <c r="AQ52" s="215" t="s">
        <v>224</v>
      </c>
      <c r="AR52" s="190" t="n">
        <v>11029.1</v>
      </c>
      <c r="AS52" s="190" t="n">
        <v>45448.2</v>
      </c>
      <c r="AT52" s="190" t="n">
        <v>33869.6</v>
      </c>
      <c r="AU52" s="190" t="n">
        <v>57.6</v>
      </c>
      <c r="AV52" s="190" t="n">
        <f aca="false">1243511.7-28.16</f>
        <v>1243483.54</v>
      </c>
      <c r="AW52" s="190" t="n">
        <v>10604.8</v>
      </c>
      <c r="AX52" s="190" t="n">
        <f aca="false">AV52+AW52</f>
        <v>1254088.34</v>
      </c>
      <c r="AY52" s="190" t="n">
        <f aca="false">0.04*AX50</f>
        <v>49234.6788</v>
      </c>
      <c r="AZ52" s="190" t="n">
        <f aca="false">BA52-AY52</f>
        <v>9108.46</v>
      </c>
      <c r="BA52" s="171" t="n">
        <f aca="false">58346.1-2.9612</f>
        <v>58343.1388</v>
      </c>
      <c r="BB52" s="190" t="n">
        <v>3258358.1</v>
      </c>
      <c r="BC52" s="190" t="n">
        <f aca="false">L52+BA52</f>
        <v>269450.7388</v>
      </c>
      <c r="BD52" s="190" t="n">
        <v>2525.1</v>
      </c>
      <c r="BE52" s="190" t="n">
        <v>34308.5</v>
      </c>
      <c r="BF52" s="190" t="n">
        <v>5200.4</v>
      </c>
      <c r="BG52" s="190" t="n">
        <v>218325.5</v>
      </c>
      <c r="BH52" s="190" t="n">
        <f aca="false">BG52+BF52+BE52+BD52</f>
        <v>260359.5</v>
      </c>
      <c r="BI52" s="215" t="s">
        <v>224</v>
      </c>
      <c r="BJ52" s="193" t="n">
        <v>43.47</v>
      </c>
      <c r="BK52" s="193" t="n">
        <v>27.81</v>
      </c>
      <c r="BL52" s="193" t="n">
        <v>7.85</v>
      </c>
      <c r="BM52" s="193" t="n">
        <v>11.77</v>
      </c>
      <c r="BN52" s="193" t="n">
        <v>10.82</v>
      </c>
      <c r="BO52" s="193" t="s">
        <v>204</v>
      </c>
      <c r="BP52" s="193" t="s">
        <v>204</v>
      </c>
      <c r="BQ52" s="193" t="s">
        <v>204</v>
      </c>
      <c r="BR52" s="194" t="n">
        <v>10583</v>
      </c>
      <c r="BS52" s="194" t="n">
        <v>3774</v>
      </c>
      <c r="BT52" s="193" t="n">
        <f aca="false">AP52/AV52*100</f>
        <v>107.367500819512</v>
      </c>
      <c r="BU52" s="193" t="n">
        <f aca="false">AV52/BR52</f>
        <v>117.49820844751</v>
      </c>
      <c r="BV52" s="193" t="n">
        <f aca="false">AP52/BR52</f>
        <v>126.154889917793</v>
      </c>
      <c r="BW52" s="193" t="n">
        <f aca="false">(M52+BA52)/AV52*100</f>
        <v>6.08773951282057</v>
      </c>
      <c r="BX52" s="193" t="n">
        <v>5</v>
      </c>
      <c r="BY52" s="193" t="n">
        <v>5.24</v>
      </c>
      <c r="BZ52" s="193" t="n">
        <v>8.18</v>
      </c>
      <c r="CA52" s="193" t="n">
        <f aca="false">BZ52-BY52</f>
        <v>2.94</v>
      </c>
      <c r="CB52" s="193" t="n">
        <v>9.9</v>
      </c>
      <c r="CC52" s="193" t="n">
        <v>13.04</v>
      </c>
      <c r="CD52" s="193" t="n">
        <f aca="false">CC52-CB52</f>
        <v>3.14</v>
      </c>
    </row>
    <row r="53" s="222" customFormat="true" ht="10.35" hidden="false" customHeight="true" outlineLevel="0" collapsed="false">
      <c r="A53" s="207"/>
      <c r="B53" s="207"/>
      <c r="C53" s="207"/>
      <c r="D53" s="207"/>
      <c r="E53" s="207"/>
      <c r="F53" s="207"/>
      <c r="G53" s="224"/>
      <c r="H53" s="224"/>
      <c r="I53" s="225" t="s">
        <v>225</v>
      </c>
      <c r="J53" s="226" t="n">
        <v>206552.2</v>
      </c>
      <c r="K53" s="226" t="n">
        <v>1541.9</v>
      </c>
      <c r="L53" s="226" t="n">
        <f aca="false">J53+K53</f>
        <v>208094.1</v>
      </c>
      <c r="M53" s="226" t="n">
        <v>15979.6</v>
      </c>
      <c r="N53" s="226" t="n">
        <f aca="false">L53-M53</f>
        <v>192114.5</v>
      </c>
      <c r="O53" s="226" t="n">
        <v>30355.7</v>
      </c>
      <c r="P53" s="226" t="n">
        <v>88099.4</v>
      </c>
      <c r="Q53" s="226" t="n">
        <v>135528.4</v>
      </c>
      <c r="R53" s="226" t="n">
        <v>1045471.1</v>
      </c>
      <c r="S53" s="226" t="n">
        <f aca="false">Q53+R53</f>
        <v>1180999.5</v>
      </c>
      <c r="T53" s="226" t="n">
        <f aca="false">P53+S53</f>
        <v>1269098.9</v>
      </c>
      <c r="U53" s="226" t="n">
        <v>621</v>
      </c>
      <c r="V53" s="226" t="n">
        <f aca="false">N53+Q53+U53</f>
        <v>328263.9</v>
      </c>
      <c r="W53" s="226" t="n">
        <f aca="false">R53+V53</f>
        <v>1373735</v>
      </c>
      <c r="X53" s="226" t="s">
        <v>204</v>
      </c>
      <c r="Y53" s="226" t="s">
        <v>204</v>
      </c>
      <c r="Z53" s="225" t="s">
        <v>225</v>
      </c>
      <c r="AA53" s="227" t="n">
        <v>0</v>
      </c>
      <c r="AB53" s="226" t="n">
        <v>25708.3</v>
      </c>
      <c r="AC53" s="226" t="n">
        <v>1050976</v>
      </c>
      <c r="AD53" s="226" t="n">
        <f aca="false">AB53+AC53</f>
        <v>1076684.3</v>
      </c>
      <c r="AE53" s="227" t="n">
        <v>0</v>
      </c>
      <c r="AF53" s="226" t="n">
        <v>1921.3</v>
      </c>
      <c r="AG53" s="226" t="n">
        <v>22033.3</v>
      </c>
      <c r="AH53" s="226" t="n">
        <f aca="false">AF53+AG53</f>
        <v>23954.6</v>
      </c>
      <c r="AI53" s="226" t="n">
        <v>25407.3</v>
      </c>
      <c r="AJ53" s="226" t="n">
        <v>232935.5</v>
      </c>
      <c r="AK53" s="226" t="n">
        <v>18916</v>
      </c>
      <c r="AL53" s="226" t="n">
        <f aca="false">AJ53+AK53</f>
        <v>251851.5</v>
      </c>
      <c r="AM53" s="226" t="n">
        <f aca="false">AA53+AE53+AI53</f>
        <v>25407.3</v>
      </c>
      <c r="AN53" s="226" t="n">
        <f aca="false">AB53+AF53+AJ53</f>
        <v>260565.1</v>
      </c>
      <c r="AO53" s="226" t="n">
        <f aca="false">AC53+AG53+AK53</f>
        <v>1091925.3</v>
      </c>
      <c r="AP53" s="226" t="n">
        <f aca="false">AD53+AH53+AL53</f>
        <v>1352490.4</v>
      </c>
      <c r="AQ53" s="225" t="s">
        <v>225</v>
      </c>
      <c r="AR53" s="226" t="n">
        <v>13614.7</v>
      </c>
      <c r="AS53" s="226" t="n">
        <v>50299.7</v>
      </c>
      <c r="AT53" s="226" t="n">
        <v>35190.2</v>
      </c>
      <c r="AU53" s="226" t="n">
        <v>58.5</v>
      </c>
      <c r="AV53" s="226" t="n">
        <f aca="false">1269148.9-35.26</f>
        <v>1269113.64</v>
      </c>
      <c r="AW53" s="226" t="n">
        <v>10934.2</v>
      </c>
      <c r="AX53" s="226" t="n">
        <f aca="false">AV53+AW53</f>
        <v>1280047.84</v>
      </c>
      <c r="AY53" s="226" t="n">
        <f aca="false">0.04*AX51</f>
        <v>49693.31</v>
      </c>
      <c r="AZ53" s="226" t="n">
        <f aca="false">BA53-AY53</f>
        <v>26071.6557</v>
      </c>
      <c r="BA53" s="228" t="n">
        <f aca="false">75768.3-3.3343</f>
        <v>75764.9657</v>
      </c>
      <c r="BB53" s="226" t="n">
        <v>3332696.5</v>
      </c>
      <c r="BC53" s="226" t="n">
        <f aca="false">L53+BA53</f>
        <v>283859.0657</v>
      </c>
      <c r="BD53" s="226" t="n">
        <v>6000</v>
      </c>
      <c r="BE53" s="226" t="n">
        <v>35715.7</v>
      </c>
      <c r="BF53" s="226" t="n">
        <v>4710.3</v>
      </c>
      <c r="BG53" s="226" t="n">
        <v>229191.6</v>
      </c>
      <c r="BH53" s="226" t="n">
        <f aca="false">BG53+BF53+BE53+BD53</f>
        <v>275617.6</v>
      </c>
      <c r="BI53" s="225" t="s">
        <v>225</v>
      </c>
      <c r="BJ53" s="229" t="n">
        <v>55.51</v>
      </c>
      <c r="BK53" s="229" t="n">
        <v>25.09</v>
      </c>
      <c r="BL53" s="229" t="n">
        <v>8.61</v>
      </c>
      <c r="BM53" s="229" t="n">
        <v>13.58</v>
      </c>
      <c r="BN53" s="229" t="n">
        <v>12.64</v>
      </c>
      <c r="BO53" s="229" t="s">
        <v>204</v>
      </c>
      <c r="BP53" s="229" t="s">
        <v>204</v>
      </c>
      <c r="BQ53" s="229" t="s">
        <v>204</v>
      </c>
      <c r="BR53" s="230" t="n">
        <v>10588</v>
      </c>
      <c r="BS53" s="230" t="n">
        <v>3775</v>
      </c>
      <c r="BT53" s="229" t="n">
        <f aca="false">AP53/AV53*100</f>
        <v>106.569684334966</v>
      </c>
      <c r="BU53" s="229" t="n">
        <f aca="false">AV53/BR53</f>
        <v>119.863396297696</v>
      </c>
      <c r="BV53" s="229" t="n">
        <f aca="false">AP53/BR53</f>
        <v>127.738043067624</v>
      </c>
      <c r="BW53" s="229" t="n">
        <f aca="false">(M53+BA53)/AV53*100</f>
        <v>7.2290268427026</v>
      </c>
      <c r="BX53" s="229" t="n">
        <v>5</v>
      </c>
      <c r="BY53" s="229" t="n">
        <v>5.06</v>
      </c>
      <c r="BZ53" s="229" t="n">
        <v>7.95</v>
      </c>
      <c r="CA53" s="229" t="n">
        <f aca="false">BZ53-BY53</f>
        <v>2.89</v>
      </c>
      <c r="CB53" s="229" t="n">
        <v>9.72</v>
      </c>
      <c r="CC53" s="229" t="n">
        <v>12.93</v>
      </c>
      <c r="CD53" s="229" t="n">
        <f aca="false">CC53-CB53</f>
        <v>3.21</v>
      </c>
    </row>
    <row r="54" s="222" customFormat="true" ht="10.5" hidden="false" customHeight="true" outlineLevel="0" collapsed="false">
      <c r="A54" s="207"/>
      <c r="B54" s="207"/>
      <c r="C54" s="207"/>
      <c r="D54" s="207"/>
      <c r="E54" s="207"/>
      <c r="F54" s="207"/>
      <c r="G54" s="207"/>
      <c r="H54" s="207"/>
      <c r="I54" s="207"/>
      <c r="J54" s="196"/>
      <c r="K54" s="196"/>
      <c r="L54" s="196"/>
      <c r="M54" s="196"/>
      <c r="N54" s="196"/>
      <c r="O54" s="196"/>
      <c r="P54" s="196"/>
      <c r="Q54" s="196"/>
      <c r="R54" s="196"/>
      <c r="S54" s="196"/>
      <c r="T54" s="196"/>
      <c r="U54" s="196"/>
      <c r="V54" s="196"/>
      <c r="W54" s="196"/>
      <c r="X54" s="196"/>
      <c r="Y54" s="196"/>
      <c r="Z54" s="207"/>
      <c r="AA54" s="186"/>
      <c r="AB54" s="196"/>
      <c r="AC54" s="196"/>
      <c r="AD54" s="196"/>
      <c r="AE54" s="186"/>
      <c r="AF54" s="196"/>
      <c r="AG54" s="196"/>
      <c r="AH54" s="196"/>
      <c r="AI54" s="196"/>
      <c r="AJ54" s="196"/>
      <c r="AK54" s="196"/>
      <c r="AL54" s="196"/>
      <c r="AM54" s="196"/>
      <c r="AN54" s="196"/>
      <c r="AO54" s="196"/>
      <c r="AP54" s="196"/>
      <c r="AQ54" s="207"/>
      <c r="AR54" s="196"/>
      <c r="AS54" s="196"/>
      <c r="AT54" s="196"/>
      <c r="AU54" s="196"/>
      <c r="AV54" s="196"/>
      <c r="AW54" s="196"/>
      <c r="AX54" s="196"/>
      <c r="AY54" s="196"/>
      <c r="AZ54" s="196"/>
      <c r="BA54" s="180"/>
      <c r="BB54" s="196"/>
      <c r="BC54" s="196"/>
      <c r="BD54" s="196"/>
      <c r="BE54" s="196"/>
      <c r="BF54" s="196"/>
      <c r="BG54" s="196"/>
      <c r="BH54" s="196"/>
      <c r="BI54" s="207"/>
      <c r="BJ54" s="187"/>
      <c r="BK54" s="187"/>
      <c r="BL54" s="187"/>
      <c r="BM54" s="187"/>
      <c r="BN54" s="187"/>
      <c r="BO54" s="187"/>
      <c r="BP54" s="187"/>
      <c r="BQ54" s="187"/>
      <c r="BR54" s="188"/>
      <c r="BS54" s="188"/>
      <c r="BT54" s="187"/>
      <c r="BU54" s="187"/>
      <c r="BV54" s="187"/>
      <c r="BW54" s="187"/>
      <c r="BX54" s="187"/>
      <c r="BY54" s="187"/>
      <c r="BZ54" s="187"/>
      <c r="CA54" s="187"/>
      <c r="CB54" s="187"/>
      <c r="CC54" s="187"/>
      <c r="CD54" s="187"/>
    </row>
    <row r="55" s="221" customFormat="true" ht="11.25" hidden="false" customHeight="true" outlineLevel="0" collapsed="false">
      <c r="I55" s="231" t="s">
        <v>228</v>
      </c>
      <c r="J55" s="232" t="s">
        <v>229</v>
      </c>
      <c r="K55" s="232"/>
      <c r="L55" s="232"/>
      <c r="M55" s="232"/>
      <c r="N55" s="232"/>
      <c r="O55" s="232"/>
      <c r="P55" s="232"/>
      <c r="Q55" s="232"/>
      <c r="R55" s="233" t="s">
        <v>230</v>
      </c>
      <c r="S55" s="233" t="s">
        <v>231</v>
      </c>
      <c r="T55" s="233"/>
      <c r="U55" s="233"/>
      <c r="V55" s="233"/>
      <c r="W55" s="233"/>
      <c r="X55" s="233"/>
      <c r="Y55" s="233"/>
      <c r="Z55" s="234" t="s">
        <v>232</v>
      </c>
      <c r="AA55" s="233" t="s">
        <v>233</v>
      </c>
      <c r="AB55" s="233"/>
      <c r="AC55" s="233"/>
      <c r="AD55" s="233"/>
      <c r="AE55" s="233"/>
      <c r="AF55" s="233"/>
      <c r="AG55" s="233"/>
      <c r="AH55" s="233"/>
      <c r="AI55" s="235" t="s">
        <v>234</v>
      </c>
      <c r="AJ55" s="236" t="s">
        <v>235</v>
      </c>
      <c r="AK55" s="236"/>
      <c r="AL55" s="236"/>
      <c r="AM55" s="236"/>
      <c r="AN55" s="236"/>
      <c r="AO55" s="236"/>
      <c r="AP55" s="236"/>
      <c r="AQ55" s="237"/>
      <c r="AR55" s="238"/>
      <c r="AS55" s="238"/>
      <c r="AT55" s="238"/>
      <c r="AU55" s="238"/>
      <c r="AV55" s="238"/>
      <c r="AW55" s="238"/>
      <c r="AX55" s="186"/>
      <c r="AY55" s="239" t="s">
        <v>236</v>
      </c>
      <c r="AZ55" s="240" t="s">
        <v>237</v>
      </c>
      <c r="BA55" s="218"/>
      <c r="BB55" s="218"/>
      <c r="BC55" s="218"/>
      <c r="BD55" s="218"/>
      <c r="BE55" s="218"/>
      <c r="BF55" s="218"/>
      <c r="BG55" s="218"/>
      <c r="BH55" s="218"/>
      <c r="BI55" s="241" t="s">
        <v>238</v>
      </c>
      <c r="BJ55" s="232" t="s">
        <v>239</v>
      </c>
      <c r="BK55" s="232"/>
      <c r="BL55" s="232"/>
      <c r="BM55" s="232"/>
      <c r="BN55" s="232"/>
      <c r="BO55" s="232"/>
      <c r="BP55" s="232"/>
      <c r="BQ55" s="232"/>
      <c r="BR55" s="232"/>
      <c r="BS55" s="218"/>
      <c r="BT55" s="242" t="s">
        <v>240</v>
      </c>
      <c r="BU55" s="240" t="s">
        <v>241</v>
      </c>
      <c r="BV55" s="240"/>
      <c r="BW55" s="240"/>
      <c r="BX55" s="240"/>
      <c r="BY55" s="240"/>
      <c r="BZ55" s="240"/>
      <c r="CA55" s="240"/>
      <c r="CB55" s="218"/>
      <c r="CC55" s="218"/>
      <c r="CD55" s="218"/>
    </row>
    <row r="56" s="221" customFormat="true" ht="11.25" hidden="false" customHeight="true" outlineLevel="0" collapsed="false">
      <c r="I56" s="220"/>
      <c r="J56" s="233" t="s">
        <v>242</v>
      </c>
      <c r="K56" s="233"/>
      <c r="L56" s="233"/>
      <c r="M56" s="233"/>
      <c r="N56" s="233"/>
      <c r="O56" s="233"/>
      <c r="P56" s="233"/>
      <c r="Q56" s="233"/>
      <c r="R56" s="220"/>
      <c r="S56" s="233" t="s">
        <v>243</v>
      </c>
      <c r="T56" s="233"/>
      <c r="U56" s="220"/>
      <c r="V56" s="220"/>
      <c r="W56" s="220"/>
      <c r="X56" s="220"/>
      <c r="Y56" s="243"/>
      <c r="Z56" s="244"/>
      <c r="AA56" s="245"/>
      <c r="AB56" s="245"/>
      <c r="AC56" s="245"/>
      <c r="AD56" s="245"/>
      <c r="AE56" s="245"/>
      <c r="AF56" s="245"/>
      <c r="AG56" s="245"/>
      <c r="AH56" s="245"/>
      <c r="AI56" s="240"/>
      <c r="AJ56" s="232" t="s">
        <v>244</v>
      </c>
      <c r="AK56" s="232"/>
      <c r="AL56" s="232"/>
      <c r="AM56" s="232"/>
      <c r="AN56" s="232"/>
      <c r="AO56" s="232"/>
      <c r="AP56" s="232"/>
      <c r="AQ56" s="246"/>
      <c r="AR56" s="247"/>
      <c r="AS56" s="238"/>
      <c r="AT56" s="238"/>
      <c r="AU56" s="238"/>
      <c r="AV56" s="238"/>
      <c r="AW56" s="238"/>
      <c r="AX56" s="238"/>
      <c r="AY56" s="220"/>
      <c r="AZ56" s="233" t="s">
        <v>245</v>
      </c>
      <c r="BA56" s="233"/>
      <c r="BB56" s="233"/>
      <c r="BC56" s="233"/>
      <c r="BD56" s="233"/>
      <c r="BE56" s="233"/>
      <c r="BF56" s="233"/>
      <c r="BG56" s="233"/>
      <c r="BH56" s="233"/>
      <c r="BI56" s="220"/>
      <c r="BJ56" s="233" t="s">
        <v>246</v>
      </c>
      <c r="BK56" s="233"/>
      <c r="BL56" s="233"/>
      <c r="BM56" s="233"/>
      <c r="BN56" s="233"/>
      <c r="BO56" s="233"/>
      <c r="BP56" s="233"/>
      <c r="BQ56" s="233"/>
      <c r="BR56" s="233"/>
      <c r="BS56" s="220"/>
      <c r="BT56" s="220"/>
      <c r="BU56" s="220" t="s">
        <v>247</v>
      </c>
      <c r="BV56" s="238"/>
      <c r="BW56" s="238"/>
      <c r="BX56" s="238"/>
      <c r="BY56" s="238"/>
      <c r="BZ56" s="238"/>
      <c r="CA56" s="220"/>
      <c r="CB56" s="220"/>
      <c r="CC56" s="220"/>
      <c r="CD56" s="220"/>
    </row>
    <row r="57" s="221" customFormat="true" ht="12" hidden="false" customHeight="true" outlineLevel="0" collapsed="false">
      <c r="I57" s="218"/>
      <c r="J57" s="233" t="s">
        <v>248</v>
      </c>
      <c r="K57" s="233"/>
      <c r="L57" s="233"/>
      <c r="M57" s="233"/>
      <c r="N57" s="233"/>
      <c r="O57" s="233"/>
      <c r="P57" s="233"/>
      <c r="Q57" s="233"/>
      <c r="R57" s="247"/>
      <c r="S57" s="247"/>
      <c r="T57" s="247"/>
      <c r="U57" s="247"/>
      <c r="V57" s="247"/>
      <c r="W57" s="247"/>
      <c r="X57" s="247"/>
      <c r="Y57" s="247"/>
      <c r="Z57" s="233"/>
      <c r="AA57" s="233"/>
      <c r="AB57" s="233"/>
      <c r="AC57" s="233"/>
      <c r="AD57" s="233"/>
      <c r="AE57" s="233"/>
      <c r="AF57" s="233"/>
      <c r="AG57" s="233"/>
      <c r="AH57" s="233"/>
      <c r="AI57" s="238"/>
      <c r="AJ57" s="196"/>
      <c r="AK57" s="196"/>
      <c r="AL57" s="238"/>
      <c r="AM57" s="238"/>
      <c r="AN57" s="238"/>
      <c r="AO57" s="238"/>
      <c r="AP57" s="246"/>
      <c r="AQ57" s="246"/>
      <c r="AR57" s="238"/>
      <c r="AS57" s="238"/>
      <c r="AT57" s="238"/>
      <c r="AU57" s="238"/>
      <c r="AV57" s="238"/>
      <c r="AW57" s="238"/>
      <c r="AX57" s="238" t="s">
        <v>249</v>
      </c>
      <c r="AY57" s="248"/>
      <c r="AZ57" s="233" t="s">
        <v>250</v>
      </c>
      <c r="BA57" s="233"/>
      <c r="BB57" s="233"/>
      <c r="BC57" s="233"/>
      <c r="BD57" s="233"/>
      <c r="BE57" s="233"/>
      <c r="BF57" s="233"/>
      <c r="BG57" s="233"/>
      <c r="BH57" s="233"/>
      <c r="BI57" s="220"/>
      <c r="BJ57" s="220" t="s">
        <v>251</v>
      </c>
      <c r="BK57" s="220"/>
      <c r="BL57" s="220"/>
      <c r="BM57" s="220"/>
      <c r="BN57" s="220"/>
      <c r="BO57" s="220"/>
      <c r="BP57" s="220"/>
      <c r="BQ57" s="220"/>
      <c r="BR57" s="220"/>
      <c r="BS57" s="238"/>
      <c r="BT57" s="220"/>
      <c r="BU57" s="249" t="s">
        <v>252</v>
      </c>
      <c r="BV57" s="249"/>
      <c r="BW57" s="238"/>
      <c r="BX57" s="238"/>
      <c r="BY57" s="238"/>
      <c r="BZ57" s="238"/>
      <c r="CA57" s="220"/>
      <c r="CB57" s="220"/>
      <c r="CC57" s="220"/>
      <c r="CD57" s="220"/>
    </row>
    <row r="58" s="221" customFormat="true" ht="12" hidden="false" customHeight="true" outlineLevel="0" collapsed="false">
      <c r="I58" s="231" t="s">
        <v>253</v>
      </c>
      <c r="J58" s="240" t="s">
        <v>254</v>
      </c>
      <c r="K58" s="240"/>
      <c r="L58" s="240"/>
      <c r="M58" s="218"/>
      <c r="N58" s="218"/>
      <c r="O58" s="218"/>
      <c r="P58" s="218"/>
      <c r="Q58" s="218"/>
      <c r="R58" s="220"/>
      <c r="S58" s="220"/>
      <c r="T58" s="220"/>
      <c r="U58" s="220"/>
      <c r="V58" s="220"/>
      <c r="W58" s="220"/>
      <c r="X58" s="197"/>
      <c r="Y58" s="197"/>
      <c r="Z58" s="220"/>
      <c r="AA58" s="247"/>
      <c r="AB58" s="248"/>
      <c r="AC58" s="220"/>
      <c r="AD58" s="220"/>
      <c r="AE58" s="220"/>
      <c r="AF58" s="220"/>
      <c r="AG58" s="220"/>
      <c r="AH58" s="220"/>
      <c r="AI58" s="220"/>
      <c r="AJ58" s="196"/>
      <c r="AK58" s="196"/>
      <c r="AL58" s="220"/>
      <c r="AM58" s="220"/>
      <c r="AN58" s="220"/>
      <c r="AO58" s="220"/>
      <c r="AP58" s="220"/>
      <c r="AQ58" s="220"/>
      <c r="AR58" s="220"/>
      <c r="AS58" s="220"/>
      <c r="AT58" s="220"/>
      <c r="AU58" s="220"/>
      <c r="AV58" s="220"/>
      <c r="AW58" s="220"/>
      <c r="AX58" s="220"/>
      <c r="AY58" s="220"/>
      <c r="AZ58" s="250" t="s">
        <v>255</v>
      </c>
      <c r="BA58" s="250"/>
      <c r="BB58" s="250"/>
      <c r="BC58" s="250"/>
      <c r="BD58" s="250"/>
      <c r="BE58" s="250"/>
      <c r="BF58" s="250"/>
      <c r="BG58" s="250"/>
      <c r="BH58" s="250"/>
      <c r="BI58" s="220"/>
      <c r="BJ58" s="233"/>
      <c r="BK58" s="233"/>
      <c r="BL58" s="220"/>
      <c r="BM58" s="220"/>
      <c r="BN58" s="220"/>
      <c r="BO58" s="220"/>
      <c r="BP58" s="220"/>
      <c r="BQ58" s="220"/>
      <c r="BR58" s="251"/>
      <c r="BS58" s="220"/>
      <c r="BT58" s="231" t="s">
        <v>256</v>
      </c>
      <c r="BU58" s="248" t="s">
        <v>254</v>
      </c>
      <c r="BV58" s="107"/>
      <c r="BW58" s="107"/>
      <c r="BX58" s="220"/>
      <c r="BY58" s="220"/>
      <c r="BZ58" s="220"/>
      <c r="CA58" s="220"/>
      <c r="CB58" s="220"/>
      <c r="CC58" s="220"/>
      <c r="CD58" s="220"/>
    </row>
    <row r="59" customFormat="false" ht="11.25" hidden="false" customHeight="false" outlineLevel="0" collapsed="false">
      <c r="A59" s="221"/>
      <c r="B59" s="221"/>
      <c r="C59" s="221"/>
      <c r="D59" s="221"/>
      <c r="E59" s="221"/>
      <c r="F59" s="221"/>
      <c r="G59" s="221"/>
      <c r="H59" s="221"/>
      <c r="I59" s="221"/>
      <c r="J59" s="221"/>
      <c r="K59" s="221"/>
      <c r="L59" s="221"/>
      <c r="M59" s="221"/>
      <c r="N59" s="221"/>
      <c r="O59" s="221"/>
      <c r="P59" s="221"/>
      <c r="Q59" s="221"/>
      <c r="V59" s="252"/>
      <c r="AB59" s="186"/>
      <c r="AY59" s="221"/>
      <c r="AZ59" s="221"/>
      <c r="BA59" s="221"/>
      <c r="BB59" s="221"/>
      <c r="BC59" s="221"/>
      <c r="BD59" s="221"/>
      <c r="BE59" s="221"/>
      <c r="BF59" s="221"/>
      <c r="BG59" s="221"/>
      <c r="BH59" s="221"/>
      <c r="BU59" s="221"/>
      <c r="BV59" s="221"/>
      <c r="BW59" s="221"/>
      <c r="BX59" s="221"/>
    </row>
    <row r="60" customFormat="false" ht="11.25" hidden="false" customHeight="false" outlineLevel="0" collapsed="false">
      <c r="A60" s="221"/>
      <c r="B60" s="221"/>
      <c r="C60" s="221"/>
      <c r="D60" s="221"/>
      <c r="E60" s="221"/>
      <c r="F60" s="221"/>
      <c r="G60" s="221"/>
      <c r="H60" s="221"/>
      <c r="I60" s="207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  <c r="U60" s="196"/>
      <c r="V60" s="186"/>
      <c r="W60" s="186"/>
      <c r="X60" s="197"/>
      <c r="Y60" s="197"/>
      <c r="Z60" s="207"/>
      <c r="AA60" s="186"/>
      <c r="AB60" s="196"/>
      <c r="AC60" s="198"/>
      <c r="AD60" s="186"/>
      <c r="AE60" s="186"/>
      <c r="AF60" s="196"/>
      <c r="AG60" s="196"/>
      <c r="AH60" s="186"/>
      <c r="AI60" s="196"/>
      <c r="AJ60" s="196"/>
      <c r="AK60" s="196"/>
      <c r="AL60" s="217"/>
      <c r="AM60" s="186"/>
      <c r="AN60" s="186"/>
      <c r="AO60" s="186"/>
      <c r="AP60" s="186"/>
      <c r="AQ60" s="207"/>
      <c r="AR60" s="196"/>
      <c r="AS60" s="196"/>
      <c r="AT60" s="196"/>
      <c r="AU60" s="196"/>
      <c r="AV60" s="196"/>
      <c r="AW60" s="196"/>
      <c r="AX60" s="186"/>
      <c r="AY60" s="186"/>
      <c r="AZ60" s="186"/>
      <c r="BA60" s="196"/>
      <c r="BB60" s="196"/>
      <c r="BC60" s="180"/>
      <c r="BD60" s="196"/>
      <c r="BE60" s="196"/>
      <c r="BF60" s="196"/>
      <c r="BG60" s="196"/>
      <c r="BH60" s="186"/>
      <c r="BI60" s="207"/>
      <c r="BJ60" s="187"/>
      <c r="BK60" s="187"/>
      <c r="BL60" s="187"/>
      <c r="BM60" s="187"/>
      <c r="BN60" s="187"/>
      <c r="BO60" s="187"/>
      <c r="BP60" s="187"/>
      <c r="BQ60" s="188"/>
      <c r="BR60" s="188"/>
      <c r="BS60" s="188"/>
      <c r="BT60" s="187"/>
      <c r="BU60" s="187"/>
      <c r="BV60" s="187"/>
      <c r="BW60" s="187"/>
      <c r="BX60" s="187"/>
      <c r="BY60" s="187"/>
      <c r="BZ60" s="187"/>
      <c r="CA60" s="187"/>
      <c r="CB60" s="187"/>
      <c r="CC60" s="187"/>
      <c r="CD60" s="187"/>
    </row>
    <row r="61" customFormat="false" ht="11.25" hidden="false" customHeight="false" outlineLevel="0" collapsed="false">
      <c r="A61" s="221"/>
      <c r="B61" s="221"/>
      <c r="C61" s="221"/>
      <c r="D61" s="221"/>
      <c r="E61" s="221"/>
      <c r="F61" s="221"/>
      <c r="G61" s="221"/>
      <c r="H61" s="221"/>
      <c r="I61" s="221"/>
      <c r="J61" s="221"/>
      <c r="K61" s="221"/>
      <c r="L61" s="253"/>
      <c r="M61" s="224"/>
      <c r="N61" s="224"/>
      <c r="O61" s="221"/>
      <c r="P61" s="221"/>
      <c r="Q61" s="221"/>
      <c r="R61" s="221"/>
      <c r="S61" s="196"/>
      <c r="T61" s="221"/>
      <c r="U61" s="221"/>
      <c r="V61" s="253"/>
      <c r="W61" s="221"/>
      <c r="X61" s="221"/>
      <c r="Y61" s="221"/>
      <c r="Z61" s="221"/>
      <c r="AA61" s="221"/>
      <c r="AB61" s="221"/>
      <c r="AC61" s="221"/>
      <c r="AD61" s="254"/>
      <c r="AE61" s="221"/>
      <c r="AF61" s="221"/>
      <c r="AG61" s="221"/>
      <c r="AH61" s="221"/>
      <c r="AI61" s="221"/>
      <c r="AJ61" s="221"/>
      <c r="AK61" s="221"/>
      <c r="AL61" s="221"/>
      <c r="AM61" s="221"/>
      <c r="AN61" s="253"/>
      <c r="AO61" s="253"/>
      <c r="AP61" s="253"/>
      <c r="AQ61" s="221"/>
      <c r="AR61" s="221"/>
      <c r="AS61" s="221"/>
      <c r="AT61" s="221"/>
      <c r="AU61" s="221"/>
      <c r="AV61" s="221"/>
      <c r="AW61" s="221"/>
      <c r="AX61" s="221"/>
      <c r="AY61" s="221"/>
      <c r="AZ61" s="221"/>
      <c r="BA61" s="221"/>
      <c r="BB61" s="221"/>
      <c r="BC61" s="253"/>
      <c r="BD61" s="221"/>
      <c r="BE61" s="221"/>
      <c r="BF61" s="221"/>
      <c r="BG61" s="221"/>
      <c r="BH61" s="221"/>
      <c r="BI61" s="221"/>
      <c r="BJ61" s="221"/>
      <c r="BK61" s="221"/>
      <c r="BL61" s="221"/>
      <c r="BM61" s="221"/>
      <c r="BN61" s="221"/>
      <c r="BO61" s="221"/>
      <c r="BP61" s="221"/>
      <c r="BQ61" s="221"/>
      <c r="BR61" s="221"/>
      <c r="BS61" s="221"/>
      <c r="BT61" s="221"/>
      <c r="BU61" s="221"/>
      <c r="BV61" s="221"/>
      <c r="BW61" s="221"/>
      <c r="BX61" s="221"/>
      <c r="BY61" s="221"/>
      <c r="BZ61" s="221"/>
      <c r="CA61" s="254"/>
      <c r="CB61" s="221"/>
      <c r="CC61" s="221"/>
      <c r="CD61" s="221"/>
    </row>
    <row r="62" customFormat="false" ht="11.25" hidden="false" customHeight="false" outlineLevel="0" collapsed="false">
      <c r="I62" s="221"/>
      <c r="J62" s="253"/>
      <c r="K62" s="253"/>
      <c r="L62" s="253"/>
      <c r="M62" s="253"/>
      <c r="N62" s="253"/>
      <c r="O62" s="253"/>
      <c r="P62" s="253"/>
      <c r="Q62" s="253"/>
      <c r="R62" s="253"/>
      <c r="S62" s="253"/>
      <c r="T62" s="253"/>
      <c r="U62" s="253"/>
      <c r="V62" s="253"/>
      <c r="W62" s="253"/>
      <c r="X62" s="253"/>
      <c r="Y62" s="253"/>
      <c r="Z62" s="253"/>
      <c r="AA62" s="253"/>
      <c r="AB62" s="253"/>
      <c r="AC62" s="253"/>
      <c r="AD62" s="253"/>
      <c r="AE62" s="253"/>
      <c r="AF62" s="253"/>
      <c r="AG62" s="253"/>
      <c r="AH62" s="253"/>
      <c r="AI62" s="253"/>
      <c r="AJ62" s="253"/>
      <c r="AK62" s="253"/>
      <c r="AL62" s="253"/>
      <c r="AM62" s="253"/>
      <c r="AN62" s="253"/>
      <c r="AO62" s="253"/>
      <c r="AP62" s="253"/>
      <c r="AQ62" s="253"/>
      <c r="AR62" s="253"/>
      <c r="AS62" s="253"/>
      <c r="AT62" s="253"/>
      <c r="AU62" s="253"/>
      <c r="AV62" s="253"/>
      <c r="AW62" s="253"/>
      <c r="AX62" s="253"/>
      <c r="AY62" s="253"/>
      <c r="AZ62" s="253"/>
      <c r="BA62" s="253"/>
      <c r="BB62" s="255"/>
      <c r="BC62" s="253"/>
      <c r="BD62" s="253"/>
      <c r="BE62" s="253"/>
      <c r="BF62" s="253"/>
      <c r="BG62" s="253"/>
      <c r="BH62" s="253"/>
      <c r="BI62" s="253"/>
      <c r="BJ62" s="253"/>
      <c r="BK62" s="253"/>
      <c r="BL62" s="253"/>
      <c r="BM62" s="253"/>
      <c r="BN62" s="253"/>
      <c r="BO62" s="253"/>
      <c r="BP62" s="253"/>
      <c r="BQ62" s="253"/>
      <c r="BR62" s="253"/>
      <c r="BS62" s="253"/>
      <c r="BT62" s="253"/>
      <c r="BU62" s="253"/>
      <c r="BV62" s="253"/>
      <c r="BW62" s="253"/>
      <c r="BX62" s="253"/>
      <c r="BY62" s="253"/>
      <c r="BZ62" s="253"/>
      <c r="CA62" s="253"/>
      <c r="CB62" s="253"/>
      <c r="CC62" s="253"/>
      <c r="CD62" s="253"/>
    </row>
    <row r="63" customFormat="false" ht="11.25" hidden="false" customHeight="false" outlineLevel="0" collapsed="false">
      <c r="I63" s="221"/>
      <c r="J63" s="253"/>
      <c r="K63" s="253"/>
      <c r="L63" s="253"/>
      <c r="M63" s="253"/>
      <c r="N63" s="253"/>
      <c r="O63" s="253"/>
      <c r="P63" s="253"/>
      <c r="Q63" s="253"/>
      <c r="R63" s="253"/>
      <c r="S63" s="253"/>
      <c r="T63" s="253"/>
      <c r="U63" s="253"/>
      <c r="V63" s="253"/>
      <c r="W63" s="253"/>
      <c r="X63" s="253"/>
      <c r="Y63" s="253"/>
      <c r="Z63" s="253"/>
      <c r="AA63" s="253"/>
      <c r="AB63" s="253"/>
      <c r="AC63" s="253"/>
      <c r="AD63" s="253"/>
      <c r="AE63" s="253"/>
      <c r="AF63" s="253"/>
      <c r="AG63" s="253"/>
      <c r="AH63" s="253"/>
      <c r="AI63" s="253"/>
      <c r="AJ63" s="253"/>
      <c r="AK63" s="253"/>
      <c r="AL63" s="254"/>
      <c r="AM63" s="253"/>
      <c r="AN63" s="253"/>
      <c r="AO63" s="253"/>
      <c r="AP63" s="253"/>
      <c r="AQ63" s="253"/>
      <c r="AR63" s="253"/>
      <c r="AS63" s="253"/>
      <c r="AT63" s="253"/>
      <c r="AU63" s="253"/>
      <c r="AV63" s="253"/>
      <c r="AW63" s="253"/>
      <c r="AX63" s="253"/>
      <c r="AY63" s="253"/>
      <c r="AZ63" s="253"/>
      <c r="BA63" s="253"/>
      <c r="BB63" s="253"/>
      <c r="BC63" s="253"/>
      <c r="BD63" s="253"/>
      <c r="BE63" s="221"/>
      <c r="BF63" s="221"/>
      <c r="BG63" s="221"/>
      <c r="BH63" s="221"/>
      <c r="BI63" s="254"/>
      <c r="BJ63" s="221"/>
      <c r="BK63" s="221"/>
      <c r="BL63" s="221"/>
      <c r="BM63" s="221"/>
      <c r="BN63" s="221"/>
      <c r="BO63" s="221"/>
      <c r="BP63" s="221"/>
      <c r="BQ63" s="221"/>
      <c r="BR63" s="256"/>
      <c r="BS63" s="221"/>
      <c r="BT63" s="221"/>
      <c r="BU63" s="221"/>
      <c r="BV63" s="221"/>
      <c r="BW63" s="221"/>
      <c r="BX63" s="221"/>
      <c r="BY63" s="221"/>
      <c r="BZ63" s="221"/>
      <c r="CA63" s="254"/>
      <c r="CB63" s="221"/>
      <c r="CC63" s="221"/>
      <c r="CD63" s="221"/>
    </row>
    <row r="64" customFormat="false" ht="11.25" hidden="false" customHeight="false" outlineLevel="0" collapsed="false">
      <c r="J64" s="257"/>
      <c r="K64" s="257"/>
      <c r="L64" s="257"/>
      <c r="M64" s="257"/>
      <c r="N64" s="257"/>
      <c r="O64" s="257"/>
      <c r="P64" s="257"/>
      <c r="Q64" s="257"/>
      <c r="R64" s="257"/>
      <c r="S64" s="257"/>
      <c r="T64" s="257"/>
      <c r="U64" s="257"/>
      <c r="V64" s="257"/>
      <c r="W64" s="257"/>
      <c r="X64" s="257"/>
      <c r="Y64" s="257"/>
      <c r="Z64" s="257"/>
      <c r="AA64" s="257"/>
      <c r="AB64" s="257"/>
      <c r="AC64" s="257"/>
      <c r="AD64" s="257"/>
      <c r="AE64" s="257"/>
      <c r="AF64" s="257"/>
      <c r="AG64" s="257"/>
      <c r="AH64" s="257"/>
      <c r="AI64" s="257"/>
      <c r="AJ64" s="257"/>
      <c r="AK64" s="257"/>
      <c r="AL64" s="257"/>
      <c r="AM64" s="258"/>
      <c r="AN64" s="257"/>
      <c r="AO64" s="257"/>
      <c r="AP64" s="257"/>
      <c r="AQ64" s="257"/>
      <c r="AR64" s="257"/>
      <c r="AS64" s="257"/>
      <c r="AT64" s="257"/>
      <c r="AU64" s="257"/>
      <c r="AV64" s="257"/>
      <c r="AW64" s="257"/>
      <c r="AX64" s="257"/>
      <c r="AY64" s="257"/>
      <c r="AZ64" s="257"/>
      <c r="BA64" s="257"/>
      <c r="BB64" s="259"/>
      <c r="BC64" s="257"/>
      <c r="BD64" s="257"/>
      <c r="BE64" s="257"/>
      <c r="BF64" s="257"/>
      <c r="BG64" s="257"/>
      <c r="BH64" s="257"/>
      <c r="BI64" s="258"/>
      <c r="BJ64" s="257"/>
      <c r="BK64" s="257"/>
      <c r="BL64" s="257"/>
      <c r="BM64" s="257"/>
      <c r="BN64" s="257"/>
      <c r="BO64" s="257"/>
      <c r="BP64" s="257"/>
      <c r="BQ64" s="257"/>
      <c r="BR64" s="256"/>
      <c r="BS64" s="257"/>
      <c r="BT64" s="257"/>
      <c r="BU64" s="257"/>
      <c r="BV64" s="257"/>
      <c r="BW64" s="257"/>
      <c r="BX64" s="257"/>
      <c r="BY64" s="257"/>
      <c r="BZ64" s="257"/>
      <c r="CA64" s="257"/>
      <c r="CB64" s="257"/>
      <c r="CC64" s="257"/>
      <c r="CD64" s="257"/>
    </row>
    <row r="65" customFormat="false" ht="11.25" hidden="false" customHeight="false" outlineLevel="0" collapsed="false">
      <c r="AE65" s="221"/>
      <c r="AY65" s="221"/>
      <c r="AZ65" s="221"/>
      <c r="BA65" s="221"/>
      <c r="BB65" s="221"/>
      <c r="BC65" s="221"/>
      <c r="BD65" s="221"/>
      <c r="BE65" s="221"/>
      <c r="BF65" s="221"/>
      <c r="BG65" s="221"/>
      <c r="BH65" s="221"/>
      <c r="BT65" s="258"/>
      <c r="BU65" s="258"/>
      <c r="BV65" s="258"/>
      <c r="BW65" s="258"/>
    </row>
    <row r="66" customFormat="false" ht="11.25" hidden="false" customHeight="false" outlineLevel="0" collapsed="false">
      <c r="AM66" s="257"/>
      <c r="AY66" s="221"/>
      <c r="AZ66" s="221"/>
      <c r="BA66" s="221"/>
      <c r="BB66" s="221"/>
      <c r="BC66" s="221"/>
      <c r="BD66" s="221"/>
      <c r="BE66" s="221"/>
      <c r="BF66" s="221"/>
      <c r="BG66" s="221"/>
      <c r="BH66" s="221"/>
    </row>
    <row r="67" customFormat="false" ht="11.25" hidden="false" customHeight="false" outlineLevel="0" collapsed="false">
      <c r="AD67" s="257"/>
      <c r="AE67" s="257"/>
      <c r="AY67" s="221"/>
      <c r="AZ67" s="221"/>
      <c r="BA67" s="221"/>
      <c r="BB67" s="221"/>
      <c r="BC67" s="221"/>
      <c r="BD67" s="221"/>
      <c r="BE67" s="221"/>
      <c r="BF67" s="221"/>
      <c r="BG67" s="221"/>
      <c r="BH67" s="221"/>
    </row>
    <row r="68" customFormat="false" ht="11.25" hidden="false" customHeight="false" outlineLevel="0" collapsed="false">
      <c r="AD68" s="257"/>
      <c r="AE68" s="257"/>
      <c r="AY68" s="221"/>
      <c r="AZ68" s="221"/>
      <c r="BA68" s="221"/>
      <c r="BB68" s="221"/>
      <c r="BC68" s="221"/>
      <c r="BD68" s="221"/>
      <c r="BE68" s="221"/>
      <c r="BF68" s="221"/>
      <c r="BG68" s="221"/>
      <c r="BH68" s="221"/>
    </row>
    <row r="69" customFormat="false" ht="11.25" hidden="false" customHeight="false" outlineLevel="0" collapsed="false">
      <c r="AD69" s="257"/>
      <c r="AE69" s="257"/>
      <c r="AY69" s="221"/>
      <c r="AZ69" s="221"/>
      <c r="BA69" s="221"/>
      <c r="BB69" s="221"/>
      <c r="BC69" s="221"/>
      <c r="BD69" s="221"/>
      <c r="BE69" s="221"/>
      <c r="BF69" s="221"/>
      <c r="BG69" s="221"/>
      <c r="BH69" s="221"/>
    </row>
    <row r="70" customFormat="false" ht="11.25" hidden="false" customHeight="false" outlineLevel="0" collapsed="false">
      <c r="AD70" s="257"/>
      <c r="AE70" s="257"/>
      <c r="AY70" s="221"/>
      <c r="AZ70" s="221"/>
      <c r="BA70" s="221"/>
      <c r="BB70" s="221"/>
      <c r="BC70" s="221"/>
      <c r="BD70" s="221"/>
      <c r="BE70" s="221"/>
      <c r="BF70" s="221"/>
      <c r="BG70" s="221"/>
      <c r="BH70" s="221"/>
    </row>
    <row r="71" customFormat="false" ht="11.25" hidden="false" customHeight="false" outlineLevel="0" collapsed="false">
      <c r="AD71" s="257"/>
      <c r="AE71" s="257"/>
      <c r="AY71" s="221"/>
      <c r="AZ71" s="221"/>
      <c r="BA71" s="221"/>
      <c r="BB71" s="221"/>
      <c r="BC71" s="221"/>
      <c r="BD71" s="221"/>
      <c r="BE71" s="221"/>
      <c r="BF71" s="221"/>
      <c r="BG71" s="221"/>
      <c r="BH71" s="221"/>
    </row>
    <row r="72" customFormat="false" ht="11.25" hidden="false" customHeight="false" outlineLevel="0" collapsed="false">
      <c r="AD72" s="257"/>
      <c r="AE72" s="257"/>
      <c r="AY72" s="221"/>
      <c r="AZ72" s="221"/>
      <c r="BA72" s="221"/>
      <c r="BB72" s="221"/>
      <c r="BC72" s="221"/>
      <c r="BD72" s="221"/>
      <c r="BE72" s="221"/>
      <c r="BF72" s="221"/>
      <c r="BG72" s="221"/>
      <c r="BH72" s="221"/>
    </row>
    <row r="73" customFormat="false" ht="11.25" hidden="false" customHeight="false" outlineLevel="0" collapsed="false">
      <c r="AD73" s="257"/>
      <c r="AE73" s="257"/>
      <c r="AY73" s="221"/>
      <c r="AZ73" s="221"/>
      <c r="BA73" s="221"/>
      <c r="BB73" s="221"/>
      <c r="BC73" s="221"/>
      <c r="BD73" s="221"/>
      <c r="BE73" s="221"/>
      <c r="BF73" s="221"/>
      <c r="BG73" s="221"/>
      <c r="BH73" s="221"/>
    </row>
    <row r="74" customFormat="false" ht="11.25" hidden="false" customHeight="false" outlineLevel="0" collapsed="false">
      <c r="J74" s="257"/>
      <c r="K74" s="257"/>
      <c r="L74" s="257"/>
      <c r="M74" s="257"/>
      <c r="N74" s="257"/>
      <c r="O74" s="257"/>
      <c r="P74" s="257"/>
      <c r="Q74" s="257"/>
      <c r="R74" s="257"/>
      <c r="S74" s="257"/>
      <c r="T74" s="257"/>
      <c r="U74" s="257"/>
      <c r="V74" s="257"/>
      <c r="W74" s="257"/>
      <c r="X74" s="257"/>
      <c r="Y74" s="257"/>
      <c r="Z74" s="257"/>
      <c r="AA74" s="257"/>
      <c r="AB74" s="257"/>
      <c r="AC74" s="257"/>
      <c r="AD74" s="257"/>
      <c r="AE74" s="257"/>
      <c r="AF74" s="257"/>
      <c r="AG74" s="257"/>
      <c r="AH74" s="257"/>
      <c r="AI74" s="257"/>
      <c r="AJ74" s="257"/>
      <c r="AK74" s="257"/>
      <c r="AL74" s="257"/>
      <c r="AM74" s="257"/>
      <c r="AN74" s="257"/>
      <c r="AO74" s="257"/>
      <c r="AP74" s="257"/>
      <c r="AQ74" s="257"/>
      <c r="AR74" s="257"/>
      <c r="AS74" s="257"/>
      <c r="AT74" s="257"/>
      <c r="AU74" s="257"/>
      <c r="AV74" s="257"/>
      <c r="AW74" s="257"/>
      <c r="AX74" s="257"/>
      <c r="AY74" s="257"/>
      <c r="AZ74" s="257"/>
      <c r="BA74" s="257"/>
      <c r="BB74" s="257"/>
      <c r="BC74" s="257"/>
      <c r="BD74" s="257"/>
      <c r="BE74" s="257"/>
      <c r="BF74" s="257"/>
      <c r="BG74" s="257"/>
      <c r="BH74" s="257"/>
      <c r="BI74" s="257"/>
      <c r="BJ74" s="257"/>
      <c r="BK74" s="257"/>
      <c r="BL74" s="257"/>
      <c r="BM74" s="257"/>
      <c r="BN74" s="257"/>
      <c r="BO74" s="257"/>
      <c r="BP74" s="257"/>
      <c r="BQ74" s="257"/>
      <c r="BR74" s="257"/>
      <c r="BS74" s="257"/>
      <c r="BT74" s="257"/>
      <c r="BU74" s="257"/>
      <c r="BV74" s="257"/>
      <c r="BW74" s="257"/>
      <c r="BX74" s="257"/>
      <c r="BY74" s="257"/>
      <c r="BZ74" s="257"/>
      <c r="CA74" s="257"/>
      <c r="CB74" s="257"/>
      <c r="CC74" s="257"/>
      <c r="CD74" s="257"/>
    </row>
    <row r="75" customFormat="false" ht="11.25" hidden="false" customHeight="false" outlineLevel="0" collapsed="false">
      <c r="J75" s="257"/>
      <c r="K75" s="257"/>
      <c r="L75" s="257"/>
      <c r="M75" s="257"/>
      <c r="N75" s="257"/>
      <c r="O75" s="257"/>
      <c r="P75" s="257"/>
      <c r="Q75" s="257"/>
      <c r="R75" s="257"/>
      <c r="S75" s="257"/>
      <c r="T75" s="257"/>
      <c r="U75" s="257"/>
      <c r="V75" s="257"/>
      <c r="W75" s="257"/>
      <c r="X75" s="257"/>
      <c r="Y75" s="257"/>
      <c r="Z75" s="257"/>
      <c r="AA75" s="257"/>
      <c r="AB75" s="257"/>
      <c r="AC75" s="257"/>
      <c r="AD75" s="257"/>
      <c r="AE75" s="257"/>
      <c r="AF75" s="257"/>
      <c r="AG75" s="257"/>
      <c r="AH75" s="257"/>
      <c r="AI75" s="257"/>
      <c r="AJ75" s="257"/>
      <c r="AK75" s="257"/>
      <c r="AL75" s="257"/>
      <c r="AM75" s="257"/>
      <c r="AN75" s="257"/>
      <c r="AO75" s="257"/>
      <c r="AP75" s="257"/>
      <c r="AQ75" s="257"/>
      <c r="AR75" s="257"/>
      <c r="AS75" s="257"/>
      <c r="AT75" s="257"/>
      <c r="AU75" s="257"/>
      <c r="AV75" s="257"/>
      <c r="AW75" s="257"/>
      <c r="AX75" s="257"/>
      <c r="AY75" s="257"/>
      <c r="AZ75" s="257"/>
      <c r="BA75" s="257"/>
      <c r="BB75" s="257"/>
      <c r="BC75" s="257"/>
      <c r="BD75" s="257"/>
      <c r="BE75" s="257"/>
      <c r="BF75" s="257"/>
      <c r="BG75" s="257"/>
      <c r="BH75" s="257"/>
      <c r="BI75" s="257"/>
      <c r="BJ75" s="257"/>
      <c r="BK75" s="257"/>
      <c r="BL75" s="257"/>
      <c r="BM75" s="257"/>
      <c r="BN75" s="257"/>
      <c r="BO75" s="257"/>
      <c r="BP75" s="257"/>
      <c r="BQ75" s="257"/>
      <c r="BR75" s="257"/>
      <c r="BS75" s="257"/>
      <c r="BT75" s="257"/>
      <c r="BU75" s="257"/>
      <c r="BV75" s="257"/>
      <c r="BW75" s="257"/>
      <c r="BX75" s="257"/>
      <c r="BY75" s="257"/>
      <c r="BZ75" s="257"/>
      <c r="CA75" s="257"/>
      <c r="CB75" s="257"/>
      <c r="CC75" s="257"/>
      <c r="CD75" s="257"/>
    </row>
    <row r="76" customFormat="false" ht="11.25" hidden="false" customHeight="false" outlineLevel="0" collapsed="false">
      <c r="J76" s="257"/>
      <c r="K76" s="257"/>
      <c r="L76" s="257"/>
      <c r="M76" s="257"/>
      <c r="N76" s="257"/>
      <c r="O76" s="257"/>
      <c r="P76" s="257"/>
      <c r="Q76" s="257"/>
      <c r="R76" s="257"/>
      <c r="S76" s="257"/>
      <c r="T76" s="257"/>
      <c r="U76" s="257"/>
      <c r="V76" s="257"/>
      <c r="W76" s="257"/>
      <c r="X76" s="257"/>
      <c r="Y76" s="257"/>
      <c r="Z76" s="257"/>
      <c r="AA76" s="257"/>
      <c r="AB76" s="257"/>
      <c r="AC76" s="257"/>
      <c r="AD76" s="257"/>
      <c r="AE76" s="257"/>
      <c r="AF76" s="257"/>
      <c r="AG76" s="257"/>
      <c r="AH76" s="257"/>
      <c r="AI76" s="257"/>
      <c r="AJ76" s="257"/>
      <c r="AK76" s="257"/>
      <c r="AL76" s="257"/>
      <c r="AM76" s="257"/>
      <c r="AN76" s="257"/>
      <c r="AO76" s="257"/>
      <c r="AP76" s="257"/>
      <c r="AQ76" s="257"/>
      <c r="AR76" s="257"/>
      <c r="AS76" s="257"/>
      <c r="AT76" s="257"/>
      <c r="AU76" s="257"/>
      <c r="AV76" s="257"/>
      <c r="AW76" s="257"/>
      <c r="AX76" s="257"/>
      <c r="AY76" s="257"/>
      <c r="AZ76" s="257"/>
      <c r="BA76" s="257"/>
      <c r="BB76" s="257"/>
      <c r="BC76" s="257"/>
      <c r="BD76" s="257"/>
      <c r="BE76" s="257"/>
      <c r="BF76" s="257"/>
      <c r="BG76" s="257"/>
      <c r="BH76" s="257"/>
      <c r="BI76" s="257"/>
      <c r="BJ76" s="257"/>
      <c r="BK76" s="257"/>
      <c r="BL76" s="257"/>
      <c r="BM76" s="257"/>
      <c r="BN76" s="257"/>
      <c r="BO76" s="257"/>
      <c r="BP76" s="257"/>
      <c r="BQ76" s="257"/>
      <c r="BR76" s="257"/>
      <c r="BS76" s="257"/>
      <c r="BT76" s="257"/>
      <c r="BU76" s="257"/>
      <c r="BV76" s="257"/>
      <c r="BW76" s="257"/>
      <c r="BX76" s="257"/>
      <c r="BY76" s="257"/>
      <c r="BZ76" s="257"/>
      <c r="CA76" s="257"/>
      <c r="CB76" s="257"/>
      <c r="CC76" s="257"/>
      <c r="CD76" s="257"/>
    </row>
    <row r="77" customFormat="false" ht="11.25" hidden="false" customHeight="false" outlineLevel="0" collapsed="false">
      <c r="J77" s="257"/>
      <c r="K77" s="257"/>
      <c r="L77" s="257"/>
      <c r="M77" s="257"/>
      <c r="N77" s="257"/>
      <c r="O77" s="257"/>
      <c r="P77" s="257"/>
      <c r="Q77" s="257"/>
      <c r="R77" s="257"/>
      <c r="S77" s="257"/>
      <c r="T77" s="257"/>
      <c r="U77" s="257"/>
      <c r="V77" s="257"/>
      <c r="W77" s="257"/>
      <c r="X77" s="257"/>
      <c r="Y77" s="257"/>
      <c r="Z77" s="257"/>
      <c r="AA77" s="257"/>
      <c r="AB77" s="257"/>
      <c r="AC77" s="257"/>
      <c r="AD77" s="257"/>
      <c r="AE77" s="257"/>
      <c r="AF77" s="257"/>
      <c r="AG77" s="257"/>
      <c r="AH77" s="257"/>
      <c r="AI77" s="257"/>
      <c r="AJ77" s="257"/>
      <c r="AK77" s="257"/>
      <c r="AL77" s="257"/>
      <c r="AM77" s="257"/>
      <c r="AN77" s="257"/>
      <c r="AO77" s="257"/>
      <c r="AP77" s="257"/>
      <c r="AQ77" s="257"/>
      <c r="AR77" s="257"/>
      <c r="AS77" s="257"/>
      <c r="AT77" s="257"/>
      <c r="AU77" s="257"/>
      <c r="AV77" s="257"/>
      <c r="AW77" s="257"/>
      <c r="AX77" s="257"/>
      <c r="AY77" s="257"/>
      <c r="AZ77" s="257"/>
      <c r="BA77" s="257"/>
      <c r="BB77" s="257"/>
      <c r="BC77" s="257"/>
      <c r="BD77" s="257"/>
      <c r="BE77" s="257"/>
      <c r="BF77" s="257"/>
      <c r="BG77" s="257"/>
      <c r="BH77" s="257"/>
      <c r="BI77" s="257"/>
      <c r="BJ77" s="257"/>
      <c r="BK77" s="257"/>
      <c r="BL77" s="257"/>
      <c r="BM77" s="257"/>
      <c r="BN77" s="257"/>
      <c r="BO77" s="257"/>
      <c r="BP77" s="257"/>
      <c r="BQ77" s="257"/>
      <c r="BR77" s="257"/>
      <c r="BS77" s="257"/>
      <c r="BT77" s="257"/>
      <c r="BU77" s="257"/>
      <c r="BV77" s="257"/>
      <c r="BW77" s="257"/>
      <c r="BX77" s="257"/>
      <c r="BY77" s="257"/>
      <c r="BZ77" s="257"/>
      <c r="CA77" s="257"/>
      <c r="CB77" s="257"/>
      <c r="CC77" s="257"/>
      <c r="CD77" s="257"/>
    </row>
    <row r="78" customFormat="false" ht="11.25" hidden="false" customHeight="false" outlineLevel="0" collapsed="false">
      <c r="J78" s="257"/>
      <c r="K78" s="257"/>
      <c r="L78" s="257"/>
      <c r="M78" s="257"/>
      <c r="N78" s="257"/>
      <c r="O78" s="257"/>
      <c r="P78" s="257"/>
      <c r="Q78" s="257"/>
      <c r="R78" s="257"/>
      <c r="S78" s="257"/>
      <c r="T78" s="257"/>
      <c r="U78" s="257"/>
      <c r="V78" s="257"/>
      <c r="W78" s="257"/>
      <c r="X78" s="257"/>
      <c r="Y78" s="257"/>
      <c r="Z78" s="257"/>
      <c r="AA78" s="257"/>
      <c r="AB78" s="257"/>
      <c r="AC78" s="257"/>
      <c r="AD78" s="257"/>
      <c r="AE78" s="257"/>
      <c r="AF78" s="257"/>
      <c r="AG78" s="257"/>
      <c r="AH78" s="257"/>
      <c r="AI78" s="257"/>
      <c r="AJ78" s="257"/>
      <c r="AK78" s="257"/>
      <c r="AL78" s="257"/>
      <c r="AM78" s="257"/>
      <c r="AN78" s="257"/>
      <c r="AO78" s="257"/>
      <c r="AP78" s="257"/>
      <c r="AQ78" s="257"/>
      <c r="AR78" s="257"/>
      <c r="AS78" s="257"/>
      <c r="AT78" s="257"/>
      <c r="AU78" s="257"/>
      <c r="AV78" s="257"/>
      <c r="AW78" s="257"/>
      <c r="AX78" s="257"/>
      <c r="AY78" s="257"/>
      <c r="AZ78" s="257"/>
      <c r="BA78" s="257"/>
      <c r="BB78" s="257"/>
      <c r="BC78" s="257"/>
      <c r="BD78" s="257"/>
      <c r="BE78" s="257"/>
      <c r="BF78" s="257"/>
      <c r="BG78" s="257"/>
      <c r="BH78" s="257"/>
      <c r="BI78" s="257"/>
      <c r="BJ78" s="257"/>
      <c r="BK78" s="257"/>
      <c r="BL78" s="257"/>
      <c r="BM78" s="257"/>
      <c r="BN78" s="257"/>
      <c r="BO78" s="257"/>
      <c r="BP78" s="257"/>
      <c r="BQ78" s="257"/>
      <c r="BR78" s="257"/>
      <c r="BS78" s="257"/>
      <c r="BT78" s="257"/>
      <c r="BU78" s="257"/>
      <c r="BV78" s="257"/>
      <c r="BW78" s="257"/>
      <c r="BX78" s="257"/>
      <c r="BY78" s="257"/>
      <c r="BZ78" s="257"/>
      <c r="CA78" s="257"/>
      <c r="CB78" s="257"/>
      <c r="CC78" s="257"/>
      <c r="CD78" s="257"/>
    </row>
    <row r="79" customFormat="false" ht="11.25" hidden="false" customHeight="false" outlineLevel="0" collapsed="false">
      <c r="J79" s="257"/>
      <c r="K79" s="257"/>
      <c r="L79" s="257"/>
      <c r="M79" s="257"/>
      <c r="N79" s="257"/>
      <c r="O79" s="257"/>
      <c r="P79" s="257"/>
      <c r="Q79" s="257"/>
      <c r="R79" s="257"/>
      <c r="S79" s="257"/>
      <c r="T79" s="257"/>
      <c r="U79" s="257"/>
      <c r="V79" s="257"/>
      <c r="W79" s="257"/>
      <c r="X79" s="257"/>
      <c r="Y79" s="257"/>
      <c r="Z79" s="257"/>
      <c r="AA79" s="257"/>
      <c r="AB79" s="257"/>
      <c r="AC79" s="257"/>
      <c r="AD79" s="257"/>
      <c r="AE79" s="257"/>
      <c r="AF79" s="257"/>
      <c r="AG79" s="257"/>
      <c r="AH79" s="257"/>
      <c r="AI79" s="257"/>
      <c r="AJ79" s="257"/>
      <c r="AK79" s="257"/>
      <c r="AL79" s="257"/>
      <c r="AM79" s="257"/>
      <c r="AN79" s="257"/>
      <c r="AO79" s="257"/>
      <c r="AP79" s="257"/>
      <c r="AQ79" s="257"/>
      <c r="AR79" s="257"/>
      <c r="AS79" s="257"/>
      <c r="AT79" s="257"/>
      <c r="AU79" s="257"/>
      <c r="AV79" s="257"/>
      <c r="AW79" s="257"/>
      <c r="AX79" s="257"/>
      <c r="AY79" s="257"/>
      <c r="AZ79" s="257"/>
      <c r="BA79" s="257"/>
      <c r="BB79" s="257"/>
      <c r="BC79" s="257"/>
      <c r="BD79" s="257"/>
      <c r="BE79" s="257"/>
      <c r="BF79" s="257"/>
      <c r="BG79" s="257"/>
      <c r="BH79" s="257"/>
      <c r="BI79" s="257"/>
      <c r="BJ79" s="257"/>
      <c r="BK79" s="257"/>
      <c r="BL79" s="257"/>
      <c r="BM79" s="257"/>
      <c r="BN79" s="257"/>
      <c r="BO79" s="257"/>
      <c r="BP79" s="257"/>
      <c r="BQ79" s="257"/>
      <c r="BR79" s="257"/>
      <c r="BS79" s="257"/>
      <c r="BT79" s="257"/>
      <c r="BU79" s="257"/>
      <c r="BV79" s="257"/>
      <c r="BW79" s="257"/>
      <c r="BX79" s="257"/>
      <c r="BY79" s="257"/>
      <c r="BZ79" s="257"/>
      <c r="CA79" s="257"/>
      <c r="CB79" s="257"/>
      <c r="CC79" s="257"/>
      <c r="CD79" s="257"/>
    </row>
    <row r="80" customFormat="false" ht="11.25" hidden="false" customHeight="false" outlineLevel="0" collapsed="false">
      <c r="J80" s="257"/>
      <c r="K80" s="257"/>
      <c r="L80" s="257"/>
      <c r="M80" s="257"/>
      <c r="N80" s="257"/>
      <c r="O80" s="257"/>
      <c r="P80" s="257"/>
      <c r="Q80" s="257"/>
      <c r="R80" s="257"/>
      <c r="S80" s="257"/>
      <c r="T80" s="257"/>
      <c r="U80" s="257"/>
      <c r="V80" s="257"/>
      <c r="W80" s="257"/>
      <c r="X80" s="257"/>
      <c r="Y80" s="257"/>
      <c r="Z80" s="257"/>
      <c r="AA80" s="257"/>
      <c r="AB80" s="257"/>
      <c r="AC80" s="257"/>
      <c r="AD80" s="257"/>
      <c r="AE80" s="257"/>
      <c r="AF80" s="257"/>
      <c r="AG80" s="257"/>
      <c r="AH80" s="257"/>
      <c r="AI80" s="257"/>
      <c r="AJ80" s="257"/>
      <c r="AK80" s="257"/>
      <c r="AL80" s="257"/>
      <c r="AM80" s="257"/>
      <c r="AN80" s="257"/>
      <c r="AO80" s="257"/>
      <c r="AP80" s="257"/>
      <c r="AQ80" s="257"/>
      <c r="AR80" s="257"/>
      <c r="AS80" s="257"/>
      <c r="AT80" s="257"/>
      <c r="AU80" s="257"/>
      <c r="AV80" s="257"/>
      <c r="AW80" s="257"/>
      <c r="AX80" s="257"/>
      <c r="AY80" s="257"/>
      <c r="AZ80" s="257"/>
      <c r="BA80" s="257"/>
      <c r="BB80" s="257"/>
      <c r="BC80" s="257"/>
      <c r="BD80" s="257"/>
      <c r="BE80" s="257"/>
      <c r="BF80" s="257"/>
      <c r="BG80" s="257"/>
      <c r="BH80" s="257"/>
      <c r="BI80" s="257"/>
      <c r="BJ80" s="257"/>
      <c r="BK80" s="257"/>
      <c r="BL80" s="257"/>
      <c r="BM80" s="257"/>
      <c r="BN80" s="257"/>
      <c r="BO80" s="257"/>
      <c r="BP80" s="257"/>
      <c r="BQ80" s="257"/>
      <c r="BR80" s="257"/>
      <c r="BS80" s="257"/>
      <c r="BT80" s="257"/>
      <c r="BU80" s="257"/>
      <c r="BV80" s="257"/>
      <c r="BW80" s="257"/>
      <c r="BX80" s="257"/>
      <c r="BY80" s="257"/>
      <c r="BZ80" s="257"/>
      <c r="CA80" s="257"/>
      <c r="CB80" s="257"/>
      <c r="CC80" s="257"/>
      <c r="CD80" s="257"/>
    </row>
    <row r="81" customFormat="false" ht="11.25" hidden="false" customHeight="false" outlineLevel="0" collapsed="false">
      <c r="J81" s="257"/>
      <c r="K81" s="257"/>
      <c r="L81" s="257"/>
      <c r="M81" s="257"/>
      <c r="N81" s="257"/>
      <c r="O81" s="257"/>
      <c r="P81" s="257"/>
      <c r="Q81" s="257"/>
      <c r="R81" s="257"/>
      <c r="S81" s="257"/>
      <c r="T81" s="257"/>
      <c r="U81" s="257"/>
      <c r="V81" s="257"/>
      <c r="W81" s="257"/>
      <c r="X81" s="257"/>
      <c r="Y81" s="257"/>
      <c r="Z81" s="257"/>
      <c r="AA81" s="257"/>
      <c r="AB81" s="257"/>
      <c r="AC81" s="257"/>
      <c r="AD81" s="257"/>
      <c r="AE81" s="257"/>
      <c r="AF81" s="257"/>
      <c r="AG81" s="257"/>
      <c r="AH81" s="257"/>
      <c r="AI81" s="257"/>
      <c r="AJ81" s="257"/>
      <c r="AK81" s="257"/>
      <c r="AL81" s="257"/>
      <c r="AM81" s="257"/>
      <c r="AN81" s="257"/>
      <c r="AO81" s="257"/>
      <c r="AP81" s="257"/>
      <c r="AQ81" s="257"/>
      <c r="AR81" s="257"/>
      <c r="AS81" s="257"/>
      <c r="AT81" s="257"/>
      <c r="AU81" s="257"/>
      <c r="AV81" s="257"/>
      <c r="AW81" s="257"/>
      <c r="AX81" s="257"/>
      <c r="AY81" s="257"/>
      <c r="AZ81" s="257"/>
      <c r="BA81" s="257"/>
      <c r="BB81" s="257"/>
      <c r="BC81" s="257"/>
      <c r="BD81" s="257"/>
      <c r="BE81" s="257"/>
      <c r="BF81" s="257"/>
      <c r="BG81" s="257"/>
      <c r="BH81" s="257"/>
      <c r="BI81" s="257"/>
      <c r="BJ81" s="257"/>
      <c r="BK81" s="257"/>
      <c r="BL81" s="257"/>
      <c r="BM81" s="257"/>
      <c r="BN81" s="257"/>
      <c r="BO81" s="257"/>
      <c r="BP81" s="257"/>
      <c r="BQ81" s="257"/>
      <c r="BR81" s="257"/>
      <c r="BS81" s="257"/>
      <c r="BT81" s="257"/>
      <c r="BU81" s="257"/>
      <c r="BV81" s="257"/>
      <c r="BW81" s="257"/>
      <c r="BX81" s="257"/>
      <c r="BY81" s="257"/>
      <c r="BZ81" s="257"/>
      <c r="CA81" s="257"/>
      <c r="CB81" s="257"/>
      <c r="CC81" s="257"/>
      <c r="CD81" s="257"/>
    </row>
    <row r="82" customFormat="false" ht="12.75" hidden="false" customHeight="true" outlineLevel="0" collapsed="false">
      <c r="J82" s="257"/>
      <c r="K82" s="257"/>
      <c r="L82" s="257"/>
      <c r="M82" s="257"/>
      <c r="N82" s="257"/>
      <c r="O82" s="257"/>
      <c r="P82" s="257"/>
      <c r="Q82" s="257"/>
      <c r="R82" s="257"/>
      <c r="S82" s="257"/>
      <c r="T82" s="257"/>
      <c r="U82" s="257"/>
      <c r="V82" s="257"/>
      <c r="W82" s="257"/>
      <c r="X82" s="257"/>
      <c r="Y82" s="257"/>
      <c r="Z82" s="257"/>
      <c r="AA82" s="257"/>
      <c r="AB82" s="257"/>
      <c r="AC82" s="257"/>
      <c r="AD82" s="257"/>
      <c r="AE82" s="257"/>
      <c r="AF82" s="257"/>
      <c r="AG82" s="257"/>
      <c r="AH82" s="257"/>
      <c r="AI82" s="257"/>
      <c r="AJ82" s="257"/>
      <c r="AK82" s="257"/>
      <c r="AL82" s="257"/>
      <c r="AM82" s="257"/>
      <c r="AN82" s="257"/>
      <c r="AO82" s="257"/>
      <c r="AP82" s="257"/>
      <c r="AQ82" s="257"/>
      <c r="AR82" s="257"/>
      <c r="AS82" s="257"/>
      <c r="AT82" s="257"/>
      <c r="AU82" s="257"/>
      <c r="AV82" s="257"/>
      <c r="AW82" s="257"/>
      <c r="AX82" s="257"/>
      <c r="AY82" s="257"/>
      <c r="AZ82" s="257"/>
      <c r="BA82" s="257"/>
      <c r="BB82" s="257"/>
      <c r="BC82" s="257"/>
      <c r="BD82" s="257"/>
      <c r="BE82" s="257"/>
      <c r="BF82" s="257"/>
      <c r="BG82" s="257"/>
      <c r="BH82" s="257"/>
      <c r="BI82" s="257"/>
      <c r="BJ82" s="257"/>
      <c r="BK82" s="257"/>
      <c r="BL82" s="257"/>
      <c r="BM82" s="257"/>
      <c r="BN82" s="257"/>
      <c r="BO82" s="257"/>
      <c r="BP82" s="257"/>
      <c r="BQ82" s="257"/>
      <c r="BR82" s="257"/>
      <c r="BS82" s="257"/>
      <c r="BT82" s="257"/>
      <c r="BU82" s="257"/>
      <c r="BV82" s="257"/>
      <c r="BW82" s="257"/>
      <c r="BX82" s="257"/>
      <c r="BY82" s="257"/>
      <c r="BZ82" s="257"/>
      <c r="CA82" s="257"/>
      <c r="CB82" s="257"/>
      <c r="CC82" s="257"/>
      <c r="CD82" s="257"/>
    </row>
    <row r="83" customFormat="false" ht="12" hidden="false" customHeight="true" outlineLevel="0" collapsed="false">
      <c r="J83" s="257"/>
      <c r="K83" s="257"/>
      <c r="L83" s="257"/>
      <c r="M83" s="257"/>
      <c r="N83" s="257"/>
      <c r="O83" s="257"/>
      <c r="P83" s="257"/>
      <c r="Q83" s="257"/>
      <c r="R83" s="257"/>
      <c r="S83" s="257"/>
      <c r="T83" s="257"/>
      <c r="U83" s="257"/>
      <c r="V83" s="257"/>
      <c r="W83" s="257"/>
      <c r="X83" s="257"/>
      <c r="Y83" s="257"/>
      <c r="Z83" s="257"/>
      <c r="AA83" s="257"/>
      <c r="AB83" s="257"/>
      <c r="AC83" s="257"/>
      <c r="AD83" s="257"/>
      <c r="AE83" s="257"/>
      <c r="AF83" s="257"/>
      <c r="AG83" s="257"/>
      <c r="AH83" s="257"/>
      <c r="AI83" s="257"/>
      <c r="AJ83" s="257"/>
      <c r="AK83" s="257"/>
      <c r="AL83" s="257"/>
      <c r="AM83" s="257"/>
      <c r="AN83" s="257"/>
      <c r="AO83" s="257"/>
      <c r="AP83" s="257"/>
      <c r="AQ83" s="257"/>
      <c r="AR83" s="257"/>
      <c r="AS83" s="257"/>
      <c r="AT83" s="257"/>
      <c r="AU83" s="257"/>
      <c r="AV83" s="257"/>
      <c r="AW83" s="257"/>
      <c r="AX83" s="257"/>
      <c r="AY83" s="257"/>
      <c r="AZ83" s="257"/>
      <c r="BA83" s="257"/>
      <c r="BB83" s="257"/>
      <c r="BC83" s="257"/>
      <c r="BD83" s="257"/>
      <c r="BE83" s="257"/>
      <c r="BF83" s="257"/>
      <c r="BG83" s="257"/>
      <c r="BH83" s="257"/>
      <c r="BI83" s="257"/>
      <c r="BJ83" s="257"/>
      <c r="BK83" s="257"/>
      <c r="BL83" s="257"/>
      <c r="BM83" s="257"/>
      <c r="BN83" s="257"/>
      <c r="BO83" s="257"/>
      <c r="BP83" s="257"/>
      <c r="BQ83" s="257"/>
      <c r="BR83" s="257"/>
      <c r="BS83" s="257"/>
      <c r="BT83" s="257"/>
      <c r="BU83" s="257"/>
      <c r="BV83" s="257"/>
      <c r="BW83" s="257"/>
      <c r="BX83" s="257"/>
      <c r="BY83" s="257"/>
      <c r="BZ83" s="257"/>
      <c r="CA83" s="257"/>
      <c r="CB83" s="257"/>
      <c r="CC83" s="257"/>
      <c r="CD83" s="257"/>
    </row>
    <row r="84" customFormat="false" ht="15" hidden="false" customHeight="true" outlineLevel="0" collapsed="false">
      <c r="J84" s="257"/>
      <c r="K84" s="257"/>
      <c r="L84" s="257"/>
      <c r="M84" s="257"/>
      <c r="N84" s="257"/>
      <c r="O84" s="257"/>
      <c r="P84" s="257"/>
      <c r="Q84" s="257"/>
      <c r="R84" s="257"/>
      <c r="S84" s="257"/>
      <c r="T84" s="257"/>
      <c r="U84" s="257"/>
      <c r="V84" s="257"/>
      <c r="W84" s="257"/>
      <c r="X84" s="257"/>
      <c r="Y84" s="257"/>
      <c r="Z84" s="257"/>
      <c r="AA84" s="257"/>
      <c r="AB84" s="257"/>
      <c r="AC84" s="257"/>
      <c r="AD84" s="257"/>
      <c r="AE84" s="257"/>
      <c r="AF84" s="257"/>
      <c r="AG84" s="257"/>
      <c r="AH84" s="257"/>
      <c r="AI84" s="257"/>
      <c r="AJ84" s="257"/>
      <c r="AK84" s="257"/>
      <c r="AL84" s="257"/>
      <c r="AM84" s="257"/>
      <c r="AN84" s="257"/>
      <c r="AO84" s="257"/>
      <c r="AP84" s="257"/>
      <c r="AQ84" s="257"/>
      <c r="AR84" s="257"/>
      <c r="AS84" s="257"/>
      <c r="AT84" s="257"/>
      <c r="AU84" s="257"/>
      <c r="AV84" s="257"/>
      <c r="AW84" s="257"/>
      <c r="AX84" s="257"/>
      <c r="AY84" s="257"/>
      <c r="AZ84" s="257"/>
      <c r="BA84" s="257"/>
      <c r="BB84" s="257"/>
      <c r="BC84" s="257"/>
      <c r="BD84" s="257"/>
      <c r="BE84" s="257"/>
      <c r="BF84" s="257"/>
      <c r="BG84" s="257"/>
      <c r="BH84" s="257"/>
      <c r="BI84" s="257"/>
      <c r="BJ84" s="257"/>
      <c r="BK84" s="257"/>
      <c r="BL84" s="257"/>
      <c r="BM84" s="257"/>
      <c r="BN84" s="257"/>
      <c r="BO84" s="257"/>
      <c r="BP84" s="257"/>
      <c r="BQ84" s="257"/>
      <c r="BR84" s="257"/>
      <c r="BS84" s="257"/>
      <c r="BT84" s="257"/>
      <c r="BU84" s="257"/>
      <c r="BV84" s="257"/>
      <c r="BW84" s="257"/>
      <c r="BX84" s="257"/>
      <c r="BY84" s="257"/>
      <c r="BZ84" s="257"/>
      <c r="CA84" s="257"/>
      <c r="CB84" s="257"/>
      <c r="CC84" s="257"/>
      <c r="CD84" s="257"/>
    </row>
    <row r="85" customFormat="false" ht="12" hidden="false" customHeight="true" outlineLevel="0" collapsed="false">
      <c r="AD85" s="257"/>
      <c r="AE85" s="257"/>
      <c r="AY85" s="221"/>
      <c r="AZ85" s="221"/>
      <c r="BA85" s="221"/>
      <c r="BB85" s="221"/>
      <c r="BC85" s="221"/>
      <c r="BD85" s="221"/>
      <c r="BE85" s="221"/>
      <c r="BF85" s="221"/>
      <c r="BG85" s="221"/>
      <c r="BH85" s="221"/>
    </row>
    <row r="86" customFormat="false" ht="12" hidden="false" customHeight="true" outlineLevel="0" collapsed="false">
      <c r="AD86" s="257"/>
      <c r="AE86" s="257"/>
      <c r="AY86" s="221"/>
      <c r="AZ86" s="221"/>
      <c r="BA86" s="221"/>
      <c r="BB86" s="221"/>
      <c r="BC86" s="221"/>
      <c r="BD86" s="221"/>
      <c r="BE86" s="221"/>
      <c r="BF86" s="221"/>
      <c r="BG86" s="221"/>
      <c r="BH86" s="221"/>
    </row>
    <row r="87" customFormat="false" ht="11.25" hidden="false" customHeight="false" outlineLevel="0" collapsed="false">
      <c r="AD87" s="257"/>
      <c r="AE87" s="257"/>
      <c r="AY87" s="221"/>
      <c r="AZ87" s="221"/>
      <c r="BA87" s="221"/>
      <c r="BB87" s="221"/>
      <c r="BC87" s="221"/>
      <c r="BD87" s="221"/>
      <c r="BE87" s="221"/>
      <c r="BF87" s="221"/>
      <c r="BG87" s="221"/>
      <c r="BH87" s="221"/>
    </row>
    <row r="88" customFormat="false" ht="11.25" hidden="false" customHeight="false" outlineLevel="0" collapsed="false">
      <c r="AD88" s="257"/>
      <c r="AE88" s="257"/>
      <c r="AY88" s="221"/>
      <c r="AZ88" s="221"/>
      <c r="BA88" s="221"/>
      <c r="BB88" s="221"/>
      <c r="BC88" s="221"/>
      <c r="BD88" s="221"/>
      <c r="BE88" s="221"/>
      <c r="BF88" s="221"/>
      <c r="BG88" s="221"/>
      <c r="BH88" s="221"/>
    </row>
    <row r="89" customFormat="false" ht="11.25" hidden="false" customHeight="false" outlineLevel="0" collapsed="false">
      <c r="AD89" s="257"/>
      <c r="AE89" s="257"/>
      <c r="AY89" s="221"/>
      <c r="AZ89" s="221"/>
      <c r="BA89" s="221"/>
      <c r="BB89" s="221"/>
      <c r="BC89" s="221"/>
      <c r="BD89" s="221"/>
      <c r="BE89" s="221"/>
      <c r="BF89" s="221"/>
      <c r="BG89" s="221"/>
      <c r="BH89" s="221"/>
    </row>
    <row r="90" customFormat="false" ht="11.25" hidden="false" customHeight="false" outlineLevel="0" collapsed="false">
      <c r="AD90" s="257"/>
      <c r="AE90" s="257"/>
      <c r="AY90" s="221"/>
      <c r="AZ90" s="221"/>
      <c r="BA90" s="221"/>
      <c r="BB90" s="221"/>
      <c r="BC90" s="221"/>
      <c r="BD90" s="221"/>
      <c r="BE90" s="221"/>
      <c r="BF90" s="221"/>
      <c r="BG90" s="221"/>
      <c r="BH90" s="221"/>
    </row>
    <row r="91" customFormat="false" ht="11.25" hidden="false" customHeight="false" outlineLevel="0" collapsed="false">
      <c r="AD91" s="257"/>
      <c r="AE91" s="257"/>
      <c r="AY91" s="221"/>
      <c r="AZ91" s="221"/>
      <c r="BA91" s="221"/>
      <c r="BB91" s="221"/>
      <c r="BC91" s="221"/>
      <c r="BD91" s="221"/>
      <c r="BE91" s="221"/>
      <c r="BF91" s="221"/>
      <c r="BG91" s="221"/>
      <c r="BH91" s="221"/>
    </row>
    <row r="92" customFormat="false" ht="11.25" hidden="false" customHeight="false" outlineLevel="0" collapsed="false">
      <c r="AD92" s="257"/>
      <c r="AE92" s="257"/>
      <c r="AY92" s="221"/>
      <c r="AZ92" s="221"/>
      <c r="BA92" s="221"/>
      <c r="BB92" s="221"/>
      <c r="BC92" s="221"/>
      <c r="BD92" s="221"/>
      <c r="BE92" s="221"/>
      <c r="BF92" s="221"/>
      <c r="BG92" s="221"/>
      <c r="BH92" s="221"/>
    </row>
    <row r="93" customFormat="false" ht="11.25" hidden="false" customHeight="false" outlineLevel="0" collapsed="false">
      <c r="AD93" s="257"/>
      <c r="AE93" s="257"/>
      <c r="AY93" s="221"/>
      <c r="AZ93" s="221"/>
      <c r="BA93" s="221"/>
      <c r="BB93" s="221"/>
      <c r="BC93" s="221"/>
      <c r="BD93" s="221"/>
      <c r="BE93" s="221"/>
      <c r="BF93" s="221"/>
      <c r="BG93" s="221"/>
      <c r="BH93" s="221"/>
    </row>
    <row r="94" customFormat="false" ht="11.25" hidden="false" customHeight="false" outlineLevel="0" collapsed="false">
      <c r="AD94" s="257"/>
      <c r="AE94" s="257"/>
      <c r="AY94" s="221"/>
      <c r="AZ94" s="221"/>
      <c r="BA94" s="221"/>
      <c r="BB94" s="221"/>
      <c r="BC94" s="221"/>
      <c r="BD94" s="221"/>
      <c r="BE94" s="221"/>
      <c r="BF94" s="221"/>
      <c r="BG94" s="221"/>
      <c r="BH94" s="221"/>
    </row>
    <row r="95" customFormat="false" ht="11.25" hidden="false" customHeight="false" outlineLevel="0" collapsed="false">
      <c r="AD95" s="257"/>
      <c r="AE95" s="257"/>
      <c r="AY95" s="221"/>
      <c r="AZ95" s="221"/>
      <c r="BA95" s="221"/>
      <c r="BB95" s="221"/>
      <c r="BC95" s="221"/>
      <c r="BD95" s="221"/>
      <c r="BE95" s="221"/>
      <c r="BF95" s="221"/>
      <c r="BG95" s="221"/>
      <c r="BH95" s="221"/>
    </row>
    <row r="96" customFormat="false" ht="11.25" hidden="false" customHeight="false" outlineLevel="0" collapsed="false">
      <c r="AD96" s="257"/>
      <c r="AE96" s="257"/>
      <c r="AY96" s="221"/>
      <c r="AZ96" s="221"/>
      <c r="BA96" s="221"/>
      <c r="BB96" s="221"/>
      <c r="BC96" s="221"/>
      <c r="BD96" s="221"/>
      <c r="BE96" s="221"/>
      <c r="BF96" s="221"/>
      <c r="BG96" s="221"/>
      <c r="BH96" s="221"/>
    </row>
    <row r="97" customFormat="false" ht="11.25" hidden="false" customHeight="false" outlineLevel="0" collapsed="false">
      <c r="AD97" s="257"/>
      <c r="AE97" s="257"/>
      <c r="AY97" s="221"/>
      <c r="AZ97" s="221"/>
      <c r="BA97" s="221"/>
      <c r="BB97" s="221"/>
      <c r="BC97" s="221"/>
      <c r="BD97" s="221"/>
      <c r="BE97" s="221"/>
      <c r="BF97" s="221"/>
      <c r="BG97" s="221"/>
      <c r="BH97" s="221"/>
    </row>
    <row r="98" customFormat="false" ht="11.25" hidden="false" customHeight="false" outlineLevel="0" collapsed="false">
      <c r="AD98" s="257"/>
      <c r="AE98" s="257"/>
      <c r="AY98" s="221"/>
      <c r="AZ98" s="221"/>
      <c r="BA98" s="221"/>
      <c r="BB98" s="221"/>
      <c r="BC98" s="221"/>
      <c r="BD98" s="221"/>
      <c r="BE98" s="221"/>
      <c r="BF98" s="221"/>
      <c r="BG98" s="221"/>
      <c r="BH98" s="221"/>
    </row>
    <row r="99" customFormat="false" ht="11.25" hidden="false" customHeight="false" outlineLevel="0" collapsed="false">
      <c r="AD99" s="257"/>
      <c r="AE99" s="257"/>
      <c r="AY99" s="221"/>
      <c r="AZ99" s="221"/>
      <c r="BA99" s="221"/>
      <c r="BB99" s="221"/>
      <c r="BC99" s="221"/>
      <c r="BD99" s="221"/>
      <c r="BE99" s="221"/>
      <c r="BF99" s="221"/>
      <c r="BG99" s="221"/>
      <c r="BH99" s="221"/>
    </row>
    <row r="100" customFormat="false" ht="11.25" hidden="false" customHeight="false" outlineLevel="0" collapsed="false">
      <c r="AD100" s="257"/>
      <c r="AE100" s="257"/>
      <c r="AY100" s="221"/>
      <c r="AZ100" s="221"/>
      <c r="BA100" s="221"/>
      <c r="BB100" s="221"/>
      <c r="BC100" s="221"/>
      <c r="BD100" s="221"/>
      <c r="BE100" s="221"/>
      <c r="BF100" s="221"/>
      <c r="BG100" s="221"/>
      <c r="BH100" s="221"/>
    </row>
    <row r="101" customFormat="false" ht="11.25" hidden="false" customHeight="false" outlineLevel="0" collapsed="false">
      <c r="AD101" s="257"/>
      <c r="AE101" s="257"/>
      <c r="AY101" s="221"/>
      <c r="AZ101" s="221"/>
      <c r="BA101" s="221"/>
      <c r="BB101" s="221"/>
      <c r="BC101" s="221"/>
      <c r="BD101" s="221"/>
      <c r="BE101" s="221"/>
      <c r="BF101" s="221"/>
      <c r="BG101" s="221"/>
      <c r="BH101" s="221"/>
    </row>
    <row r="102" customFormat="false" ht="11.25" hidden="false" customHeight="false" outlineLevel="0" collapsed="false">
      <c r="AD102" s="257"/>
      <c r="AE102" s="257"/>
      <c r="AY102" s="221"/>
      <c r="AZ102" s="221"/>
      <c r="BA102" s="221"/>
      <c r="BB102" s="221"/>
      <c r="BC102" s="221"/>
      <c r="BD102" s="221"/>
      <c r="BE102" s="221"/>
      <c r="BF102" s="221"/>
      <c r="BG102" s="221"/>
      <c r="BH102" s="221"/>
    </row>
    <row r="103" customFormat="false" ht="11.25" hidden="false" customHeight="false" outlineLevel="0" collapsed="false">
      <c r="AD103" s="257"/>
      <c r="AE103" s="257"/>
      <c r="AY103" s="221"/>
      <c r="AZ103" s="221"/>
      <c r="BA103" s="221"/>
      <c r="BB103" s="221"/>
      <c r="BC103" s="221"/>
      <c r="BD103" s="221"/>
      <c r="BE103" s="221"/>
      <c r="BF103" s="221"/>
      <c r="BG103" s="221"/>
      <c r="BH103" s="221"/>
    </row>
    <row r="104" customFormat="false" ht="11.25" hidden="false" customHeight="false" outlineLevel="0" collapsed="false">
      <c r="AD104" s="257"/>
      <c r="AE104" s="257"/>
      <c r="AY104" s="221"/>
      <c r="AZ104" s="221"/>
      <c r="BA104" s="221"/>
      <c r="BB104" s="221"/>
      <c r="BC104" s="221"/>
      <c r="BD104" s="221"/>
      <c r="BE104" s="221"/>
      <c r="BF104" s="221"/>
      <c r="BG104" s="221"/>
      <c r="BH104" s="221"/>
    </row>
    <row r="105" customFormat="false" ht="11.25" hidden="false" customHeight="false" outlineLevel="0" collapsed="false">
      <c r="AD105" s="257"/>
      <c r="AE105" s="257"/>
      <c r="AY105" s="221"/>
      <c r="AZ105" s="221"/>
      <c r="BA105" s="221"/>
      <c r="BB105" s="221"/>
      <c r="BC105" s="221"/>
      <c r="BD105" s="221"/>
      <c r="BE105" s="221"/>
      <c r="BF105" s="221"/>
      <c r="BG105" s="221"/>
      <c r="BH105" s="221"/>
    </row>
    <row r="106" customFormat="false" ht="11.25" hidden="false" customHeight="false" outlineLevel="0" collapsed="false">
      <c r="AD106" s="257"/>
      <c r="AE106" s="257"/>
      <c r="AY106" s="221"/>
      <c r="AZ106" s="221"/>
      <c r="BA106" s="221"/>
      <c r="BB106" s="221"/>
      <c r="BC106" s="221"/>
      <c r="BD106" s="221"/>
      <c r="BE106" s="221"/>
      <c r="BF106" s="221"/>
      <c r="BG106" s="221"/>
      <c r="BH106" s="221"/>
    </row>
    <row r="107" customFormat="false" ht="11.25" hidden="false" customHeight="false" outlineLevel="0" collapsed="false">
      <c r="AD107" s="257"/>
      <c r="AY107" s="221"/>
      <c r="AZ107" s="221"/>
      <c r="BA107" s="221"/>
      <c r="BB107" s="221"/>
      <c r="BC107" s="221"/>
      <c r="BD107" s="221"/>
      <c r="BE107" s="221"/>
      <c r="BF107" s="221"/>
      <c r="BG107" s="221"/>
      <c r="BH107" s="221"/>
    </row>
    <row r="108" customFormat="false" ht="11.25" hidden="false" customHeight="false" outlineLevel="0" collapsed="false">
      <c r="AD108" s="257"/>
      <c r="AY108" s="221"/>
      <c r="AZ108" s="221"/>
      <c r="BA108" s="221"/>
      <c r="BB108" s="221"/>
      <c r="BC108" s="221"/>
      <c r="BD108" s="221"/>
      <c r="BE108" s="221"/>
      <c r="BF108" s="221"/>
      <c r="BG108" s="221"/>
      <c r="BH108" s="221"/>
    </row>
    <row r="109" customFormat="false" ht="11.25" hidden="false" customHeight="false" outlineLevel="0" collapsed="false">
      <c r="AD109" s="257"/>
      <c r="AY109" s="221"/>
      <c r="AZ109" s="221"/>
      <c r="BA109" s="221"/>
      <c r="BB109" s="221"/>
      <c r="BC109" s="221"/>
      <c r="BD109" s="221"/>
      <c r="BE109" s="221"/>
      <c r="BF109" s="221"/>
      <c r="BG109" s="221"/>
      <c r="BH109" s="221"/>
    </row>
    <row r="110" customFormat="false" ht="11.25" hidden="false" customHeight="false" outlineLevel="0" collapsed="false">
      <c r="AY110" s="221"/>
      <c r="AZ110" s="221"/>
      <c r="BA110" s="221"/>
      <c r="BB110" s="221"/>
      <c r="BC110" s="221"/>
      <c r="BD110" s="221"/>
      <c r="BE110" s="221"/>
      <c r="BF110" s="221"/>
      <c r="BG110" s="221"/>
      <c r="BH110" s="221"/>
    </row>
    <row r="111" customFormat="false" ht="11.25" hidden="false" customHeight="false" outlineLevel="0" collapsed="false">
      <c r="AY111" s="221"/>
      <c r="AZ111" s="221"/>
      <c r="BA111" s="221"/>
      <c r="BB111" s="221"/>
      <c r="BC111" s="221"/>
      <c r="BD111" s="221"/>
      <c r="BE111" s="221"/>
      <c r="BF111" s="221"/>
      <c r="BG111" s="221"/>
      <c r="BH111" s="221"/>
    </row>
    <row r="112" customFormat="false" ht="11.25" hidden="false" customHeight="false" outlineLevel="0" collapsed="false">
      <c r="AY112" s="221"/>
      <c r="AZ112" s="221"/>
      <c r="BA112" s="221"/>
      <c r="BB112" s="221"/>
      <c r="BC112" s="221"/>
      <c r="BD112" s="221"/>
      <c r="BE112" s="221"/>
      <c r="BF112" s="221"/>
      <c r="BG112" s="221"/>
      <c r="BH112" s="221"/>
    </row>
  </sheetData>
  <mergeCells count="117">
    <mergeCell ref="I1:Q1"/>
    <mergeCell ref="W1:Y1"/>
    <mergeCell ref="AE1:AH1"/>
    <mergeCell ref="AI1:AJ1"/>
    <mergeCell ref="AN1:AP1"/>
    <mergeCell ref="AV1:AX1"/>
    <mergeCell ref="AY1:BE1"/>
    <mergeCell ref="BF1:BH1"/>
    <mergeCell ref="BP1:BS1"/>
    <mergeCell ref="BT1:BV1"/>
    <mergeCell ref="CB1:CD1"/>
    <mergeCell ref="P2:Q2"/>
    <mergeCell ref="X2:Y2"/>
    <mergeCell ref="AG2:AH2"/>
    <mergeCell ref="AO2:AP2"/>
    <mergeCell ref="AW2:AX2"/>
    <mergeCell ref="BG2:BH2"/>
    <mergeCell ref="BR2:BS2"/>
    <mergeCell ref="BT2:BU2"/>
    <mergeCell ref="CC2:CD2"/>
    <mergeCell ref="I3:I6"/>
    <mergeCell ref="J3:L3"/>
    <mergeCell ref="M3:M5"/>
    <mergeCell ref="N3:N5"/>
    <mergeCell ref="O3:Q3"/>
    <mergeCell ref="R3:T3"/>
    <mergeCell ref="U3:U5"/>
    <mergeCell ref="V3:Y3"/>
    <mergeCell ref="Z3:Z6"/>
    <mergeCell ref="AA3:AD3"/>
    <mergeCell ref="AE3:AH3"/>
    <mergeCell ref="AI3:AL3"/>
    <mergeCell ref="AM3:AP3"/>
    <mergeCell ref="AQ3:AQ6"/>
    <mergeCell ref="AR3:AU3"/>
    <mergeCell ref="AV3:AX3"/>
    <mergeCell ref="AY3:BA3"/>
    <mergeCell ref="BB3:BB5"/>
    <mergeCell ref="BC3:BC5"/>
    <mergeCell ref="BD3:BH3"/>
    <mergeCell ref="BI3:BI6"/>
    <mergeCell ref="BJ3:BN3"/>
    <mergeCell ref="BO3:BO5"/>
    <mergeCell ref="BP3:BQ3"/>
    <mergeCell ref="BR3:BR5"/>
    <mergeCell ref="BS3:BS5"/>
    <mergeCell ref="BT3:CD3"/>
    <mergeCell ref="J4:J5"/>
    <mergeCell ref="K4:K5"/>
    <mergeCell ref="L4:L5"/>
    <mergeCell ref="O4:O5"/>
    <mergeCell ref="P4:P5"/>
    <mergeCell ref="R4:S4"/>
    <mergeCell ref="T4:T5"/>
    <mergeCell ref="V4:V5"/>
    <mergeCell ref="W4:W5"/>
    <mergeCell ref="X4:X5"/>
    <mergeCell ref="Y4:Y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  <mergeCell ref="AK4:AK5"/>
    <mergeCell ref="AL4:AL5"/>
    <mergeCell ref="AM4:AM5"/>
    <mergeCell ref="AN4:AN5"/>
    <mergeCell ref="AO4:AO5"/>
    <mergeCell ref="AP4:AP5"/>
    <mergeCell ref="AR4:AR5"/>
    <mergeCell ref="AS4:AS5"/>
    <mergeCell ref="AT4:AT5"/>
    <mergeCell ref="AU4:AU5"/>
    <mergeCell ref="AV4:AV5"/>
    <mergeCell ref="AW4:AW5"/>
    <mergeCell ref="AX4:AX5"/>
    <mergeCell ref="AY4:AY5"/>
    <mergeCell ref="AZ4:AZ5"/>
    <mergeCell ref="BA4:BA5"/>
    <mergeCell ref="BD4:BE4"/>
    <mergeCell ref="BF4:BG4"/>
    <mergeCell ref="BH4:BH5"/>
    <mergeCell ref="BJ4:BJ5"/>
    <mergeCell ref="BK4:BK5"/>
    <mergeCell ref="BL4:BL5"/>
    <mergeCell ref="BM4:BM5"/>
    <mergeCell ref="BN4:BN5"/>
    <mergeCell ref="BP4:BP5"/>
    <mergeCell ref="BQ4:BQ5"/>
    <mergeCell ref="BT4:BT5"/>
    <mergeCell ref="BU4:BU5"/>
    <mergeCell ref="BV4:BV5"/>
    <mergeCell ref="BW4:BW5"/>
    <mergeCell ref="BX4:BX5"/>
    <mergeCell ref="BY4:CA4"/>
    <mergeCell ref="CB4:CD4"/>
    <mergeCell ref="C13:G14"/>
    <mergeCell ref="J55:Q55"/>
    <mergeCell ref="S55:Y55"/>
    <mergeCell ref="AA55:AH55"/>
    <mergeCell ref="AJ55:AP55"/>
    <mergeCell ref="BJ55:BR55"/>
    <mergeCell ref="J56:Q56"/>
    <mergeCell ref="S56:T56"/>
    <mergeCell ref="AJ56:AP56"/>
    <mergeCell ref="AZ56:BH56"/>
    <mergeCell ref="BJ56:BR56"/>
    <mergeCell ref="J57:Q57"/>
    <mergeCell ref="AA57:AH57"/>
    <mergeCell ref="AZ57:BH57"/>
    <mergeCell ref="AZ58:BH58"/>
    <mergeCell ref="BJ58:BK58"/>
  </mergeCells>
  <conditionalFormatting sqref="Z13:Z14 AQ13:AQ14 BI13:BI14 I13:I14">
    <cfRule type="expression" priority="2" aboveAverage="0" equalAverage="0" bottom="0" percent="0" rank="0" text="" dxfId="0">
      <formula>MOD(row,0)=0</formula>
    </cfRule>
  </conditionalFormatting>
  <conditionalFormatting sqref="Z14 AQ14 BI14 I14">
    <cfRule type="expression" priority="3" aboveAverage="0" equalAverage="0" bottom="0" percent="0" rank="0" text="" dxfId="1">
      <formula>MOD(ROW(),2)=1</formula>
    </cfRule>
  </conditionalFormatting>
  <conditionalFormatting sqref="Z14 AQ14 BI14 I14">
    <cfRule type="expression" priority="4" aboveAverage="0" equalAverage="0" bottom="0" percent="0" rank="0" text="" dxfId="2">
      <formula>MOD(ROW(),2)=1</formula>
    </cfRule>
    <cfRule type="expression" priority="5" aboveAverage="0" equalAverage="0" bottom="0" percent="0" rank="0" text="" dxfId="0">
      <formula>MOD(ROW(),2)=1</formula>
    </cfRule>
  </conditionalFormatting>
  <conditionalFormatting sqref="AQ14 Z14 BI14 I14">
    <cfRule type="expression" priority="6" aboveAverage="0" equalAverage="0" bottom="0" percent="0" rank="0" text="" dxfId="0">
      <formula>MOD((((#ref!))),0)=0</formula>
    </cfRule>
  </conditionalFormatting>
  <conditionalFormatting sqref="Z14 AQ14 BI14">
    <cfRule type="expression" priority="7" aboveAverage="0" equalAverage="0" bottom="0" percent="0" rank="0" text="" dxfId="0">
      <formula>MOD((((#ref!))),0)=0</formula>
    </cfRule>
  </conditionalFormatting>
  <printOptions headings="false" gridLines="false" gridLinesSet="true" horizontalCentered="false" verticalCentered="false"/>
  <pageMargins left="0.629861111111111" right="0.511805555555555" top="0.315277777777778" bottom="0.0263888888888889" header="0.511805555555555" footer="0.0652777777777778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>&amp;C&amp;"Times New Roman,Regular"&amp;8&amp;P</oddFooter>
  </headerFooter>
  <colBreaks count="1" manualBreakCount="1">
    <brk id="8" man="true" max="65535" min="0"/>
  </colBreak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6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1" ySplit="6" topLeftCell="W34" activePane="bottomRight" state="frozen"/>
      <selection pane="topLeft" activeCell="A1" activeCellId="0" sqref="A1"/>
      <selection pane="topRight" activeCell="W1" activeCellId="0" sqref="W1"/>
      <selection pane="bottomLeft" activeCell="A34" activeCellId="0" sqref="A34"/>
      <selection pane="bottomRight" activeCell="AE37" activeCellId="0" sqref="AE37"/>
    </sheetView>
  </sheetViews>
  <sheetFormatPr defaultColWidth="9.15625" defaultRowHeight="11.25" zeroHeight="false" outlineLevelRow="0" outlineLevelCol="0"/>
  <cols>
    <col collapsed="false" customWidth="true" hidden="false" outlineLevel="0" max="1" min="1" style="221" width="9"/>
    <col collapsed="false" customWidth="true" hidden="false" outlineLevel="0" max="2" min="2" style="221" width="10.99"/>
    <col collapsed="false" customWidth="true" hidden="false" outlineLevel="0" max="3" min="3" style="221" width="11.86"/>
    <col collapsed="false" customWidth="true" hidden="false" outlineLevel="0" max="4" min="4" style="221" width="11.42"/>
    <col collapsed="false" customWidth="true" hidden="false" outlineLevel="0" max="5" min="5" style="221" width="10.42"/>
    <col collapsed="false" customWidth="true" hidden="false" outlineLevel="0" max="6" min="6" style="221" width="9"/>
    <col collapsed="false" customWidth="true" hidden="false" outlineLevel="0" max="7" min="7" style="221" width="11.29"/>
    <col collapsed="false" customWidth="true" hidden="false" outlineLevel="0" max="8" min="8" style="221" width="10.29"/>
    <col collapsed="false" customWidth="true" hidden="false" outlineLevel="0" max="9" min="9" style="221" width="11.14"/>
    <col collapsed="false" customWidth="true" hidden="false" outlineLevel="0" max="10" min="10" style="221" width="10.42"/>
    <col collapsed="false" customWidth="true" hidden="false" outlineLevel="0" max="11" min="11" style="221" width="10.99"/>
    <col collapsed="false" customWidth="true" hidden="false" outlineLevel="0" max="12" min="12" style="221" width="10.71"/>
    <col collapsed="false" customWidth="true" hidden="false" outlineLevel="0" max="13" min="13" style="221" width="10.58"/>
    <col collapsed="false" customWidth="true" hidden="false" outlineLevel="0" max="14" min="14" style="221" width="10.71"/>
    <col collapsed="false" customWidth="true" hidden="false" outlineLevel="0" max="15" min="15" style="221" width="15.86"/>
    <col collapsed="false" customWidth="true" hidden="false" outlineLevel="0" max="16" min="16" style="221" width="15"/>
    <col collapsed="false" customWidth="true" hidden="false" outlineLevel="0" max="17" min="17" style="221" width="12.57"/>
    <col collapsed="false" customWidth="true" hidden="false" outlineLevel="0" max="18" min="18" style="221" width="13.29"/>
    <col collapsed="false" customWidth="true" hidden="false" outlineLevel="0" max="19" min="19" style="221" width="15.71"/>
    <col collapsed="false" customWidth="true" hidden="false" outlineLevel="0" max="20" min="20" style="221" width="7.57"/>
    <col collapsed="false" customWidth="true" hidden="false" outlineLevel="0" max="21" min="21" style="221" width="8.86"/>
    <col collapsed="false" customWidth="true" hidden="false" outlineLevel="0" max="22" min="22" style="221" width="11.71"/>
    <col collapsed="false" customWidth="true" hidden="false" outlineLevel="0" max="23" min="23" style="221" width="7.57"/>
    <col collapsed="false" customWidth="true" hidden="false" outlineLevel="0" max="24" min="24" style="221" width="8.42"/>
    <col collapsed="false" customWidth="true" hidden="false" outlineLevel="0" max="25" min="25" style="221" width="7.71"/>
    <col collapsed="false" customWidth="true" hidden="false" outlineLevel="0" max="26" min="26" style="221" width="9.42"/>
    <col collapsed="false" customWidth="true" hidden="false" outlineLevel="0" max="27" min="27" style="221" width="8.14"/>
    <col collapsed="false" customWidth="true" hidden="false" outlineLevel="0" max="28" min="28" style="221" width="8.71"/>
    <col collapsed="false" customWidth="false" hidden="false" outlineLevel="0" max="1024" min="29" style="221" width="9.14"/>
  </cols>
  <sheetData>
    <row r="1" customFormat="false" ht="16.5" hidden="false" customHeight="true" outlineLevel="0" collapsed="false"/>
    <row r="2" s="1227" customFormat="true" ht="27.75" hidden="false" customHeight="true" outlineLevel="0" collapsed="false">
      <c r="A2" s="1419" t="s">
        <v>2424</v>
      </c>
      <c r="B2" s="1419"/>
      <c r="C2" s="1419"/>
      <c r="D2" s="1419"/>
      <c r="E2" s="1419"/>
      <c r="F2" s="1420" t="s">
        <v>2425</v>
      </c>
      <c r="G2" s="1420"/>
      <c r="H2" s="1420"/>
      <c r="I2" s="1420" t="s">
        <v>2426</v>
      </c>
      <c r="J2" s="1420"/>
      <c r="K2" s="1420"/>
      <c r="L2" s="1420"/>
      <c r="M2" s="1420"/>
      <c r="N2" s="1420"/>
      <c r="O2" s="1421" t="s">
        <v>2427</v>
      </c>
      <c r="P2" s="1421"/>
      <c r="Q2" s="1421"/>
      <c r="R2" s="1420" t="s">
        <v>2425</v>
      </c>
      <c r="S2" s="1420"/>
      <c r="T2" s="1419" t="s">
        <v>2428</v>
      </c>
      <c r="U2" s="1419"/>
      <c r="V2" s="1419"/>
      <c r="W2" s="1419"/>
      <c r="X2" s="1419"/>
      <c r="Y2" s="1419"/>
      <c r="Z2" s="1420" t="s">
        <v>2429</v>
      </c>
      <c r="AA2" s="1420"/>
      <c r="AB2" s="1420"/>
    </row>
    <row r="3" s="707" customFormat="true" ht="21.75" hidden="false" customHeight="true" outlineLevel="0" collapsed="false">
      <c r="A3" s="1422" t="s">
        <v>2427</v>
      </c>
      <c r="B3" s="1422"/>
      <c r="C3" s="1422"/>
      <c r="D3" s="1422"/>
      <c r="E3" s="1422"/>
      <c r="F3" s="1411" t="s">
        <v>1090</v>
      </c>
      <c r="G3" s="1411"/>
      <c r="H3" s="777"/>
      <c r="K3" s="839"/>
      <c r="L3" s="839"/>
      <c r="M3" s="873"/>
      <c r="N3" s="873"/>
      <c r="O3" s="1423"/>
      <c r="P3" s="1423"/>
      <c r="R3" s="873" t="s">
        <v>1090</v>
      </c>
      <c r="S3" s="873"/>
      <c r="T3" s="1424" t="s">
        <v>2430</v>
      </c>
      <c r="U3" s="1424"/>
      <c r="V3" s="1424"/>
      <c r="W3" s="1424"/>
      <c r="X3" s="1424"/>
      <c r="Y3" s="1424"/>
      <c r="Z3" s="1424"/>
      <c r="AA3" s="873" t="s">
        <v>1090</v>
      </c>
      <c r="AB3" s="873"/>
    </row>
    <row r="4" s="1427" customFormat="true" ht="16.5" hidden="false" customHeight="true" outlineLevel="0" collapsed="false">
      <c r="A4" s="1425" t="s">
        <v>260</v>
      </c>
      <c r="B4" s="1069" t="s">
        <v>2431</v>
      </c>
      <c r="C4" s="1069"/>
      <c r="D4" s="1069"/>
      <c r="E4" s="1069"/>
      <c r="F4" s="1069"/>
      <c r="G4" s="1069"/>
      <c r="H4" s="834" t="s">
        <v>260</v>
      </c>
      <c r="I4" s="1069" t="s">
        <v>2432</v>
      </c>
      <c r="J4" s="1069"/>
      <c r="K4" s="1069"/>
      <c r="L4" s="1069"/>
      <c r="M4" s="1069"/>
      <c r="N4" s="1069"/>
      <c r="O4" s="1069"/>
      <c r="P4" s="1069"/>
      <c r="Q4" s="1069"/>
      <c r="R4" s="1069"/>
      <c r="S4" s="834" t="s">
        <v>260</v>
      </c>
      <c r="T4" s="834" t="s">
        <v>260</v>
      </c>
      <c r="U4" s="1069" t="s">
        <v>2433</v>
      </c>
      <c r="V4" s="1069"/>
      <c r="W4" s="1069"/>
      <c r="X4" s="1069"/>
      <c r="Y4" s="1426" t="s">
        <v>2434</v>
      </c>
      <c r="Z4" s="1426"/>
      <c r="AA4" s="1426"/>
      <c r="AB4" s="1426"/>
    </row>
    <row r="5" s="1430" customFormat="true" ht="12.75" hidden="false" customHeight="true" outlineLevel="0" collapsed="false">
      <c r="A5" s="1425"/>
      <c r="B5" s="1428" t="s">
        <v>2435</v>
      </c>
      <c r="C5" s="1428"/>
      <c r="D5" s="1428"/>
      <c r="E5" s="1428"/>
      <c r="F5" s="835" t="s">
        <v>2436</v>
      </c>
      <c r="G5" s="835"/>
      <c r="H5" s="834"/>
      <c r="I5" s="1429" t="s">
        <v>2436</v>
      </c>
      <c r="J5" s="1429"/>
      <c r="K5" s="1428" t="s">
        <v>2117</v>
      </c>
      <c r="L5" s="1428"/>
      <c r="M5" s="1428"/>
      <c r="N5" s="1428"/>
      <c r="O5" s="835" t="s">
        <v>175</v>
      </c>
      <c r="P5" s="835"/>
      <c r="Q5" s="835"/>
      <c r="R5" s="835"/>
      <c r="S5" s="834"/>
      <c r="T5" s="834"/>
      <c r="U5" s="749" t="s">
        <v>2437</v>
      </c>
      <c r="V5" s="749" t="s">
        <v>2438</v>
      </c>
      <c r="W5" s="749" t="s">
        <v>2439</v>
      </c>
      <c r="X5" s="749" t="s">
        <v>2440</v>
      </c>
      <c r="Y5" s="749" t="s">
        <v>2441</v>
      </c>
      <c r="Z5" s="751" t="s">
        <v>2442</v>
      </c>
      <c r="AA5" s="749" t="s">
        <v>2443</v>
      </c>
      <c r="AB5" s="758" t="s">
        <v>2444</v>
      </c>
    </row>
    <row r="6" s="1431" customFormat="true" ht="25.5" hidden="false" customHeight="true" outlineLevel="0" collapsed="false">
      <c r="A6" s="1425"/>
      <c r="B6" s="749" t="s">
        <v>2445</v>
      </c>
      <c r="C6" s="749" t="s">
        <v>2442</v>
      </c>
      <c r="D6" s="749" t="s">
        <v>2443</v>
      </c>
      <c r="E6" s="749" t="s">
        <v>2446</v>
      </c>
      <c r="F6" s="749" t="s">
        <v>2445</v>
      </c>
      <c r="G6" s="749" t="s">
        <v>2442</v>
      </c>
      <c r="H6" s="834"/>
      <c r="I6" s="749" t="s">
        <v>2447</v>
      </c>
      <c r="J6" s="749" t="s">
        <v>2448</v>
      </c>
      <c r="K6" s="749" t="s">
        <v>2449</v>
      </c>
      <c r="L6" s="749" t="s">
        <v>2442</v>
      </c>
      <c r="M6" s="749" t="s">
        <v>2443</v>
      </c>
      <c r="N6" s="749" t="s">
        <v>2450</v>
      </c>
      <c r="O6" s="749" t="s">
        <v>2451</v>
      </c>
      <c r="P6" s="749" t="s">
        <v>2442</v>
      </c>
      <c r="Q6" s="749" t="s">
        <v>2452</v>
      </c>
      <c r="R6" s="749" t="s">
        <v>2453</v>
      </c>
      <c r="S6" s="834"/>
      <c r="T6" s="834"/>
      <c r="U6" s="749"/>
      <c r="V6" s="749"/>
      <c r="W6" s="749"/>
      <c r="X6" s="749"/>
      <c r="Y6" s="749"/>
      <c r="Z6" s="751"/>
      <c r="AA6" s="749"/>
      <c r="AB6" s="758"/>
    </row>
    <row r="7" s="1435" customFormat="true" ht="15" hidden="false" customHeight="true" outlineLevel="0" collapsed="false">
      <c r="A7" s="1432" t="n">
        <v>1993</v>
      </c>
      <c r="B7" s="1433" t="n">
        <v>1738.3</v>
      </c>
      <c r="C7" s="1433" t="n">
        <v>1769.7</v>
      </c>
      <c r="D7" s="1433" t="n">
        <v>-31.9</v>
      </c>
      <c r="E7" s="1432" t="n">
        <v>64492</v>
      </c>
      <c r="F7" s="1433" t="n">
        <v>195.1</v>
      </c>
      <c r="G7" s="1433" t="n">
        <v>91.85</v>
      </c>
      <c r="H7" s="1432" t="n">
        <v>1993</v>
      </c>
      <c r="I7" s="1433" t="n">
        <v>54.36</v>
      </c>
      <c r="J7" s="1432" t="n">
        <v>826</v>
      </c>
      <c r="K7" s="1433" t="n">
        <v>835.92</v>
      </c>
      <c r="L7" s="1433" t="n">
        <v>813.51</v>
      </c>
      <c r="M7" s="1433" t="n">
        <v>3.23</v>
      </c>
      <c r="N7" s="1432" t="n">
        <v>18276</v>
      </c>
      <c r="O7" s="1433" t="n">
        <v>2769.32</v>
      </c>
      <c r="P7" s="1433" t="n">
        <v>2675.06</v>
      </c>
      <c r="Q7" s="1433" t="n">
        <v>25.69</v>
      </c>
      <c r="R7" s="1432" t="n">
        <v>83594</v>
      </c>
      <c r="S7" s="1432" t="n">
        <v>1993</v>
      </c>
      <c r="T7" s="1434" t="s">
        <v>2454</v>
      </c>
      <c r="U7" s="1433" t="n">
        <v>665.13</v>
      </c>
      <c r="V7" s="1433" t="n">
        <v>188.71</v>
      </c>
      <c r="W7" s="1433" t="n">
        <v>476.42</v>
      </c>
      <c r="X7" s="1432" t="n">
        <v>6435</v>
      </c>
      <c r="Y7" s="1433" t="n">
        <v>186.68</v>
      </c>
      <c r="Z7" s="1433" t="n">
        <v>511.26</v>
      </c>
      <c r="AA7" s="1433" t="n">
        <v>-330.69</v>
      </c>
      <c r="AB7" s="1432" t="n">
        <v>16871</v>
      </c>
    </row>
    <row r="8" s="1435" customFormat="true" ht="14.25" hidden="false" customHeight="true" outlineLevel="0" collapsed="false">
      <c r="A8" s="1436" t="n">
        <v>1994</v>
      </c>
      <c r="B8" s="1277" t="n">
        <v>1702.56</v>
      </c>
      <c r="C8" s="1277" t="n">
        <v>1683.24</v>
      </c>
      <c r="D8" s="1277" t="n">
        <v>18.82</v>
      </c>
      <c r="E8" s="1436" t="n">
        <v>63804</v>
      </c>
      <c r="F8" s="1277" t="n">
        <v>242.36</v>
      </c>
      <c r="G8" s="1277" t="n">
        <v>105.74</v>
      </c>
      <c r="H8" s="1436" t="n">
        <v>1994</v>
      </c>
      <c r="I8" s="1277" t="n">
        <v>68.32</v>
      </c>
      <c r="J8" s="1436" t="n">
        <v>888</v>
      </c>
      <c r="K8" s="1277" t="n">
        <v>851.89</v>
      </c>
      <c r="L8" s="1277" t="n">
        <v>801.25</v>
      </c>
      <c r="M8" s="1277" t="n">
        <v>14.8</v>
      </c>
      <c r="N8" s="1436" t="n">
        <v>18794</v>
      </c>
      <c r="O8" s="1277" t="n">
        <v>2796.81</v>
      </c>
      <c r="P8" s="1277" t="n">
        <v>2590.23</v>
      </c>
      <c r="Q8" s="1277" t="n">
        <v>101.94</v>
      </c>
      <c r="R8" s="1436" t="n">
        <v>83486</v>
      </c>
      <c r="S8" s="1436" t="n">
        <v>1994</v>
      </c>
      <c r="T8" s="1437" t="s">
        <v>646</v>
      </c>
      <c r="U8" s="1277" t="n">
        <v>838.06</v>
      </c>
      <c r="V8" s="1277" t="n">
        <v>239.33</v>
      </c>
      <c r="W8" s="1277" t="n">
        <v>598.73</v>
      </c>
      <c r="X8" s="1436" t="n">
        <v>6345</v>
      </c>
      <c r="Y8" s="1277" t="n">
        <v>310.63</v>
      </c>
      <c r="Z8" s="1277" t="n">
        <v>617.73</v>
      </c>
      <c r="AA8" s="1277" t="n">
        <v>-307.1</v>
      </c>
      <c r="AB8" s="1436" t="n">
        <v>16856</v>
      </c>
    </row>
    <row r="9" s="1435" customFormat="true" ht="13.5" hidden="false" customHeight="true" outlineLevel="0" collapsed="false">
      <c r="A9" s="1432" t="n">
        <v>1995</v>
      </c>
      <c r="B9" s="1433" t="n">
        <v>1982.08</v>
      </c>
      <c r="C9" s="1433" t="n">
        <v>1869.11</v>
      </c>
      <c r="D9" s="1433" t="n">
        <v>112.37</v>
      </c>
      <c r="E9" s="1432" t="n">
        <v>63803</v>
      </c>
      <c r="F9" s="1433" t="n">
        <v>335.65</v>
      </c>
      <c r="G9" s="1433" t="n">
        <v>151.39</v>
      </c>
      <c r="H9" s="1432" t="n">
        <v>1995</v>
      </c>
      <c r="I9" s="1433" t="n">
        <v>90.76</v>
      </c>
      <c r="J9" s="1432" t="n">
        <v>966</v>
      </c>
      <c r="K9" s="1433" t="n">
        <v>943.89</v>
      </c>
      <c r="L9" s="1433" t="n">
        <v>831.99</v>
      </c>
      <c r="M9" s="1433" t="n">
        <v>56.56</v>
      </c>
      <c r="N9" s="1432" t="n">
        <v>20083</v>
      </c>
      <c r="O9" s="1433" t="n">
        <v>3261.62</v>
      </c>
      <c r="P9" s="1433" t="n">
        <v>2964.39</v>
      </c>
      <c r="Q9" s="1433" t="n">
        <v>259.69</v>
      </c>
      <c r="R9" s="1432" t="n">
        <v>84852</v>
      </c>
      <c r="S9" s="1432" t="n">
        <v>1995</v>
      </c>
      <c r="T9" s="1434" t="s">
        <v>647</v>
      </c>
      <c r="U9" s="1433" t="n">
        <v>840.64</v>
      </c>
      <c r="V9" s="1433" t="n">
        <v>310.44</v>
      </c>
      <c r="W9" s="1433" t="n">
        <v>530.2</v>
      </c>
      <c r="X9" s="1432" t="n">
        <v>6281</v>
      </c>
      <c r="Y9" s="1433" t="n">
        <v>235.97</v>
      </c>
      <c r="Z9" s="1433" t="n">
        <v>528.04</v>
      </c>
      <c r="AA9" s="1433" t="n">
        <v>-292.07</v>
      </c>
      <c r="AB9" s="1432" t="n">
        <v>16459</v>
      </c>
    </row>
    <row r="10" s="1435" customFormat="true" ht="14.25" hidden="false" customHeight="true" outlineLevel="0" collapsed="false">
      <c r="A10" s="1436" t="n">
        <v>1996</v>
      </c>
      <c r="B10" s="1277" t="n">
        <v>2249.11</v>
      </c>
      <c r="C10" s="1277" t="n">
        <v>2220.5</v>
      </c>
      <c r="D10" s="1277" t="n">
        <v>28.11</v>
      </c>
      <c r="E10" s="1436" t="n">
        <v>63731</v>
      </c>
      <c r="F10" s="1277" t="n">
        <v>408.46</v>
      </c>
      <c r="G10" s="1277" t="n">
        <v>221.73</v>
      </c>
      <c r="H10" s="1436" t="n">
        <v>1996</v>
      </c>
      <c r="I10" s="1277" t="n">
        <v>98.72</v>
      </c>
      <c r="J10" s="1436" t="n">
        <v>1016</v>
      </c>
      <c r="K10" s="1277" t="n">
        <v>1132.23</v>
      </c>
      <c r="L10" s="1277" t="n">
        <v>939.75</v>
      </c>
      <c r="M10" s="1277" t="n">
        <v>131.49</v>
      </c>
      <c r="N10" s="1436" t="n">
        <v>21140</v>
      </c>
      <c r="O10" s="1277" t="n">
        <v>3789.8</v>
      </c>
      <c r="P10" s="1277" t="n">
        <v>3381.98</v>
      </c>
      <c r="Q10" s="1277" t="n">
        <v>258.32</v>
      </c>
      <c r="R10" s="1436" t="n">
        <v>85887</v>
      </c>
      <c r="S10" s="1436" t="n">
        <v>1996</v>
      </c>
      <c r="T10" s="1437" t="s">
        <v>648</v>
      </c>
      <c r="U10" s="1277" t="n">
        <v>936.03</v>
      </c>
      <c r="V10" s="1277" t="n">
        <v>301.69</v>
      </c>
      <c r="W10" s="1277" t="n">
        <v>634.34</v>
      </c>
      <c r="X10" s="1436" t="n">
        <v>6215</v>
      </c>
      <c r="Y10" s="1277" t="n">
        <v>410.88</v>
      </c>
      <c r="Z10" s="1277" t="n">
        <v>615.38</v>
      </c>
      <c r="AA10" s="1277" t="n">
        <v>-204.5</v>
      </c>
      <c r="AB10" s="1436" t="n">
        <v>16273</v>
      </c>
    </row>
    <row r="11" s="1435" customFormat="true" ht="14.25" hidden="false" customHeight="true" outlineLevel="0" collapsed="false">
      <c r="A11" s="1432" t="n">
        <v>1997</v>
      </c>
      <c r="B11" s="1433" t="n">
        <v>2574.08</v>
      </c>
      <c r="C11" s="1433" t="n">
        <v>2556.81</v>
      </c>
      <c r="D11" s="1433" t="n">
        <v>16.77</v>
      </c>
      <c r="E11" s="1432" t="n">
        <v>62723</v>
      </c>
      <c r="F11" s="1433" t="n">
        <v>564.1</v>
      </c>
      <c r="G11" s="1433" t="n">
        <v>335.64</v>
      </c>
      <c r="H11" s="1432" t="n">
        <v>1997</v>
      </c>
      <c r="I11" s="1433" t="n">
        <v>134.21</v>
      </c>
      <c r="J11" s="1432" t="n">
        <v>1125</v>
      </c>
      <c r="K11" s="1433" t="n">
        <v>1414.22</v>
      </c>
      <c r="L11" s="1433" t="n">
        <v>1180.04</v>
      </c>
      <c r="M11" s="1433" t="n">
        <v>144.48</v>
      </c>
      <c r="N11" s="1432" t="n">
        <v>22194</v>
      </c>
      <c r="O11" s="1433" t="n">
        <v>4552.4</v>
      </c>
      <c r="P11" s="1433" t="n">
        <v>4072.49</v>
      </c>
      <c r="Q11" s="1433" t="n">
        <v>295.46</v>
      </c>
      <c r="R11" s="1432" t="n">
        <v>86042</v>
      </c>
      <c r="S11" s="1432" t="n">
        <v>1997</v>
      </c>
      <c r="T11" s="1434" t="s">
        <v>649</v>
      </c>
      <c r="U11" s="1433" t="n">
        <v>1059.39</v>
      </c>
      <c r="V11" s="1433" t="n">
        <v>288.75</v>
      </c>
      <c r="W11" s="1433" t="n">
        <v>770.64</v>
      </c>
      <c r="X11" s="1432" t="n">
        <v>6129</v>
      </c>
      <c r="Y11" s="1433" t="n">
        <v>440.48</v>
      </c>
      <c r="Z11" s="1433" t="n">
        <v>701.5</v>
      </c>
      <c r="AA11" s="1433" t="n">
        <v>-261.02</v>
      </c>
      <c r="AB11" s="1432" t="n">
        <v>16342</v>
      </c>
    </row>
    <row r="12" s="1435" customFormat="true" ht="14.25" hidden="false" customHeight="true" outlineLevel="0" collapsed="false">
      <c r="A12" s="1436" t="n">
        <v>1998</v>
      </c>
      <c r="B12" s="1277" t="n">
        <v>2815.17</v>
      </c>
      <c r="C12" s="1277" t="n">
        <v>2808.69</v>
      </c>
      <c r="D12" s="1277" t="n">
        <v>-5.98</v>
      </c>
      <c r="E12" s="1436" t="n">
        <v>63583</v>
      </c>
      <c r="F12" s="1277" t="n">
        <v>585.59</v>
      </c>
      <c r="G12" s="1277" t="n">
        <v>326.62</v>
      </c>
      <c r="H12" s="1436" t="n">
        <v>1998</v>
      </c>
      <c r="I12" s="1277" t="n">
        <v>149.43</v>
      </c>
      <c r="J12" s="1436" t="n">
        <v>1262</v>
      </c>
      <c r="K12" s="1277" t="n">
        <v>1696.46</v>
      </c>
      <c r="L12" s="1277" t="n">
        <v>1457.83</v>
      </c>
      <c r="M12" s="1277" t="n">
        <v>158.35</v>
      </c>
      <c r="N12" s="1436" t="n">
        <v>22893</v>
      </c>
      <c r="O12" s="1277" t="n">
        <v>5097.22</v>
      </c>
      <c r="P12" s="1277" t="n">
        <v>4593.14</v>
      </c>
      <c r="Q12" s="1277" t="n">
        <v>301.8</v>
      </c>
      <c r="R12" s="1436" t="n">
        <v>87738</v>
      </c>
      <c r="S12" s="1436" t="n">
        <v>1998</v>
      </c>
      <c r="T12" s="1437" t="s">
        <v>650</v>
      </c>
      <c r="U12" s="1277" t="n">
        <v>1171.56</v>
      </c>
      <c r="V12" s="1277" t="n">
        <v>384.7</v>
      </c>
      <c r="W12" s="1277" t="n">
        <v>786.86</v>
      </c>
      <c r="X12" s="1436" t="n">
        <v>6178</v>
      </c>
      <c r="Y12" s="1277" t="n">
        <v>492.91</v>
      </c>
      <c r="Z12" s="1277" t="n">
        <v>766.77</v>
      </c>
      <c r="AA12" s="1277" t="n">
        <v>-296.7</v>
      </c>
      <c r="AB12" s="1436" t="n">
        <v>16114</v>
      </c>
    </row>
    <row r="13" s="1435" customFormat="true" ht="12" hidden="false" customHeight="true" outlineLevel="0" collapsed="false">
      <c r="A13" s="1432" t="n">
        <v>1999</v>
      </c>
      <c r="B13" s="1433" t="n">
        <v>3161.26</v>
      </c>
      <c r="C13" s="1433" t="n">
        <v>3164.79</v>
      </c>
      <c r="D13" s="1433" t="n">
        <v>-16.66</v>
      </c>
      <c r="E13" s="1432" t="n">
        <v>62419</v>
      </c>
      <c r="F13" s="1433" t="n">
        <v>713.65</v>
      </c>
      <c r="G13" s="1433" t="n">
        <v>447.39</v>
      </c>
      <c r="H13" s="1432" t="n">
        <v>1999</v>
      </c>
      <c r="I13" s="1433" t="n">
        <v>149.7</v>
      </c>
      <c r="J13" s="1432" t="n">
        <v>1311</v>
      </c>
      <c r="K13" s="1433" t="n">
        <v>2094.51</v>
      </c>
      <c r="L13" s="1433" t="n">
        <v>1760.92</v>
      </c>
      <c r="M13" s="1433" t="n">
        <v>178.44</v>
      </c>
      <c r="N13" s="1432" t="n">
        <v>24281</v>
      </c>
      <c r="O13" s="1433" t="n">
        <v>5969.42</v>
      </c>
      <c r="P13" s="1433" t="n">
        <v>5373.1</v>
      </c>
      <c r="Q13" s="1433" t="n">
        <v>311.48</v>
      </c>
      <c r="R13" s="1432" t="n">
        <v>88011</v>
      </c>
      <c r="S13" s="1432" t="n">
        <v>1999</v>
      </c>
      <c r="T13" s="1434" t="s">
        <v>652</v>
      </c>
      <c r="U13" s="1433" t="n">
        <v>1159.35</v>
      </c>
      <c r="V13" s="1433" t="n">
        <v>363.37</v>
      </c>
      <c r="W13" s="1433" t="n">
        <v>795.98</v>
      </c>
      <c r="X13" s="1432" t="n">
        <v>6061</v>
      </c>
      <c r="Y13" s="1433" t="n">
        <v>598.45</v>
      </c>
      <c r="Z13" s="1433" t="n">
        <v>766</v>
      </c>
      <c r="AA13" s="1433" t="n">
        <v>-532.37</v>
      </c>
      <c r="AB13" s="1432" t="n">
        <v>16036</v>
      </c>
    </row>
    <row r="14" s="1435" customFormat="true" ht="13.5" hidden="false" customHeight="true" outlineLevel="0" collapsed="false">
      <c r="A14" s="1436" t="n">
        <v>2000</v>
      </c>
      <c r="B14" s="1277" t="n">
        <v>3726.27</v>
      </c>
      <c r="C14" s="1277" t="n">
        <v>3532.16</v>
      </c>
      <c r="D14" s="1277" t="n">
        <v>24.58</v>
      </c>
      <c r="E14" s="1436" t="n">
        <v>62091</v>
      </c>
      <c r="F14" s="1277" t="n">
        <v>967.5</v>
      </c>
      <c r="G14" s="1277" t="n">
        <v>548.08</v>
      </c>
      <c r="H14" s="1436" t="n">
        <v>2000</v>
      </c>
      <c r="I14" s="1277" t="n">
        <v>220.46</v>
      </c>
      <c r="J14" s="1436" t="n">
        <v>1280</v>
      </c>
      <c r="K14" s="1277" t="n">
        <v>3267.62</v>
      </c>
      <c r="L14" s="1277" t="n">
        <v>2462.09</v>
      </c>
      <c r="M14" s="1277" t="n">
        <v>309.97</v>
      </c>
      <c r="N14" s="1436" t="n">
        <v>25975</v>
      </c>
      <c r="O14" s="1277" t="n">
        <v>7961.39</v>
      </c>
      <c r="P14" s="1277" t="n">
        <v>6542.33</v>
      </c>
      <c r="Q14" s="1277" t="n">
        <v>555.01</v>
      </c>
      <c r="R14" s="1436" t="n">
        <v>89346</v>
      </c>
      <c r="S14" s="1436" t="n">
        <v>2000</v>
      </c>
      <c r="T14" s="1437" t="s">
        <v>653</v>
      </c>
      <c r="U14" s="1277" t="n">
        <v>1172.58</v>
      </c>
      <c r="V14" s="1277" t="n">
        <v>456.64</v>
      </c>
      <c r="W14" s="1277" t="n">
        <v>715.95</v>
      </c>
      <c r="X14" s="1436" t="n">
        <v>5926</v>
      </c>
      <c r="Y14" s="1277" t="n">
        <v>820.34</v>
      </c>
      <c r="Z14" s="1277" t="n">
        <v>736.36</v>
      </c>
      <c r="AA14" s="1277" t="n">
        <v>79.81</v>
      </c>
      <c r="AB14" s="1436" t="n">
        <v>16164</v>
      </c>
    </row>
    <row r="15" s="1435" customFormat="true" ht="14.25" hidden="false" customHeight="true" outlineLevel="0" collapsed="false">
      <c r="A15" s="1432" t="n">
        <v>2001</v>
      </c>
      <c r="B15" s="1433" t="n">
        <v>3878.16</v>
      </c>
      <c r="C15" s="1433" t="n">
        <v>3735.96</v>
      </c>
      <c r="D15" s="1433" t="n">
        <v>38.24</v>
      </c>
      <c r="E15" s="1432" t="n">
        <v>61325</v>
      </c>
      <c r="F15" s="1433" t="n">
        <v>1068.91</v>
      </c>
      <c r="G15" s="1433" t="n">
        <v>588.17</v>
      </c>
      <c r="H15" s="1432" t="n">
        <v>2001</v>
      </c>
      <c r="I15" s="1433" t="n">
        <v>259.81</v>
      </c>
      <c r="J15" s="1432" t="n">
        <v>1588</v>
      </c>
      <c r="K15" s="1433" t="n">
        <v>4321</v>
      </c>
      <c r="L15" s="1433" t="n">
        <v>3126</v>
      </c>
      <c r="M15" s="1433" t="n">
        <v>514.48</v>
      </c>
      <c r="N15" s="1432" t="n">
        <v>28068</v>
      </c>
      <c r="O15" s="1433" t="n">
        <v>9268.07</v>
      </c>
      <c r="P15" s="1433" t="n">
        <v>7450.13</v>
      </c>
      <c r="Q15" s="1433" t="n">
        <v>812.53</v>
      </c>
      <c r="R15" s="1432" t="n">
        <v>90981</v>
      </c>
      <c r="S15" s="1432" t="n">
        <v>2001</v>
      </c>
      <c r="T15" s="1434" t="s">
        <v>654</v>
      </c>
      <c r="U15" s="1433" t="n">
        <v>1133.15</v>
      </c>
      <c r="V15" s="1433" t="n">
        <v>183.34</v>
      </c>
      <c r="W15" s="1433" t="n">
        <v>949.41</v>
      </c>
      <c r="X15" s="1432" t="n">
        <v>5769</v>
      </c>
      <c r="Y15" s="1433" t="n">
        <v>636.39</v>
      </c>
      <c r="Z15" s="1433" t="n">
        <v>748.34</v>
      </c>
      <c r="AA15" s="1433" t="n">
        <v>-114.64</v>
      </c>
      <c r="AB15" s="1432" t="n">
        <v>16475</v>
      </c>
    </row>
    <row r="16" s="1435" customFormat="true" ht="13.5" hidden="false" customHeight="true" outlineLevel="0" collapsed="false">
      <c r="A16" s="1436" t="n">
        <v>2002</v>
      </c>
      <c r="B16" s="1277" t="n">
        <v>3665.52</v>
      </c>
      <c r="C16" s="1277" t="n">
        <v>3420.35</v>
      </c>
      <c r="D16" s="1277" t="n">
        <v>19.88</v>
      </c>
      <c r="E16" s="1436" t="n">
        <v>60169</v>
      </c>
      <c r="F16" s="1277" t="n">
        <v>1061.9</v>
      </c>
      <c r="G16" s="1277" t="n">
        <v>570.79</v>
      </c>
      <c r="H16" s="1436" t="n">
        <v>2002</v>
      </c>
      <c r="I16" s="1277" t="n">
        <v>224.08</v>
      </c>
      <c r="J16" s="1436" t="n">
        <v>1305</v>
      </c>
      <c r="K16" s="1277" t="n">
        <v>5021.55</v>
      </c>
      <c r="L16" s="1277" t="n">
        <v>3930.87</v>
      </c>
      <c r="M16" s="1277" t="n">
        <v>458.79</v>
      </c>
      <c r="N16" s="1436" t="n">
        <v>28336</v>
      </c>
      <c r="O16" s="1277" t="n">
        <v>9748.97</v>
      </c>
      <c r="P16" s="1277" t="n">
        <v>7922.01</v>
      </c>
      <c r="Q16" s="1277" t="n">
        <v>702.75</v>
      </c>
      <c r="R16" s="1436" t="n">
        <v>89810</v>
      </c>
      <c r="S16" s="1436" t="n">
        <v>2002</v>
      </c>
      <c r="T16" s="1437" t="s">
        <v>655</v>
      </c>
      <c r="U16" s="1277" t="n">
        <v>1725.62</v>
      </c>
      <c r="V16" s="1277" t="n">
        <v>365.57</v>
      </c>
      <c r="W16" s="1277" t="n">
        <v>760.05</v>
      </c>
      <c r="X16" s="1436" t="n">
        <v>5576</v>
      </c>
      <c r="Y16" s="1277" t="n">
        <v>738.53</v>
      </c>
      <c r="Z16" s="1277" t="n">
        <v>768.85</v>
      </c>
      <c r="AA16" s="1277" t="n">
        <v>-24.32</v>
      </c>
      <c r="AB16" s="1436" t="n">
        <v>15837</v>
      </c>
    </row>
    <row r="17" s="1435" customFormat="true" ht="14.25" hidden="false" customHeight="true" outlineLevel="0" collapsed="false">
      <c r="A17" s="1432" t="n">
        <v>2003</v>
      </c>
      <c r="B17" s="1433" t="n">
        <v>4165.22</v>
      </c>
      <c r="C17" s="1433" t="n">
        <v>3860.79</v>
      </c>
      <c r="D17" s="1433" t="n">
        <v>68.21</v>
      </c>
      <c r="E17" s="1432" t="n">
        <v>58629</v>
      </c>
      <c r="F17" s="1433" t="n">
        <v>772.93</v>
      </c>
      <c r="G17" s="1433" t="n">
        <v>252.27</v>
      </c>
      <c r="H17" s="1432" t="n">
        <v>2003</v>
      </c>
      <c r="I17" s="1433" t="n">
        <v>276.44</v>
      </c>
      <c r="J17" s="1432" t="n">
        <v>1409</v>
      </c>
      <c r="K17" s="1433" t="n">
        <v>5921.25</v>
      </c>
      <c r="L17" s="1433" t="n">
        <v>4543.82</v>
      </c>
      <c r="M17" s="1433" t="n">
        <v>475.59</v>
      </c>
      <c r="N17" s="1432" t="n">
        <v>32576</v>
      </c>
      <c r="O17" s="1433" t="n">
        <v>10859.4</v>
      </c>
      <c r="P17" s="1433" t="n">
        <v>8656.88</v>
      </c>
      <c r="Q17" s="1433" t="n">
        <v>820.24</v>
      </c>
      <c r="R17" s="1432" t="n">
        <v>92614</v>
      </c>
      <c r="S17" s="1432" t="n">
        <v>2003</v>
      </c>
      <c r="T17" s="1434" t="s">
        <v>656</v>
      </c>
      <c r="U17" s="1433" t="n">
        <v>2100.69</v>
      </c>
      <c r="V17" s="1433" t="n">
        <v>1161.21</v>
      </c>
      <c r="W17" s="1433" t="n">
        <v>939.48</v>
      </c>
      <c r="X17" s="1432" t="n">
        <v>5461</v>
      </c>
      <c r="Y17" s="1433" t="n">
        <v>693.26</v>
      </c>
      <c r="Z17" s="1433" t="n">
        <v>773.15</v>
      </c>
      <c r="AA17" s="1433" t="n">
        <v>-87.89</v>
      </c>
      <c r="AB17" s="1432" t="n">
        <v>15300</v>
      </c>
    </row>
    <row r="18" s="1435" customFormat="true" ht="13.5" hidden="false" customHeight="true" outlineLevel="0" collapsed="false">
      <c r="A18" s="1436" t="n">
        <v>2004</v>
      </c>
      <c r="B18" s="1277" t="n">
        <v>4008.46</v>
      </c>
      <c r="C18" s="1277" t="n">
        <v>3693.77</v>
      </c>
      <c r="D18" s="1277" t="n">
        <v>-1904.72</v>
      </c>
      <c r="E18" s="1436" t="n">
        <v>57588</v>
      </c>
      <c r="F18" s="1277" t="n">
        <v>1294.25</v>
      </c>
      <c r="G18" s="1277" t="n">
        <v>640.37</v>
      </c>
      <c r="H18" s="1436" t="n">
        <v>2004</v>
      </c>
      <c r="I18" s="1277" t="n">
        <v>392.01</v>
      </c>
      <c r="J18" s="1436" t="n">
        <v>1394</v>
      </c>
      <c r="K18" s="1277" t="n">
        <v>7305.97</v>
      </c>
      <c r="L18" s="1277" t="n">
        <v>5293.89</v>
      </c>
      <c r="M18" s="1277" t="n">
        <v>736.49</v>
      </c>
      <c r="N18" s="1436" t="n">
        <v>34786</v>
      </c>
      <c r="O18" s="1277" t="n">
        <v>12608.68</v>
      </c>
      <c r="P18" s="1277" t="n">
        <v>9628.03</v>
      </c>
      <c r="Q18" s="1277" t="n">
        <v>-776.22</v>
      </c>
      <c r="R18" s="1436" t="n">
        <v>93768</v>
      </c>
      <c r="S18" s="1436" t="n">
        <v>2004</v>
      </c>
      <c r="T18" s="1437" t="s">
        <v>657</v>
      </c>
      <c r="U18" s="1277" t="n">
        <v>2415.78</v>
      </c>
      <c r="V18" s="1277" t="n">
        <v>523.91</v>
      </c>
      <c r="W18" s="1277" t="n">
        <v>1891.87</v>
      </c>
      <c r="X18" s="1436" t="n">
        <v>5596</v>
      </c>
      <c r="Y18" s="1277" t="n">
        <v>646.38</v>
      </c>
      <c r="Z18" s="1277" t="n">
        <v>854.92</v>
      </c>
      <c r="AA18" s="1277" t="n">
        <v>-240.68</v>
      </c>
      <c r="AB18" s="1436" t="n">
        <v>14350</v>
      </c>
    </row>
    <row r="19" s="1435" customFormat="true" ht="13.5" hidden="false" customHeight="true" outlineLevel="0" collapsed="false">
      <c r="A19" s="1432" t="n">
        <v>2005</v>
      </c>
      <c r="B19" s="1433" t="n">
        <v>4836.34</v>
      </c>
      <c r="C19" s="1433" t="n">
        <v>3814.7</v>
      </c>
      <c r="D19" s="1433" t="n">
        <v>-1209.41</v>
      </c>
      <c r="E19" s="1432" t="n">
        <v>56417</v>
      </c>
      <c r="F19" s="1433" t="n">
        <v>1367.59</v>
      </c>
      <c r="G19" s="1433" t="n">
        <v>529.5</v>
      </c>
      <c r="H19" s="1432" t="n">
        <v>2005</v>
      </c>
      <c r="I19" s="1433" t="n">
        <v>470.18</v>
      </c>
      <c r="J19" s="1432" t="n">
        <v>1713</v>
      </c>
      <c r="K19" s="1433" t="n">
        <v>9140.17</v>
      </c>
      <c r="L19" s="1433" t="n">
        <v>6599.97</v>
      </c>
      <c r="M19" s="1433" t="n">
        <v>954.71</v>
      </c>
      <c r="N19" s="1432" t="n">
        <v>36715</v>
      </c>
      <c r="O19" s="1433" t="n">
        <v>15344.1</v>
      </c>
      <c r="P19" s="1433" t="n">
        <v>10944.17</v>
      </c>
      <c r="Q19" s="1433" t="n">
        <v>215.48</v>
      </c>
      <c r="R19" s="1432" t="n">
        <v>94845</v>
      </c>
      <c r="S19" s="1432" t="n">
        <v>2005</v>
      </c>
      <c r="T19" s="1434" t="s">
        <v>658</v>
      </c>
      <c r="U19" s="1433" t="n">
        <v>3621.5</v>
      </c>
      <c r="V19" s="1433" t="n">
        <v>1217.48</v>
      </c>
      <c r="W19" s="1433" t="n">
        <f aca="false">U19-V19</f>
        <v>2404.02</v>
      </c>
      <c r="X19" s="1432" t="n">
        <v>5481</v>
      </c>
      <c r="Y19" s="1433" t="n">
        <v>1026.09</v>
      </c>
      <c r="Z19" s="1433" t="n">
        <v>1088.9</v>
      </c>
      <c r="AA19" s="1433" t="n">
        <v>-123</v>
      </c>
      <c r="AB19" s="1432" t="n">
        <v>15406</v>
      </c>
    </row>
    <row r="20" s="1435" customFormat="true" ht="14.25" hidden="false" customHeight="true" outlineLevel="0" collapsed="false">
      <c r="A20" s="1436" t="n">
        <v>2006</v>
      </c>
      <c r="B20" s="1436" t="n">
        <v>5657.36</v>
      </c>
      <c r="C20" s="1436" t="n">
        <v>4551.77</v>
      </c>
      <c r="D20" s="1436" t="n">
        <v>-4415.92</v>
      </c>
      <c r="E20" s="1436" t="n">
        <v>54591</v>
      </c>
      <c r="F20" s="1277" t="n">
        <v>2372</v>
      </c>
      <c r="G20" s="1436" t="n">
        <v>988.01</v>
      </c>
      <c r="H20" s="1436" t="n">
        <v>2006</v>
      </c>
      <c r="I20" s="1436" t="n">
        <v>624.12</v>
      </c>
      <c r="J20" s="1436" t="n">
        <v>2384</v>
      </c>
      <c r="K20" s="1436" t="n">
        <v>12757.48</v>
      </c>
      <c r="L20" s="1436" t="n">
        <v>9400.62</v>
      </c>
      <c r="M20" s="1436" t="n">
        <v>931.54</v>
      </c>
      <c r="N20" s="1436" t="n">
        <v>42512</v>
      </c>
      <c r="O20" s="1436" t="n">
        <v>20786.84</v>
      </c>
      <c r="P20" s="1277" t="n">
        <v>14940.4</v>
      </c>
      <c r="Q20" s="1436" t="n">
        <v>-2860.26</v>
      </c>
      <c r="R20" s="1436" t="n">
        <v>99487</v>
      </c>
      <c r="S20" s="1436" t="n">
        <v>2006</v>
      </c>
      <c r="T20" s="1438" t="s">
        <v>558</v>
      </c>
      <c r="U20" s="1439" t="n">
        <v>4279.41</v>
      </c>
      <c r="V20" s="1439" t="n">
        <v>818.83</v>
      </c>
      <c r="W20" s="1439" t="n">
        <v>3460.58</v>
      </c>
      <c r="X20" s="1439" t="n">
        <v>5402</v>
      </c>
      <c r="Y20" s="1440" t="n">
        <v>1234.32</v>
      </c>
      <c r="Z20" s="1439" t="n">
        <v>1251.53</v>
      </c>
      <c r="AA20" s="1440" t="n">
        <v>-143.62</v>
      </c>
      <c r="AB20" s="1439" t="n">
        <v>15515</v>
      </c>
    </row>
    <row r="21" s="1435" customFormat="true" ht="15" hidden="false" customHeight="true" outlineLevel="0" collapsed="false">
      <c r="A21" s="1432" t="n">
        <v>2007</v>
      </c>
      <c r="B21" s="1432" t="n">
        <v>4713.37</v>
      </c>
      <c r="C21" s="1432" t="n">
        <v>3243.54</v>
      </c>
      <c r="D21" s="1433" t="n">
        <v>-809.1</v>
      </c>
      <c r="E21" s="1432" t="n">
        <v>52177</v>
      </c>
      <c r="F21" s="1433" t="n">
        <v>2656.66</v>
      </c>
      <c r="G21" s="1432" t="n">
        <v>1266.59</v>
      </c>
      <c r="H21" s="1432" t="n">
        <v>2007</v>
      </c>
      <c r="I21" s="1432" t="n">
        <v>723.33</v>
      </c>
      <c r="J21" s="1432" t="n">
        <v>2388</v>
      </c>
      <c r="K21" s="1432" t="n">
        <v>16256.55</v>
      </c>
      <c r="L21" s="1432" t="n">
        <v>11380.48</v>
      </c>
      <c r="M21" s="1432" t="n">
        <v>1995.75</v>
      </c>
      <c r="N21" s="1432" t="n">
        <v>45074</v>
      </c>
      <c r="O21" s="1433" t="n">
        <v>23392.9</v>
      </c>
      <c r="P21" s="1433" t="n">
        <v>15872.78</v>
      </c>
      <c r="Q21" s="1432" t="n">
        <v>1909.98</v>
      </c>
      <c r="R21" s="1432" t="n">
        <v>99639</v>
      </c>
      <c r="S21" s="1432" t="n">
        <v>2007</v>
      </c>
      <c r="T21" s="1435" t="s">
        <v>531</v>
      </c>
      <c r="U21" s="1441" t="n">
        <v>4062.03</v>
      </c>
      <c r="V21" s="1442" t="n">
        <v>909.2</v>
      </c>
      <c r="W21" s="1441" t="n">
        <v>3152.83</v>
      </c>
      <c r="X21" s="1441" t="n">
        <f aca="false">4031+1273</f>
        <v>5304</v>
      </c>
      <c r="Y21" s="1441" t="n">
        <v>1472.26</v>
      </c>
      <c r="Z21" s="1441" t="n">
        <v>1497.07</v>
      </c>
      <c r="AA21" s="1441" t="n">
        <v>-167.17</v>
      </c>
      <c r="AB21" s="1441" t="n">
        <v>15400</v>
      </c>
    </row>
    <row r="22" s="1441" customFormat="true" ht="15" hidden="false" customHeight="true" outlineLevel="0" collapsed="false">
      <c r="A22" s="1436" t="n">
        <v>2008</v>
      </c>
      <c r="B22" s="1436" t="n">
        <v>6750.95</v>
      </c>
      <c r="C22" s="1436" t="n">
        <v>5227.88</v>
      </c>
      <c r="D22" s="1436" t="n">
        <v>897.68</v>
      </c>
      <c r="E22" s="1436" t="n">
        <v>53786</v>
      </c>
      <c r="F22" s="1277" t="n">
        <v>3235.57</v>
      </c>
      <c r="G22" s="1277" t="n">
        <v>1620.56</v>
      </c>
      <c r="H22" s="1436" t="n">
        <v>2008</v>
      </c>
      <c r="I22" s="1443" t="n">
        <v>1138.42</v>
      </c>
      <c r="J22" s="1444" t="n">
        <v>2384</v>
      </c>
      <c r="K22" s="1277" t="n">
        <v>21172.7</v>
      </c>
      <c r="L22" s="1277" t="n">
        <v>14757.53</v>
      </c>
      <c r="M22" s="1443" t="n">
        <v>2818.66</v>
      </c>
      <c r="N22" s="1444" t="n">
        <v>46308</v>
      </c>
      <c r="O22" s="1277" t="n">
        <v>31159.22</v>
      </c>
      <c r="P22" s="1277" t="n">
        <v>21605.97</v>
      </c>
      <c r="Q22" s="1277" t="n">
        <v>4854.76</v>
      </c>
      <c r="R22" s="1444" t="n">
        <v>102478</v>
      </c>
      <c r="S22" s="1436" t="n">
        <v>2008</v>
      </c>
      <c r="T22" s="1438" t="s">
        <v>532</v>
      </c>
      <c r="U22" s="1439" t="n">
        <v>3088.43</v>
      </c>
      <c r="V22" s="1439" t="n">
        <v>582.63</v>
      </c>
      <c r="W22" s="1440" t="n">
        <v>2505.8</v>
      </c>
      <c r="X22" s="1439" t="n">
        <v>5259</v>
      </c>
      <c r="Y22" s="1440" t="n">
        <v>1944.9</v>
      </c>
      <c r="Z22" s="1439" t="n">
        <v>1685.01</v>
      </c>
      <c r="AA22" s="1439" t="n">
        <v>40.16</v>
      </c>
      <c r="AB22" s="1439" t="n">
        <v>15388</v>
      </c>
    </row>
    <row r="23" s="1441" customFormat="true" ht="14.25" hidden="false" customHeight="true" outlineLevel="0" collapsed="false">
      <c r="A23" s="1432" t="n">
        <v>2009</v>
      </c>
      <c r="B23" s="1432" t="n">
        <v>8026.68</v>
      </c>
      <c r="C23" s="1432" t="n">
        <v>6083.51</v>
      </c>
      <c r="D23" s="1432" t="n">
        <v>931.35</v>
      </c>
      <c r="E23" s="1432" t="n">
        <v>50600</v>
      </c>
      <c r="F23" s="1433" t="n">
        <v>2610.95</v>
      </c>
      <c r="G23" s="1433" t="n">
        <v>1401.57</v>
      </c>
      <c r="H23" s="1432" t="n">
        <v>2009</v>
      </c>
      <c r="I23" s="1433" t="n">
        <v>708.78</v>
      </c>
      <c r="J23" s="1445" t="n">
        <v>2760</v>
      </c>
      <c r="K23" s="1433" t="n">
        <v>26262.19</v>
      </c>
      <c r="L23" s="1433" t="n">
        <v>17911.02</v>
      </c>
      <c r="M23" s="1433" t="n">
        <v>3947.72</v>
      </c>
      <c r="N23" s="1445" t="n">
        <v>59874</v>
      </c>
      <c r="O23" s="1433" t="n">
        <f aca="false">B23+F23+K23</f>
        <v>36899.82</v>
      </c>
      <c r="P23" s="1433" t="n">
        <f aca="false">C23+G23+L23</f>
        <v>25396.1</v>
      </c>
      <c r="Q23" s="1433" t="n">
        <f aca="false">D23+I23+M23</f>
        <v>5587.85</v>
      </c>
      <c r="R23" s="1445" t="n">
        <f aca="false">E23+J23+N23</f>
        <v>113234</v>
      </c>
      <c r="S23" s="1432" t="n">
        <v>2009</v>
      </c>
      <c r="T23" s="1435" t="s">
        <v>203</v>
      </c>
      <c r="U23" s="1441" t="n">
        <v>1926.92</v>
      </c>
      <c r="V23" s="1442" t="n">
        <v>639.1</v>
      </c>
      <c r="W23" s="1442" t="n">
        <v>1287.82</v>
      </c>
      <c r="X23" s="1441" t="n">
        <f aca="false">3914+1157</f>
        <v>5071</v>
      </c>
      <c r="Y23" s="1441" t="n">
        <v>2327.42</v>
      </c>
      <c r="Z23" s="1441" t="n">
        <v>2053.65</v>
      </c>
      <c r="AA23" s="1441" t="n">
        <v>105.76</v>
      </c>
      <c r="AB23" s="1441" t="n">
        <v>15293</v>
      </c>
    </row>
    <row r="24" s="1441" customFormat="true" ht="13.5" hidden="false" customHeight="true" outlineLevel="0" collapsed="false">
      <c r="A24" s="1436" t="n">
        <v>2010</v>
      </c>
      <c r="B24" s="1436" t="n">
        <v>10260.46</v>
      </c>
      <c r="C24" s="1436" t="n">
        <v>7163.33</v>
      </c>
      <c r="D24" s="1436" t="n">
        <v>1176.26</v>
      </c>
      <c r="E24" s="1436" t="n">
        <v>50069</v>
      </c>
      <c r="F24" s="1277" t="n">
        <v>2632.77</v>
      </c>
      <c r="G24" s="1277" t="n">
        <v>1338.96</v>
      </c>
      <c r="H24" s="1436" t="n">
        <v>2010</v>
      </c>
      <c r="I24" s="1277" t="n">
        <v>645.62</v>
      </c>
      <c r="J24" s="1444" t="n">
        <v>3143</v>
      </c>
      <c r="K24" s="1277" t="n">
        <v>32873.14</v>
      </c>
      <c r="L24" s="1277" t="n">
        <v>20435.56</v>
      </c>
      <c r="M24" s="1277" t="n">
        <v>6032.03</v>
      </c>
      <c r="N24" s="1444" t="n">
        <v>68720</v>
      </c>
      <c r="O24" s="1277" t="n">
        <f aca="false">B24+F24+K24</f>
        <v>45766.37</v>
      </c>
      <c r="P24" s="1277" t="n">
        <f aca="false">C24+G24+L24</f>
        <v>28937.85</v>
      </c>
      <c r="Q24" s="1277" t="n">
        <f aca="false">D24+I24+M24</f>
        <v>7853.91</v>
      </c>
      <c r="R24" s="1444" t="n">
        <f aca="false">E24+J24+N24</f>
        <v>121932</v>
      </c>
      <c r="S24" s="1436" t="n">
        <v>2010</v>
      </c>
      <c r="T24" s="1438" t="s">
        <v>205</v>
      </c>
      <c r="U24" s="1439" t="n">
        <v>9862.54</v>
      </c>
      <c r="V24" s="1440" t="n">
        <v>1019.94</v>
      </c>
      <c r="W24" s="1439" t="n">
        <v>8842.59</v>
      </c>
      <c r="X24" s="1439" t="n">
        <f aca="false">3848+1030</f>
        <v>4878</v>
      </c>
      <c r="Y24" s="1440" t="n">
        <v>2610.5</v>
      </c>
      <c r="Z24" s="1440" t="n">
        <v>2494.17</v>
      </c>
      <c r="AA24" s="1439" t="n">
        <v>-58.41</v>
      </c>
      <c r="AB24" s="1439" t="n">
        <v>14367</v>
      </c>
    </row>
    <row r="25" s="1449" customFormat="true" ht="15" hidden="false" customHeight="true" outlineLevel="0" collapsed="false">
      <c r="A25" s="1446" t="n">
        <v>2011</v>
      </c>
      <c r="B25" s="1447" t="n">
        <v>13224.12</v>
      </c>
      <c r="C25" s="1447" t="n">
        <v>8569.5</v>
      </c>
      <c r="D25" s="1446" t="n">
        <v>1799.33</v>
      </c>
      <c r="E25" s="1446" t="n">
        <v>54025</v>
      </c>
      <c r="F25" s="1447" t="n">
        <v>4378.41</v>
      </c>
      <c r="G25" s="1447" t="n">
        <v>1925.6</v>
      </c>
      <c r="H25" s="1446" t="n">
        <v>2011</v>
      </c>
      <c r="I25" s="1447" t="n">
        <v>781.04</v>
      </c>
      <c r="J25" s="1448" t="n">
        <v>3137</v>
      </c>
      <c r="K25" s="1447" t="n">
        <v>41050.18</v>
      </c>
      <c r="L25" s="1447" t="n">
        <v>29079.7</v>
      </c>
      <c r="M25" s="1447" t="n">
        <v>6999.28</v>
      </c>
      <c r="N25" s="1448" t="n">
        <v>75649</v>
      </c>
      <c r="O25" s="1447" t="n">
        <f aca="false">B25+F25+K25</f>
        <v>58652.71</v>
      </c>
      <c r="P25" s="1447" t="n">
        <f aca="false">C25+G25+L25</f>
        <v>39574.8</v>
      </c>
      <c r="Q25" s="1433" t="n">
        <f aca="false">D25+I25+M25</f>
        <v>9579.65</v>
      </c>
      <c r="R25" s="1445" t="n">
        <f aca="false">E25+J25+N25</f>
        <v>132811</v>
      </c>
      <c r="S25" s="1446" t="n">
        <v>2011</v>
      </c>
      <c r="T25" s="653" t="s">
        <v>2455</v>
      </c>
      <c r="U25" s="1449" t="n">
        <v>8522.74</v>
      </c>
      <c r="V25" s="1450" t="n">
        <v>1490.9978</v>
      </c>
      <c r="W25" s="1449" t="n">
        <v>7031.75</v>
      </c>
      <c r="X25" s="1449" t="n">
        <v>4958</v>
      </c>
      <c r="Y25" s="1450" t="n">
        <v>1818.91</v>
      </c>
      <c r="Z25" s="1450" t="n">
        <v>1996.95</v>
      </c>
      <c r="AA25" s="1450" t="n">
        <v>-208.04</v>
      </c>
      <c r="AB25" s="1449" t="n">
        <v>13879</v>
      </c>
    </row>
    <row r="26" s="1449" customFormat="true" ht="15" hidden="false" customHeight="true" outlineLevel="0" collapsed="false">
      <c r="A26" s="1436" t="n">
        <v>2012</v>
      </c>
      <c r="B26" s="1277" t="n">
        <v>15725.2533065</v>
      </c>
      <c r="C26" s="1277" t="n">
        <v>11794.0446276</v>
      </c>
      <c r="D26" s="1277" t="n">
        <v>-6522.8768282</v>
      </c>
      <c r="E26" s="1436" t="n">
        <v>57989</v>
      </c>
      <c r="F26" s="1277" t="n">
        <v>5603.3493125</v>
      </c>
      <c r="G26" s="1277" t="n">
        <v>2796.43</v>
      </c>
      <c r="H26" s="1436" t="n">
        <v>2012</v>
      </c>
      <c r="I26" s="1277" t="n">
        <v>1465.1193717</v>
      </c>
      <c r="J26" s="1444" t="n">
        <v>3140</v>
      </c>
      <c r="K26" s="1277" t="n">
        <v>52221.3635237</v>
      </c>
      <c r="L26" s="1277" t="n">
        <v>38973.7947409</v>
      </c>
      <c r="M26" s="1277" t="n">
        <v>3962.6805902</v>
      </c>
      <c r="N26" s="1444" t="n">
        <v>81944</v>
      </c>
      <c r="O26" s="1277" t="n">
        <f aca="false">B26+F26+K26</f>
        <v>73549.9661427</v>
      </c>
      <c r="P26" s="1277" t="n">
        <f aca="false">C26+G26+L26</f>
        <v>53564.2693685</v>
      </c>
      <c r="Q26" s="1277" t="n">
        <f aca="false">D26+I26+M26</f>
        <v>-1095.0768663</v>
      </c>
      <c r="R26" s="1444" t="n">
        <f aca="false">E26+J26+N26</f>
        <v>143073</v>
      </c>
      <c r="S26" s="1436" t="n">
        <v>2012</v>
      </c>
      <c r="T26" s="1451" t="s">
        <v>2456</v>
      </c>
      <c r="U26" s="1439" t="s">
        <v>204</v>
      </c>
      <c r="V26" s="1440" t="s">
        <v>204</v>
      </c>
      <c r="W26" s="1439" t="s">
        <v>204</v>
      </c>
      <c r="X26" s="1439" t="s">
        <v>204</v>
      </c>
      <c r="Y26" s="1439" t="n">
        <f aca="false">252.03+1340.23</f>
        <v>1592.26</v>
      </c>
      <c r="Z26" s="1439" t="n">
        <f aca="false">149.23+1079.22</f>
        <v>1228.45</v>
      </c>
      <c r="AA26" s="1439" t="n">
        <f aca="false">83.7+2.79</f>
        <v>86.49</v>
      </c>
      <c r="AB26" s="1439" t="n">
        <f aca="false">857+1657</f>
        <v>2514</v>
      </c>
    </row>
    <row r="27" s="1449" customFormat="true" ht="15" hidden="false" customHeight="true" outlineLevel="0" collapsed="false">
      <c r="A27" s="1446" t="n">
        <v>2013</v>
      </c>
      <c r="B27" s="1447" t="n">
        <v>16728.0240121</v>
      </c>
      <c r="C27" s="1447" t="n">
        <v>13949.0029119</v>
      </c>
      <c r="D27" s="1447" t="n">
        <v>2258.4407386</v>
      </c>
      <c r="E27" s="1446" t="n">
        <v>58049</v>
      </c>
      <c r="F27" s="1447" t="n">
        <v>5985.9425159</v>
      </c>
      <c r="G27" s="1447" t="n">
        <v>3007.3867309</v>
      </c>
      <c r="H27" s="1446" t="n">
        <v>2013</v>
      </c>
      <c r="I27" s="1447" t="n">
        <v>1464.6336643</v>
      </c>
      <c r="J27" s="1448" t="n">
        <v>3330</v>
      </c>
      <c r="K27" s="1447" t="n">
        <v>57658.7485518</v>
      </c>
      <c r="L27" s="1447" t="n">
        <v>44904.2741835</v>
      </c>
      <c r="M27" s="1447" t="n">
        <v>4644.272205</v>
      </c>
      <c r="N27" s="1448" t="n">
        <v>85888</v>
      </c>
      <c r="O27" s="1447" t="n">
        <f aca="false">B27+F27+K27</f>
        <v>80372.7150798</v>
      </c>
      <c r="P27" s="1447" t="n">
        <f aca="false">C27+G27+L27</f>
        <v>61860.6638263</v>
      </c>
      <c r="Q27" s="1447" t="n">
        <f aca="false">D27+I27+M27</f>
        <v>8367.3466079</v>
      </c>
      <c r="R27" s="1448" t="n">
        <f aca="false">E27+J27+N27</f>
        <v>147267</v>
      </c>
      <c r="S27" s="1446" t="n">
        <v>2013</v>
      </c>
      <c r="T27" s="1452" t="s">
        <v>207</v>
      </c>
      <c r="U27" s="1449" t="n">
        <v>1685.34</v>
      </c>
      <c r="V27" s="1450" t="n">
        <v>1380.9365</v>
      </c>
      <c r="W27" s="1449" t="n">
        <v>304.41</v>
      </c>
      <c r="X27" s="1449" t="n">
        <v>5239</v>
      </c>
      <c r="Y27" s="1450" t="n">
        <v>1794.8927683</v>
      </c>
      <c r="Z27" s="1450" t="n">
        <v>2210.8702908</v>
      </c>
      <c r="AA27" s="1450" t="n">
        <v>-448.5010825</v>
      </c>
      <c r="AB27" s="1449" t="n">
        <v>15034</v>
      </c>
    </row>
    <row r="28" s="1449" customFormat="true" ht="15" hidden="false" customHeight="true" outlineLevel="0" collapsed="false">
      <c r="A28" s="1436" t="n">
        <v>2014</v>
      </c>
      <c r="B28" s="1277" t="n">
        <v>18486.49</v>
      </c>
      <c r="C28" s="1277" t="n">
        <v>15256.82</v>
      </c>
      <c r="D28" s="1277" t="n">
        <v>1227.44</v>
      </c>
      <c r="E28" s="1436" t="n">
        <v>56187</v>
      </c>
      <c r="F28" s="1277" t="n">
        <v>5906.7</v>
      </c>
      <c r="G28" s="1277" t="n">
        <v>2721.73</v>
      </c>
      <c r="H28" s="1436" t="n">
        <v>2014</v>
      </c>
      <c r="I28" s="1277" t="n">
        <v>1706.03</v>
      </c>
      <c r="J28" s="1444" t="n">
        <v>3880</v>
      </c>
      <c r="K28" s="1277" t="n">
        <v>61356.65</v>
      </c>
      <c r="L28" s="1277" t="n">
        <v>46637.05</v>
      </c>
      <c r="M28" s="1277" t="n">
        <v>5511.02</v>
      </c>
      <c r="N28" s="1444" t="n">
        <v>93624</v>
      </c>
      <c r="O28" s="1277" t="n">
        <f aca="false">B28+F28+K28</f>
        <v>85749.84</v>
      </c>
      <c r="P28" s="1277" t="n">
        <f aca="false">C28+G28+L28</f>
        <v>64615.6</v>
      </c>
      <c r="Q28" s="1277" t="n">
        <f aca="false">D28+I28+M28</f>
        <v>8444.49</v>
      </c>
      <c r="R28" s="1444" t="n">
        <f aca="false">E28+J28+N28</f>
        <v>153691</v>
      </c>
      <c r="S28" s="1436" t="n">
        <v>2014</v>
      </c>
      <c r="T28" s="1451" t="n">
        <v>2013</v>
      </c>
      <c r="U28" s="1439" t="s">
        <v>204</v>
      </c>
      <c r="V28" s="1440" t="s">
        <v>204</v>
      </c>
      <c r="W28" s="1439" t="s">
        <v>204</v>
      </c>
      <c r="X28" s="1439" t="s">
        <v>204</v>
      </c>
      <c r="Y28" s="1440" t="n">
        <v>2163.7902678</v>
      </c>
      <c r="Z28" s="1440" t="n">
        <v>1791.2615637</v>
      </c>
      <c r="AA28" s="1440" t="n">
        <v>48.8577087</v>
      </c>
      <c r="AB28" s="1439" t="n">
        <v>2971</v>
      </c>
    </row>
    <row r="29" s="1449" customFormat="true" ht="15" hidden="false" customHeight="true" outlineLevel="0" collapsed="false">
      <c r="A29" s="1441" t="n">
        <v>2015</v>
      </c>
      <c r="B29" s="930" t="n">
        <v>20782.27</v>
      </c>
      <c r="C29" s="930" t="n">
        <v>17852.88</v>
      </c>
      <c r="D29" s="1453" t="n">
        <v>365.93</v>
      </c>
      <c r="E29" s="1454" t="n">
        <v>58286</v>
      </c>
      <c r="F29" s="1268" t="n">
        <v>5407.47</v>
      </c>
      <c r="G29" s="1268" t="n">
        <v>2514.02</v>
      </c>
      <c r="H29" s="1441" t="n">
        <v>2015</v>
      </c>
      <c r="I29" s="1268" t="n">
        <v>1695.81</v>
      </c>
      <c r="J29" s="1455" t="n">
        <v>3876</v>
      </c>
      <c r="K29" s="1268" t="n">
        <v>64033.43</v>
      </c>
      <c r="L29" s="1268" t="n">
        <v>48463.98</v>
      </c>
      <c r="M29" s="1268" t="n">
        <v>6145.79</v>
      </c>
      <c r="N29" s="1455" t="n">
        <v>92742</v>
      </c>
      <c r="O29" s="1447" t="n">
        <f aca="false">B29+F29+K29</f>
        <v>90223.17</v>
      </c>
      <c r="P29" s="1447" t="n">
        <f aca="false">C29+G29+L29</f>
        <v>68830.88</v>
      </c>
      <c r="Q29" s="1447" t="n">
        <f aca="false">D29+I29+M29</f>
        <v>8207.53</v>
      </c>
      <c r="R29" s="1448" t="n">
        <f aca="false">E29+J29+N29</f>
        <v>154904</v>
      </c>
      <c r="S29" s="1441" t="n">
        <v>2015</v>
      </c>
      <c r="T29" s="653" t="s">
        <v>208</v>
      </c>
      <c r="U29" s="1449" t="n">
        <v>5040.63</v>
      </c>
      <c r="V29" s="1450" t="n">
        <v>1688.81</v>
      </c>
      <c r="W29" s="1449" t="n">
        <v>3351.83</v>
      </c>
      <c r="X29" s="1449" t="n">
        <v>5470</v>
      </c>
      <c r="Y29" s="1450" t="n">
        <v>2035.3</v>
      </c>
      <c r="Z29" s="1449" t="n">
        <v>2539.12</v>
      </c>
      <c r="AA29" s="1449" t="n">
        <v>-3504.21</v>
      </c>
      <c r="AB29" s="1449" t="n">
        <v>14237</v>
      </c>
    </row>
    <row r="30" s="1449" customFormat="true" ht="15" hidden="false" customHeight="true" outlineLevel="0" collapsed="false">
      <c r="A30" s="1439" t="n">
        <v>2016</v>
      </c>
      <c r="B30" s="1456" t="n">
        <v>20405.58</v>
      </c>
      <c r="C30" s="1456" t="n">
        <v>18437.03</v>
      </c>
      <c r="D30" s="1457" t="n">
        <v>-363.99</v>
      </c>
      <c r="E30" s="1458" t="n">
        <v>54405</v>
      </c>
      <c r="F30" s="1265" t="n">
        <v>4405.96</v>
      </c>
      <c r="G30" s="1265" t="n">
        <v>2009.23</v>
      </c>
      <c r="H30" s="1439" t="n">
        <v>2016</v>
      </c>
      <c r="I30" s="1265" t="n">
        <v>1385.13</v>
      </c>
      <c r="J30" s="1459" t="n">
        <v>3997</v>
      </c>
      <c r="K30" s="1265" t="n">
        <v>66053.23</v>
      </c>
      <c r="L30" s="1265" t="n">
        <v>48304.64</v>
      </c>
      <c r="M30" s="1265" t="n">
        <v>7075.22</v>
      </c>
      <c r="N30" s="1459" t="n">
        <v>101622</v>
      </c>
      <c r="O30" s="1277" t="n">
        <f aca="false">B30+F30+K30</f>
        <v>90864.77</v>
      </c>
      <c r="P30" s="1277" t="n">
        <f aca="false">C30+G30+L30</f>
        <v>68750.9</v>
      </c>
      <c r="Q30" s="1277" t="n">
        <f aca="false">D30+I30+M30</f>
        <v>8096.36</v>
      </c>
      <c r="R30" s="1444" t="n">
        <f aca="false">E30+J30+N30</f>
        <v>160024</v>
      </c>
      <c r="S30" s="1439" t="n">
        <v>2016</v>
      </c>
      <c r="T30" s="1451" t="n">
        <v>2014</v>
      </c>
      <c r="U30" s="1439" t="s">
        <v>204</v>
      </c>
      <c r="V30" s="1440" t="s">
        <v>204</v>
      </c>
      <c r="W30" s="1439" t="s">
        <v>204</v>
      </c>
      <c r="X30" s="1439" t="s">
        <v>204</v>
      </c>
      <c r="Y30" s="1439" t="n">
        <v>1988.85</v>
      </c>
      <c r="Z30" s="1439" t="n">
        <v>1951.38</v>
      </c>
      <c r="AA30" s="1439" t="n">
        <v>2.91</v>
      </c>
      <c r="AB30" s="1439" t="n">
        <v>3115</v>
      </c>
    </row>
    <row r="31" customFormat="false" ht="15" hidden="false" customHeight="true" outlineLevel="0" collapsed="false">
      <c r="A31" s="1441" t="n">
        <v>2017</v>
      </c>
      <c r="B31" s="1441" t="n">
        <v>20829.87</v>
      </c>
      <c r="C31" s="1441" t="n">
        <v>17032.49</v>
      </c>
      <c r="D31" s="1441" t="n">
        <v>1091.04</v>
      </c>
      <c r="E31" s="1441" t="n">
        <v>51483</v>
      </c>
      <c r="F31" s="1441" t="n">
        <v>4369.22</v>
      </c>
      <c r="G31" s="1441" t="n">
        <v>2027.35</v>
      </c>
      <c r="H31" s="1441" t="n">
        <v>2017</v>
      </c>
      <c r="I31" s="1441" t="n">
        <v>1324.35</v>
      </c>
      <c r="J31" s="1441" t="n">
        <v>4003</v>
      </c>
      <c r="K31" s="1447" t="n">
        <v>71888.84</v>
      </c>
      <c r="L31" s="1447" t="n">
        <v>53138.79</v>
      </c>
      <c r="M31" s="1447" t="n">
        <v>6877.83</v>
      </c>
      <c r="N31" s="1448" t="n">
        <v>107255</v>
      </c>
      <c r="O31" s="1447" t="n">
        <f aca="false">B31+F31+K31</f>
        <v>97087.93</v>
      </c>
      <c r="P31" s="1447" t="n">
        <f aca="false">C31+G31+L31</f>
        <v>72198.63</v>
      </c>
      <c r="Q31" s="1447" t="n">
        <f aca="false">D31+I31+M31</f>
        <v>9293.22</v>
      </c>
      <c r="R31" s="1448" t="n">
        <f aca="false">E31+J31+N31</f>
        <v>162741</v>
      </c>
      <c r="S31" s="1446" t="n">
        <v>2017</v>
      </c>
      <c r="T31" s="653" t="s">
        <v>209</v>
      </c>
      <c r="U31" s="1449" t="n">
        <v>2807.48</v>
      </c>
      <c r="V31" s="1450" t="n">
        <v>5430.4472</v>
      </c>
      <c r="W31" s="1450" t="n">
        <v>-2622.97</v>
      </c>
      <c r="X31" s="1449" t="n">
        <v>6067</v>
      </c>
      <c r="Y31" s="1449" t="n">
        <v>2105.12</v>
      </c>
      <c r="Z31" s="1449" t="n">
        <v>2551.56</v>
      </c>
      <c r="AA31" s="1450" t="n">
        <v>-247.5</v>
      </c>
      <c r="AB31" s="1449" t="n">
        <v>14094</v>
      </c>
    </row>
    <row r="32" customFormat="false" ht="15" hidden="false" customHeight="true" outlineLevel="0" collapsed="false">
      <c r="A32" s="1460" t="n">
        <v>2018</v>
      </c>
      <c r="B32" s="1460" t="n">
        <v>21746.61</v>
      </c>
      <c r="C32" s="1460" t="n">
        <v>17483.86</v>
      </c>
      <c r="D32" s="1460" t="n">
        <v>113.45</v>
      </c>
      <c r="E32" s="1460" t="n">
        <v>49552</v>
      </c>
      <c r="F32" s="1460" t="n">
        <v>5123.65</v>
      </c>
      <c r="G32" s="1460" t="n">
        <v>2321.98</v>
      </c>
      <c r="H32" s="1460" t="n">
        <v>2018</v>
      </c>
      <c r="I32" s="1460" t="n">
        <v>1630.73</v>
      </c>
      <c r="J32" s="1460" t="n">
        <v>3935</v>
      </c>
      <c r="K32" s="1461" t="n">
        <v>84994.49</v>
      </c>
      <c r="L32" s="1461" t="n">
        <v>65262.56</v>
      </c>
      <c r="M32" s="1461" t="n">
        <v>7866.64</v>
      </c>
      <c r="N32" s="1462" t="n">
        <v>114080</v>
      </c>
      <c r="O32" s="1461" t="n">
        <f aca="false">B32+F32+K32</f>
        <v>111864.75</v>
      </c>
      <c r="P32" s="1461" t="n">
        <f aca="false">C32+G32+L32</f>
        <v>85068.4</v>
      </c>
      <c r="Q32" s="1461" t="n">
        <f aca="false">D32+I32+M32</f>
        <v>9610.82</v>
      </c>
      <c r="R32" s="1462" t="n">
        <f aca="false">E32+J32+N32</f>
        <v>167567</v>
      </c>
      <c r="S32" s="1463" t="n">
        <v>2018</v>
      </c>
      <c r="T32" s="1438" t="s">
        <v>211</v>
      </c>
      <c r="U32" s="1439" t="n">
        <v>3502.18</v>
      </c>
      <c r="V32" s="1440" t="n">
        <v>3349.162</v>
      </c>
      <c r="W32" s="1440" t="n">
        <v>153.02</v>
      </c>
      <c r="X32" s="1439" t="n">
        <v>5726</v>
      </c>
      <c r="Y32" s="1440" t="n">
        <v>2060.8</v>
      </c>
      <c r="Z32" s="1440" t="n">
        <v>2816.86</v>
      </c>
      <c r="AA32" s="1439" t="n">
        <v>-674.71</v>
      </c>
      <c r="AB32" s="1439" t="n">
        <v>13200</v>
      </c>
    </row>
    <row r="33" customFormat="false" ht="15" hidden="false" customHeight="true" outlineLevel="0" collapsed="false">
      <c r="K33" s="839"/>
      <c r="L33" s="839"/>
      <c r="M33" s="839"/>
      <c r="N33" s="839"/>
      <c r="O33" s="839"/>
      <c r="P33" s="839"/>
      <c r="Q33" s="839"/>
      <c r="R33" s="839"/>
      <c r="S33" s="839"/>
      <c r="T33" s="653" t="s">
        <v>212</v>
      </c>
      <c r="U33" s="1450" t="n">
        <v>10866.4358</v>
      </c>
      <c r="V33" s="1450" t="n">
        <v>3379.3724</v>
      </c>
      <c r="W33" s="1450" t="n">
        <f aca="false">U33-V33</f>
        <v>7487.0634</v>
      </c>
      <c r="X33" s="1449" t="n">
        <v>5664</v>
      </c>
      <c r="Y33" s="1450" t="n">
        <v>2155</v>
      </c>
      <c r="Z33" s="1450" t="n">
        <v>2921.68</v>
      </c>
      <c r="AA33" s="1449" t="n">
        <v>-555.75</v>
      </c>
      <c r="AB33" s="1449" t="n">
        <v>12286</v>
      </c>
    </row>
    <row r="34" customFormat="false" ht="15" hidden="false" customHeight="true" outlineLevel="0" collapsed="false">
      <c r="A34" s="1464" t="s">
        <v>2411</v>
      </c>
      <c r="B34" s="1465" t="s">
        <v>398</v>
      </c>
      <c r="C34" s="155"/>
      <c r="D34" s="1447"/>
      <c r="E34" s="1446"/>
      <c r="F34" s="1447"/>
      <c r="G34" s="1447"/>
      <c r="H34" s="1446"/>
      <c r="I34" s="1447"/>
      <c r="J34" s="1448"/>
      <c r="K34" s="839"/>
      <c r="L34" s="839"/>
      <c r="M34" s="839"/>
      <c r="N34" s="839"/>
      <c r="O34" s="839"/>
      <c r="P34" s="839"/>
      <c r="Q34" s="839"/>
      <c r="R34" s="839"/>
      <c r="S34" s="839"/>
      <c r="T34" s="1438" t="s">
        <v>213</v>
      </c>
      <c r="U34" s="1440" t="n">
        <v>14247.9123</v>
      </c>
      <c r="V34" s="1440" t="n">
        <v>4583.1831</v>
      </c>
      <c r="W34" s="1440" t="n">
        <f aca="false">U34-V34</f>
        <v>9664.7292</v>
      </c>
      <c r="X34" s="1439" t="n">
        <v>5741</v>
      </c>
      <c r="Y34" s="1440" t="n">
        <v>1952.69</v>
      </c>
      <c r="Z34" s="1440" t="n">
        <v>2861.6</v>
      </c>
      <c r="AA34" s="1439" t="n">
        <v>-610.83</v>
      </c>
      <c r="AB34" s="1439" t="n">
        <v>12470</v>
      </c>
    </row>
    <row r="35" customFormat="false" ht="15" hidden="false" customHeight="true" outlineLevel="0" collapsed="false">
      <c r="A35" s="1464"/>
      <c r="B35" s="1466" t="s">
        <v>2457</v>
      </c>
      <c r="C35" s="1466"/>
      <c r="D35" s="1466"/>
      <c r="E35" s="1466"/>
      <c r="F35" s="1467"/>
      <c r="G35" s="1467"/>
      <c r="H35" s="1467"/>
      <c r="I35" s="1467"/>
      <c r="J35" s="1467"/>
      <c r="K35" s="839"/>
      <c r="L35" s="839"/>
      <c r="M35" s="839"/>
      <c r="N35" s="839"/>
      <c r="O35" s="1468"/>
      <c r="P35" s="839"/>
      <c r="Q35" s="839"/>
      <c r="R35" s="839"/>
      <c r="S35" s="839"/>
      <c r="T35" s="1469" t="s">
        <v>226</v>
      </c>
      <c r="U35" s="1470" t="n">
        <v>8954.8859</v>
      </c>
      <c r="V35" s="1470" t="n">
        <v>3142.6429</v>
      </c>
      <c r="W35" s="1470" t="n">
        <f aca="false">U35-V35</f>
        <v>5812.243</v>
      </c>
      <c r="X35" s="1471" t="n">
        <v>6369</v>
      </c>
      <c r="Y35" s="1470" t="s">
        <v>204</v>
      </c>
      <c r="Z35" s="1470" t="s">
        <v>204</v>
      </c>
      <c r="AA35" s="1471" t="s">
        <v>204</v>
      </c>
      <c r="AB35" s="1471" t="s">
        <v>204</v>
      </c>
    </row>
    <row r="36" customFormat="false" ht="15" hidden="false" customHeight="true" outlineLevel="0" collapsed="false">
      <c r="A36" s="1464"/>
      <c r="B36" s="1466"/>
      <c r="C36" s="1466"/>
      <c r="D36" s="1466"/>
      <c r="E36" s="1466"/>
      <c r="F36" s="1467"/>
      <c r="G36" s="1467"/>
      <c r="H36" s="1467"/>
      <c r="I36" s="1467"/>
      <c r="J36" s="1467"/>
      <c r="K36" s="839"/>
      <c r="L36" s="839"/>
      <c r="M36" s="839"/>
      <c r="N36" s="839"/>
      <c r="O36" s="1468"/>
      <c r="P36" s="839"/>
      <c r="Q36" s="839"/>
      <c r="R36" s="839"/>
      <c r="S36" s="839"/>
      <c r="T36" s="1472" t="s">
        <v>2458</v>
      </c>
      <c r="U36" s="1472"/>
      <c r="V36" s="1472"/>
      <c r="W36" s="1472"/>
      <c r="X36" s="1472"/>
      <c r="Y36" s="1472"/>
      <c r="Z36" s="1472"/>
      <c r="AA36" s="1472"/>
      <c r="AB36" s="1472"/>
    </row>
    <row r="37" customFormat="false" ht="19.15" hidden="false" customHeight="true" outlineLevel="0" collapsed="false">
      <c r="A37" s="1402"/>
      <c r="K37" s="839"/>
      <c r="L37" s="839"/>
      <c r="M37" s="839"/>
      <c r="N37" s="839"/>
      <c r="O37" s="839"/>
      <c r="P37" s="839"/>
      <c r="Q37" s="839"/>
      <c r="R37" s="839"/>
      <c r="S37" s="839"/>
      <c r="T37" s="1473" t="s">
        <v>2459</v>
      </c>
      <c r="U37" s="1473"/>
      <c r="V37" s="1473"/>
      <c r="W37" s="1473"/>
      <c r="X37" s="1473"/>
      <c r="Y37" s="1473"/>
      <c r="Z37" s="1473"/>
      <c r="AA37" s="1473"/>
      <c r="AB37" s="1473"/>
    </row>
    <row r="38" customFormat="false" ht="19.5" hidden="false" customHeight="true" outlineLevel="0" collapsed="false">
      <c r="B38" s="1474"/>
      <c r="C38" s="1474"/>
      <c r="D38" s="1475"/>
      <c r="K38" s="1476"/>
      <c r="L38" s="1476"/>
      <c r="M38" s="1476"/>
      <c r="N38" s="1476"/>
      <c r="O38" s="1477"/>
      <c r="P38" s="1477"/>
      <c r="Q38" s="1477"/>
      <c r="R38" s="1477"/>
      <c r="S38" s="1476"/>
      <c r="T38" s="1473" t="s">
        <v>2460</v>
      </c>
      <c r="U38" s="1473"/>
      <c r="V38" s="1473"/>
      <c r="W38" s="1473"/>
      <c r="X38" s="1473"/>
      <c r="Y38" s="1473"/>
      <c r="Z38" s="1473"/>
      <c r="AA38" s="1473"/>
      <c r="AB38" s="1473"/>
    </row>
    <row r="39" customFormat="false" ht="19.5" hidden="false" customHeight="true" outlineLevel="0" collapsed="false">
      <c r="A39" s="1478"/>
      <c r="B39" s="1478"/>
      <c r="K39" s="1479"/>
      <c r="L39" s="1479"/>
      <c r="M39" s="1479"/>
      <c r="N39" s="1479"/>
      <c r="O39" s="1480"/>
      <c r="P39" s="1480"/>
      <c r="Q39" s="1480"/>
      <c r="R39" s="1480"/>
      <c r="S39" s="1479"/>
      <c r="T39" s="1481" t="s">
        <v>2461</v>
      </c>
      <c r="U39" s="1481"/>
      <c r="V39" s="1481"/>
      <c r="W39" s="1481"/>
      <c r="X39" s="1481"/>
      <c r="Y39" s="1481"/>
    </row>
    <row r="40" customFormat="false" ht="11.25" hidden="false" customHeight="true" outlineLevel="0" collapsed="false">
      <c r="A40" s="1478"/>
      <c r="B40" s="1478"/>
      <c r="C40" s="1478"/>
      <c r="D40" s="1478"/>
      <c r="E40" s="1478"/>
      <c r="F40" s="1478"/>
      <c r="G40" s="1478"/>
      <c r="I40" s="1478"/>
      <c r="J40" s="1478"/>
      <c r="K40" s="1478"/>
      <c r="L40" s="1478"/>
      <c r="M40" s="1478"/>
      <c r="N40" s="1478"/>
      <c r="O40" s="1479"/>
      <c r="P40" s="1479"/>
      <c r="Q40" s="1479"/>
      <c r="R40" s="1479"/>
      <c r="S40" s="1479"/>
    </row>
    <row r="41" customFormat="false" ht="15.75" hidden="false" customHeight="false" outlineLevel="0" collapsed="false">
      <c r="B41" s="1478"/>
      <c r="C41" s="1478"/>
      <c r="D41" s="1478"/>
      <c r="E41" s="1478"/>
      <c r="F41" s="1478"/>
      <c r="G41" s="1478"/>
      <c r="I41" s="1478"/>
      <c r="J41" s="1478"/>
      <c r="K41" s="1478"/>
      <c r="L41" s="1478"/>
      <c r="M41" s="1478"/>
      <c r="N41" s="1478"/>
      <c r="O41" s="1482"/>
      <c r="P41" s="1482"/>
      <c r="Q41" s="1482"/>
      <c r="R41" s="1482"/>
    </row>
    <row r="42" customFormat="false" ht="11.25" hidden="false" customHeight="false" outlineLevel="0" collapsed="false">
      <c r="I42" s="207"/>
      <c r="K42" s="839"/>
    </row>
    <row r="43" customFormat="false" ht="15" hidden="false" customHeight="false" outlineLevel="0" collapsed="false">
      <c r="I43" s="207"/>
      <c r="K43" s="839"/>
      <c r="Y43" s="1483"/>
      <c r="Z43" s="1483"/>
      <c r="AA43" s="1483"/>
      <c r="AB43" s="1483"/>
    </row>
    <row r="44" customFormat="false" ht="15" hidden="false" customHeight="false" outlineLevel="0" collapsed="false">
      <c r="K44" s="839"/>
      <c r="W44" s="254"/>
      <c r="Y44" s="1483"/>
      <c r="Z44" s="1483"/>
      <c r="AA44" s="1483"/>
      <c r="AB44" s="1483"/>
    </row>
    <row r="45" customFormat="false" ht="15" hidden="false" customHeight="false" outlineLevel="0" collapsed="false">
      <c r="K45" s="839"/>
      <c r="Y45" s="1483"/>
      <c r="Z45" s="1483"/>
      <c r="AA45" s="1483"/>
      <c r="AB45" s="1483"/>
    </row>
    <row r="46" customFormat="false" ht="15" hidden="false" customHeight="false" outlineLevel="0" collapsed="false">
      <c r="K46" s="839"/>
      <c r="Y46" s="1484"/>
      <c r="Z46" s="1484"/>
      <c r="AA46" s="1484"/>
      <c r="AB46" s="1484"/>
    </row>
    <row r="47" customFormat="false" ht="11.25" hidden="false" customHeight="false" outlineLevel="0" collapsed="false">
      <c r="K47" s="839"/>
    </row>
    <row r="48" customFormat="false" ht="11.25" hidden="false" customHeight="false" outlineLevel="0" collapsed="false">
      <c r="K48" s="839"/>
    </row>
    <row r="49" customFormat="false" ht="11.25" hidden="false" customHeight="false" outlineLevel="0" collapsed="false">
      <c r="K49" s="839"/>
    </row>
    <row r="50" customFormat="false" ht="11.25" hidden="false" customHeight="false" outlineLevel="0" collapsed="false">
      <c r="K50" s="839"/>
    </row>
    <row r="51" customFormat="false" ht="11.25" hidden="false" customHeight="false" outlineLevel="0" collapsed="false">
      <c r="K51" s="839"/>
    </row>
    <row r="52" customFormat="false" ht="11.25" hidden="false" customHeight="false" outlineLevel="0" collapsed="false">
      <c r="K52" s="839"/>
    </row>
    <row r="53" customFormat="false" ht="11.25" hidden="false" customHeight="false" outlineLevel="0" collapsed="false">
      <c r="K53" s="839"/>
    </row>
    <row r="54" customFormat="false" ht="11.25" hidden="false" customHeight="false" outlineLevel="0" collapsed="false">
      <c r="K54" s="839"/>
    </row>
    <row r="55" customFormat="false" ht="11.25" hidden="false" customHeight="false" outlineLevel="0" collapsed="false">
      <c r="K55" s="839"/>
    </row>
    <row r="56" customFormat="false" ht="11.25" hidden="false" customHeight="false" outlineLevel="0" collapsed="false">
      <c r="K56" s="839"/>
    </row>
    <row r="57" customFormat="false" ht="11.25" hidden="false" customHeight="false" outlineLevel="0" collapsed="false">
      <c r="K57" s="839"/>
    </row>
    <row r="58" customFormat="false" ht="11.25" hidden="false" customHeight="false" outlineLevel="0" collapsed="false">
      <c r="K58" s="839"/>
    </row>
    <row r="59" customFormat="false" ht="11.25" hidden="false" customHeight="false" outlineLevel="0" collapsed="false">
      <c r="K59" s="839"/>
    </row>
    <row r="60" customFormat="false" ht="11.25" hidden="false" customHeight="true" outlineLevel="0" collapsed="false">
      <c r="K60" s="839"/>
    </row>
    <row r="61" customFormat="false" ht="11.25" hidden="false" customHeight="false" outlineLevel="0" collapsed="false">
      <c r="K61" s="839"/>
    </row>
    <row r="62" customFormat="false" ht="11.25" hidden="false" customHeight="false" outlineLevel="0" collapsed="false">
      <c r="A62" s="839"/>
      <c r="B62" s="839"/>
      <c r="C62" s="839"/>
      <c r="D62" s="839"/>
      <c r="E62" s="839"/>
      <c r="F62" s="839"/>
      <c r="G62" s="839"/>
      <c r="H62" s="839"/>
      <c r="I62" s="839"/>
      <c r="J62" s="839"/>
      <c r="K62" s="839"/>
      <c r="L62" s="839"/>
      <c r="M62" s="839"/>
      <c r="N62" s="839"/>
      <c r="O62" s="839"/>
      <c r="P62" s="839"/>
      <c r="Q62" s="839"/>
      <c r="R62" s="839"/>
      <c r="S62" s="839"/>
    </row>
    <row r="63" customFormat="false" ht="11.25" hidden="false" customHeight="false" outlineLevel="0" collapsed="false">
      <c r="A63" s="839"/>
      <c r="B63" s="839"/>
      <c r="C63" s="839"/>
      <c r="D63" s="839"/>
      <c r="E63" s="839"/>
      <c r="F63" s="839"/>
      <c r="G63" s="839"/>
      <c r="H63" s="839"/>
      <c r="I63" s="839"/>
      <c r="J63" s="839"/>
      <c r="K63" s="839"/>
      <c r="L63" s="839"/>
      <c r="M63" s="839"/>
      <c r="N63" s="839"/>
      <c r="O63" s="839"/>
      <c r="P63" s="839"/>
      <c r="Q63" s="839"/>
      <c r="R63" s="839"/>
      <c r="S63" s="839"/>
    </row>
  </sheetData>
  <mergeCells count="39">
    <mergeCell ref="A2:E2"/>
    <mergeCell ref="F2:G2"/>
    <mergeCell ref="I2:N2"/>
    <mergeCell ref="O2:Q2"/>
    <mergeCell ref="R2:S2"/>
    <mergeCell ref="T2:Y2"/>
    <mergeCell ref="Z2:AB2"/>
    <mergeCell ref="A3:E3"/>
    <mergeCell ref="F3:G3"/>
    <mergeCell ref="M3:N3"/>
    <mergeCell ref="R3:S3"/>
    <mergeCell ref="T3:Z3"/>
    <mergeCell ref="AA3:AB3"/>
    <mergeCell ref="A4:A6"/>
    <mergeCell ref="B4:G4"/>
    <mergeCell ref="H4:H6"/>
    <mergeCell ref="I4:R4"/>
    <mergeCell ref="S4:S6"/>
    <mergeCell ref="T4:T6"/>
    <mergeCell ref="U4:X4"/>
    <mergeCell ref="Y4:AB4"/>
    <mergeCell ref="B5:E5"/>
    <mergeCell ref="F5:G5"/>
    <mergeCell ref="I5:J5"/>
    <mergeCell ref="K5:N5"/>
    <mergeCell ref="O5:R5"/>
    <mergeCell ref="U5:U6"/>
    <mergeCell ref="V5:V6"/>
    <mergeCell ref="W5:W6"/>
    <mergeCell ref="X5:X6"/>
    <mergeCell ref="Y5:Y6"/>
    <mergeCell ref="Z5:Z6"/>
    <mergeCell ref="AA5:AA6"/>
    <mergeCell ref="AB5:AB6"/>
    <mergeCell ref="B35:E35"/>
    <mergeCell ref="T36:AB36"/>
    <mergeCell ref="T37:AB37"/>
    <mergeCell ref="T38:AB38"/>
    <mergeCell ref="T39:Y39"/>
  </mergeCells>
  <printOptions headings="false" gridLines="false" gridLinesSet="true" horizontalCentered="false" verticalCentered="false"/>
  <pageMargins left="0.629861111111111" right="0.590277777777778" top="0.511805555555555" bottom="0.511805555555556" header="0.511805555555555" footer="0.747916666666667"/>
  <pageSetup paperSize="1" scale="100" firstPageNumber="79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>&amp;C&amp;"Times New Roman,Regular"&amp;8&amp;P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1" ySplit="3" topLeftCell="B37" activePane="bottomRight" state="frozen"/>
      <selection pane="topLeft" activeCell="A1" activeCellId="0" sqref="A1"/>
      <selection pane="topRight" activeCell="B1" activeCellId="0" sqref="B1"/>
      <selection pane="bottomLeft" activeCell="A37" activeCellId="0" sqref="A37"/>
      <selection pane="bottomRight" activeCell="B54" activeCellId="0" sqref="B54"/>
    </sheetView>
  </sheetViews>
  <sheetFormatPr defaultColWidth="9.15625" defaultRowHeight="11.25" zeroHeight="false" outlineLevelRow="0" outlineLevelCol="0"/>
  <cols>
    <col collapsed="false" customWidth="true" hidden="false" outlineLevel="0" max="1" min="1" style="965" width="12.29"/>
    <col collapsed="false" customWidth="true" hidden="false" outlineLevel="0" max="2" min="2" style="939" width="19.85"/>
    <col collapsed="false" customWidth="true" hidden="false" outlineLevel="0" max="3" min="3" style="939" width="20.29"/>
    <col collapsed="false" customWidth="true" hidden="false" outlineLevel="0" max="4" min="4" style="939" width="19.14"/>
    <col collapsed="false" customWidth="true" hidden="false" outlineLevel="0" max="6" min="5" style="939" width="10"/>
    <col collapsed="false" customWidth="false" hidden="false" outlineLevel="0" max="10" min="7" style="939" width="9.14"/>
    <col collapsed="false" customWidth="true" hidden="false" outlineLevel="0" max="11" min="11" style="939" width="11.29"/>
    <col collapsed="false" customWidth="true" hidden="false" outlineLevel="0" max="12" min="12" style="939" width="8.71"/>
    <col collapsed="false" customWidth="false" hidden="false" outlineLevel="0" max="15" min="13" style="939" width="9.14"/>
    <col collapsed="false" customWidth="true" hidden="false" outlineLevel="0" max="16" min="16" style="939" width="11.86"/>
    <col collapsed="false" customWidth="false" hidden="false" outlineLevel="0" max="1024" min="17" style="939" width="9.14"/>
  </cols>
  <sheetData>
    <row r="1" s="1487" customFormat="true" ht="47.25" hidden="false" customHeight="true" outlineLevel="0" collapsed="false">
      <c r="A1" s="1485" t="s">
        <v>2462</v>
      </c>
      <c r="B1" s="1485"/>
      <c r="C1" s="1485"/>
      <c r="D1" s="1486" t="s">
        <v>2463</v>
      </c>
      <c r="E1" s="118"/>
      <c r="F1" s="118"/>
      <c r="G1" s="118"/>
    </row>
    <row r="2" s="1489" customFormat="true" ht="12" hidden="false" customHeight="true" outlineLevel="0" collapsed="false">
      <c r="A2" s="1488" t="s">
        <v>260</v>
      </c>
      <c r="B2" s="448" t="s">
        <v>2464</v>
      </c>
      <c r="C2" s="447" t="s">
        <v>2465</v>
      </c>
      <c r="D2" s="447"/>
    </row>
    <row r="3" s="1489" customFormat="true" ht="12.75" hidden="false" customHeight="true" outlineLevel="0" collapsed="false">
      <c r="A3" s="1488"/>
      <c r="B3" s="448"/>
      <c r="C3" s="447" t="s">
        <v>2466</v>
      </c>
      <c r="D3" s="447" t="s">
        <v>2467</v>
      </c>
    </row>
    <row r="4" customFormat="false" ht="10.5" hidden="false" customHeight="true" outlineLevel="0" collapsed="false">
      <c r="A4" s="1490" t="s">
        <v>203</v>
      </c>
      <c r="B4" s="938" t="n">
        <v>427180</v>
      </c>
      <c r="C4" s="170" t="n">
        <v>10987.4</v>
      </c>
      <c r="D4" s="172" t="n">
        <v>76010.8332</v>
      </c>
      <c r="E4" s="1491"/>
      <c r="F4" s="1491"/>
    </row>
    <row r="5" s="364" customFormat="true" ht="10.5" hidden="false" customHeight="true" outlineLevel="0" collapsed="false">
      <c r="A5" s="1492" t="s">
        <v>205</v>
      </c>
      <c r="B5" s="949" t="n">
        <v>439375</v>
      </c>
      <c r="C5" s="161" t="n">
        <v>11650.32</v>
      </c>
      <c r="D5" s="160" t="n">
        <v>83008.8850673825</v>
      </c>
      <c r="E5" s="1493"/>
      <c r="F5" s="1493"/>
    </row>
    <row r="6" s="364" customFormat="true" ht="10.5" hidden="false" customHeight="true" outlineLevel="0" collapsed="false">
      <c r="A6" s="1490" t="s">
        <v>282</v>
      </c>
      <c r="B6" s="938" t="n">
        <v>691402</v>
      </c>
      <c r="C6" s="170" t="n">
        <v>12843.43</v>
      </c>
      <c r="D6" s="172" t="n">
        <v>101591.5313</v>
      </c>
      <c r="E6" s="1493"/>
      <c r="F6" s="1491"/>
    </row>
    <row r="7" s="364" customFormat="true" ht="10.5" hidden="false" customHeight="true" outlineLevel="0" collapsed="false">
      <c r="A7" s="1492" t="s">
        <v>207</v>
      </c>
      <c r="B7" s="949" t="n">
        <v>441301</v>
      </c>
      <c r="C7" s="161" t="n">
        <v>14461.15</v>
      </c>
      <c r="D7" s="160" t="n">
        <v>115646.158019278</v>
      </c>
      <c r="E7" s="1493"/>
      <c r="F7" s="1493"/>
    </row>
    <row r="8" s="364" customFormat="true" ht="10.5" hidden="false" customHeight="true" outlineLevel="0" collapsed="false">
      <c r="A8" s="1490" t="s">
        <v>208</v>
      </c>
      <c r="B8" s="173" t="n">
        <v>408870</v>
      </c>
      <c r="C8" s="172" t="n">
        <v>14228.3</v>
      </c>
      <c r="D8" s="172" t="n">
        <v>110582.38341699</v>
      </c>
      <c r="E8" s="1493"/>
      <c r="F8" s="1491"/>
    </row>
    <row r="9" s="364" customFormat="true" ht="10.5" hidden="false" customHeight="true" outlineLevel="0" collapsed="false">
      <c r="A9" s="1492" t="s">
        <v>209</v>
      </c>
      <c r="B9" s="1494" t="n">
        <v>461829</v>
      </c>
      <c r="C9" s="1494" t="n">
        <v>15316.91</v>
      </c>
      <c r="D9" s="1495" t="n">
        <v>118982.315472761</v>
      </c>
      <c r="E9" s="1493"/>
      <c r="F9" s="1493"/>
    </row>
    <row r="10" s="364" customFormat="true" ht="10.5" hidden="false" customHeight="true" outlineLevel="0" collapsed="false">
      <c r="A10" s="471" t="s">
        <v>211</v>
      </c>
      <c r="B10" s="1496" t="n">
        <v>684537</v>
      </c>
      <c r="C10" s="1497" t="n">
        <v>14931.18</v>
      </c>
      <c r="D10" s="1497" t="n">
        <v>116856.720880781</v>
      </c>
      <c r="E10" s="1493"/>
      <c r="F10" s="1491"/>
    </row>
    <row r="11" s="364" customFormat="true" ht="10.5" hidden="false" customHeight="true" outlineLevel="0" collapsed="false">
      <c r="A11" s="478" t="s">
        <v>725</v>
      </c>
      <c r="B11" s="1498" t="n">
        <v>905326</v>
      </c>
      <c r="C11" s="1499" t="n">
        <v>12769.45</v>
      </c>
      <c r="D11" s="1499" t="n">
        <v>101098.96241417</v>
      </c>
      <c r="E11" s="1493"/>
      <c r="F11" s="1493"/>
    </row>
    <row r="12" s="364" customFormat="true" ht="10.5" hidden="false" customHeight="true" outlineLevel="0" collapsed="false">
      <c r="A12" s="475" t="s">
        <v>213</v>
      </c>
      <c r="B12" s="1500" t="n">
        <f aca="false">SUM(B13:B24)</f>
        <v>880037</v>
      </c>
      <c r="C12" s="1501" t="n">
        <f aca="false">SUM(C13:C24)</f>
        <v>14981.69</v>
      </c>
      <c r="D12" s="1501" t="n">
        <f aca="false">SUM(D13:D24)</f>
        <v>123156.004940445</v>
      </c>
      <c r="E12" s="1493"/>
      <c r="F12" s="1493"/>
    </row>
    <row r="13" s="364" customFormat="true" ht="10.5" hidden="false" customHeight="true" outlineLevel="0" collapsed="false">
      <c r="A13" s="473" t="s">
        <v>214</v>
      </c>
      <c r="B13" s="1502" t="n">
        <v>76215</v>
      </c>
      <c r="C13" s="1503" t="n">
        <v>1115.57</v>
      </c>
      <c r="D13" s="187" t="n">
        <v>8994.4169934</v>
      </c>
      <c r="E13" s="1493"/>
      <c r="F13" s="1493"/>
    </row>
    <row r="14" s="364" customFormat="true" ht="10.5" hidden="false" customHeight="true" outlineLevel="0" collapsed="false">
      <c r="A14" s="471" t="s">
        <v>215</v>
      </c>
      <c r="B14" s="1496" t="n">
        <v>93341</v>
      </c>
      <c r="C14" s="1504" t="n">
        <v>1418.58</v>
      </c>
      <c r="D14" s="193" t="n">
        <v>11447.0468946</v>
      </c>
      <c r="E14" s="1493"/>
      <c r="F14" s="1493"/>
    </row>
    <row r="15" s="364" customFormat="true" ht="10.5" hidden="false" customHeight="true" outlineLevel="0" collapsed="false">
      <c r="A15" s="473" t="s">
        <v>216</v>
      </c>
      <c r="B15" s="1502" t="n">
        <v>46415</v>
      </c>
      <c r="C15" s="1503" t="n">
        <v>856.87</v>
      </c>
      <c r="D15" s="187" t="n">
        <v>6917.9742198</v>
      </c>
      <c r="E15" s="1493"/>
      <c r="F15" s="1493"/>
    </row>
    <row r="16" s="364" customFormat="true" ht="10.5" hidden="false" customHeight="true" outlineLevel="0" collapsed="false">
      <c r="A16" s="471" t="s">
        <v>217</v>
      </c>
      <c r="B16" s="1496" t="n">
        <v>98312</v>
      </c>
      <c r="C16" s="1504" t="n">
        <v>1162.77</v>
      </c>
      <c r="D16" s="193" t="n">
        <v>9397.528651245</v>
      </c>
      <c r="E16" s="1493"/>
      <c r="F16" s="1493"/>
    </row>
    <row r="17" s="364" customFormat="true" ht="10.5" hidden="false" customHeight="true" outlineLevel="0" collapsed="false">
      <c r="A17" s="473" t="s">
        <v>218</v>
      </c>
      <c r="B17" s="1502" t="n">
        <v>97059</v>
      </c>
      <c r="C17" s="1503" t="n">
        <v>1214.75</v>
      </c>
      <c r="D17" s="187" t="n">
        <v>9870.451125</v>
      </c>
      <c r="E17" s="1493"/>
      <c r="F17" s="1493"/>
    </row>
    <row r="18" s="364" customFormat="true" ht="10.5" hidden="false" customHeight="true" outlineLevel="0" collapsed="false">
      <c r="A18" s="471" t="s">
        <v>219</v>
      </c>
      <c r="B18" s="1496" t="n">
        <v>76693</v>
      </c>
      <c r="C18" s="1504" t="n">
        <v>1163.82</v>
      </c>
      <c r="D18" s="193" t="n">
        <v>9607.566864</v>
      </c>
      <c r="E18" s="1493"/>
      <c r="F18" s="1493"/>
    </row>
    <row r="19" s="364" customFormat="true" ht="10.5" hidden="false" customHeight="true" outlineLevel="0" collapsed="false">
      <c r="A19" s="473" t="s">
        <v>220</v>
      </c>
      <c r="B19" s="1502" t="n">
        <v>81846</v>
      </c>
      <c r="C19" s="1503" t="n">
        <v>1379.79</v>
      </c>
      <c r="D19" s="187" t="n">
        <v>11426.730885</v>
      </c>
      <c r="E19" s="1493"/>
      <c r="F19" s="1493"/>
    </row>
    <row r="20" s="364" customFormat="true" ht="10.5" hidden="false" customHeight="true" outlineLevel="0" collapsed="false">
      <c r="A20" s="471" t="s">
        <v>221</v>
      </c>
      <c r="B20" s="1496" t="n">
        <v>59382</v>
      </c>
      <c r="C20" s="1496" t="n">
        <v>1149.08</v>
      </c>
      <c r="D20" s="1497" t="n">
        <v>9528.1253968</v>
      </c>
      <c r="E20" s="1493"/>
      <c r="F20" s="1493"/>
    </row>
    <row r="21" s="364" customFormat="true" ht="10.5" hidden="false" customHeight="true" outlineLevel="0" collapsed="false">
      <c r="A21" s="473" t="s">
        <v>222</v>
      </c>
      <c r="B21" s="1502" t="n">
        <v>62973</v>
      </c>
      <c r="C21" s="1503" t="n">
        <v>1299.77</v>
      </c>
      <c r="D21" s="187" t="n">
        <v>10782.89192</v>
      </c>
      <c r="E21" s="1493"/>
      <c r="F21" s="1493"/>
    </row>
    <row r="22" s="364" customFormat="true" ht="10.5" hidden="false" customHeight="true" outlineLevel="0" collapsed="false">
      <c r="A22" s="471" t="s">
        <v>223</v>
      </c>
      <c r="B22" s="1496" t="n">
        <v>69103</v>
      </c>
      <c r="C22" s="1504" t="n">
        <v>1331.33</v>
      </c>
      <c r="D22" s="193" t="n">
        <v>11046.6574218</v>
      </c>
      <c r="E22" s="1493"/>
      <c r="F22" s="1493"/>
    </row>
    <row r="23" s="364" customFormat="true" ht="10.5" hidden="false" customHeight="true" outlineLevel="0" collapsed="false">
      <c r="A23" s="473" t="s">
        <v>224</v>
      </c>
      <c r="B23" s="1502" t="n">
        <v>73723</v>
      </c>
      <c r="C23" s="1503" t="n">
        <v>1504.98</v>
      </c>
      <c r="D23" s="187" t="n">
        <v>12549.2155308</v>
      </c>
      <c r="E23" s="1493"/>
      <c r="F23" s="1493"/>
    </row>
    <row r="24" s="364" customFormat="true" ht="10.5" hidden="false" customHeight="true" outlineLevel="0" collapsed="false">
      <c r="A24" s="471" t="s">
        <v>225</v>
      </c>
      <c r="B24" s="1496" t="n">
        <v>44975</v>
      </c>
      <c r="C24" s="1504" t="n">
        <v>1384.38</v>
      </c>
      <c r="D24" s="193" t="n">
        <v>11587.399038</v>
      </c>
      <c r="E24" s="1493"/>
      <c r="F24" s="1493"/>
    </row>
    <row r="25" s="364" customFormat="true" ht="10.5" hidden="false" customHeight="true" outlineLevel="0" collapsed="false">
      <c r="A25" s="478" t="s">
        <v>226</v>
      </c>
      <c r="B25" s="1498" t="n">
        <f aca="false">SUM(B26:B37)</f>
        <v>692978</v>
      </c>
      <c r="C25" s="1499" t="n">
        <f aca="false">SUM(C26:C37)</f>
        <v>16419.63</v>
      </c>
      <c r="D25" s="1499" t="n">
        <f aca="false">SUM(D26:D37)</f>
        <v>138006.5716847</v>
      </c>
      <c r="E25" s="1493"/>
      <c r="F25" s="1493"/>
    </row>
    <row r="26" s="364" customFormat="true" ht="10.5" hidden="false" customHeight="true" outlineLevel="0" collapsed="false">
      <c r="A26" s="471" t="s">
        <v>214</v>
      </c>
      <c r="B26" s="1496" t="n">
        <v>58627</v>
      </c>
      <c r="C26" s="1504" t="n">
        <v>1318.18</v>
      </c>
      <c r="D26" s="193" t="n">
        <v>11039.3884096</v>
      </c>
      <c r="E26" s="1493"/>
      <c r="F26" s="1493"/>
      <c r="J26" s="1493"/>
    </row>
    <row r="27" s="364" customFormat="true" ht="10.5" hidden="false" customHeight="true" outlineLevel="0" collapsed="false">
      <c r="A27" s="473" t="s">
        <v>215</v>
      </c>
      <c r="B27" s="1502" t="n">
        <v>49727</v>
      </c>
      <c r="C27" s="1503" t="n">
        <v>1411.05</v>
      </c>
      <c r="D27" s="187" t="n">
        <v>11817.54375</v>
      </c>
      <c r="E27" s="1493"/>
      <c r="F27" s="1493"/>
    </row>
    <row r="28" customFormat="false" ht="10.5" hidden="false" customHeight="true" outlineLevel="0" collapsed="false">
      <c r="A28" s="471" t="s">
        <v>216</v>
      </c>
      <c r="B28" s="1505" t="n">
        <v>55037</v>
      </c>
      <c r="C28" s="1504" t="n">
        <v>1139.66</v>
      </c>
      <c r="D28" s="193" t="n">
        <v>9544.6525</v>
      </c>
      <c r="E28" s="364"/>
      <c r="F28" s="364"/>
    </row>
    <row r="29" customFormat="false" ht="10.5" hidden="false" customHeight="true" outlineLevel="0" collapsed="false">
      <c r="A29" s="473" t="s">
        <v>217</v>
      </c>
      <c r="B29" s="1506" t="n">
        <v>59192</v>
      </c>
      <c r="C29" s="1503" t="n">
        <v>1239.11</v>
      </c>
      <c r="D29" s="187" t="n">
        <v>10385.8111137</v>
      </c>
      <c r="E29" s="364"/>
      <c r="F29" s="364"/>
    </row>
    <row r="30" customFormat="false" ht="10.5" hidden="false" customHeight="true" outlineLevel="0" collapsed="false">
      <c r="A30" s="471" t="s">
        <v>218</v>
      </c>
      <c r="B30" s="1505" t="n">
        <v>70377</v>
      </c>
      <c r="C30" s="1504" t="n">
        <v>1180.44</v>
      </c>
      <c r="D30" s="193" t="n">
        <v>9900.763434</v>
      </c>
      <c r="E30" s="364"/>
      <c r="F30" s="364"/>
    </row>
    <row r="31" customFormat="false" ht="10.5" hidden="false" customHeight="true" outlineLevel="0" collapsed="false">
      <c r="A31" s="473" t="s">
        <v>219</v>
      </c>
      <c r="B31" s="1506" t="n">
        <v>49219</v>
      </c>
      <c r="C31" s="1503" t="n">
        <v>1206.91</v>
      </c>
      <c r="D31" s="187" t="n">
        <v>10125.9749</v>
      </c>
      <c r="E31" s="364"/>
      <c r="F31" s="364"/>
    </row>
    <row r="32" customFormat="false" ht="10.5" hidden="false" customHeight="true" outlineLevel="0" collapsed="false">
      <c r="A32" s="471" t="s">
        <v>220</v>
      </c>
      <c r="B32" s="1505" t="n">
        <v>62236</v>
      </c>
      <c r="C32" s="1504" t="n">
        <v>1597.21</v>
      </c>
      <c r="D32" s="193" t="n">
        <v>13407.2522657</v>
      </c>
      <c r="E32" s="364"/>
      <c r="F32" s="364"/>
    </row>
    <row r="33" customFormat="false" ht="10.5" hidden="false" customHeight="true" outlineLevel="0" collapsed="false">
      <c r="A33" s="473" t="s">
        <v>221</v>
      </c>
      <c r="B33" s="1506" t="n">
        <v>53617</v>
      </c>
      <c r="C33" s="1503" t="n">
        <v>1317.73</v>
      </c>
      <c r="D33" s="187" t="n">
        <v>11074.4269341</v>
      </c>
      <c r="E33" s="364"/>
      <c r="F33" s="364"/>
    </row>
    <row r="34" customFormat="false" ht="10.5" hidden="false" customHeight="true" outlineLevel="0" collapsed="false">
      <c r="A34" s="471" t="s">
        <v>222</v>
      </c>
      <c r="B34" s="1505" t="n">
        <v>58458</v>
      </c>
      <c r="C34" s="1504" t="n">
        <v>1458.68</v>
      </c>
      <c r="D34" s="193" t="n">
        <v>12283.2671308</v>
      </c>
      <c r="E34" s="364"/>
      <c r="F34" s="364"/>
      <c r="H34" s="364"/>
      <c r="I34" s="364"/>
      <c r="J34" s="364"/>
    </row>
    <row r="35" s="364" customFormat="true" ht="10.5" hidden="false" customHeight="true" outlineLevel="0" collapsed="false">
      <c r="A35" s="473" t="s">
        <v>223</v>
      </c>
      <c r="B35" s="1506" t="n">
        <v>64259</v>
      </c>
      <c r="C35" s="1503" t="n">
        <v>1434.3</v>
      </c>
      <c r="D35" s="187" t="n">
        <v>12095.59533</v>
      </c>
    </row>
    <row r="36" s="364" customFormat="true" ht="10.5" hidden="false" customHeight="true" outlineLevel="0" collapsed="false">
      <c r="A36" s="471" t="s">
        <v>224</v>
      </c>
      <c r="B36" s="1505" t="n">
        <v>63848</v>
      </c>
      <c r="C36" s="1504" t="n">
        <v>1748.16</v>
      </c>
      <c r="D36" s="193" t="n">
        <v>14770.6059168</v>
      </c>
    </row>
    <row r="37" s="364" customFormat="true" ht="10.5" hidden="false" customHeight="true" outlineLevel="0" collapsed="false">
      <c r="A37" s="473" t="s">
        <v>225</v>
      </c>
      <c r="B37" s="1506" t="n">
        <v>48381</v>
      </c>
      <c r="C37" s="1503" t="n">
        <v>1368.2</v>
      </c>
      <c r="D37" s="187" t="n">
        <v>11561.29</v>
      </c>
    </row>
    <row r="38" s="364" customFormat="true" ht="10.5" hidden="false" customHeight="true" outlineLevel="0" collapsed="false">
      <c r="A38" s="475" t="s">
        <v>227</v>
      </c>
      <c r="B38" s="1500" t="n">
        <f aca="false">SUM(B39:B50)</f>
        <v>530578</v>
      </c>
      <c r="C38" s="1501" t="n">
        <f aca="false">SUM(C39:C50)</f>
        <v>18205.01</v>
      </c>
      <c r="D38" s="1501" t="n">
        <f aca="false">SUM(D39:D50)</f>
        <v>154353.0611469</v>
      </c>
    </row>
    <row r="39" s="364" customFormat="true" ht="10.5" hidden="false" customHeight="true" outlineLevel="0" collapsed="false">
      <c r="A39" s="889" t="s">
        <v>214</v>
      </c>
      <c r="B39" s="1506" t="n">
        <v>55307</v>
      </c>
      <c r="C39" s="1503" t="n">
        <v>1597.69</v>
      </c>
      <c r="D39" s="187" t="n">
        <v>13500.4165924</v>
      </c>
      <c r="E39" s="1507" t="n">
        <v>13500.4165924</v>
      </c>
      <c r="F39" s="1508"/>
      <c r="G39" s="1507"/>
    </row>
    <row r="40" s="364" customFormat="true" ht="10.5" hidden="false" customHeight="true" outlineLevel="0" collapsed="false">
      <c r="A40" s="890" t="s">
        <v>215</v>
      </c>
      <c r="B40" s="1505" t="n">
        <v>35825</v>
      </c>
      <c r="C40" s="1504" t="n">
        <v>1444.75</v>
      </c>
      <c r="D40" s="1504" t="n">
        <v>12208.1375</v>
      </c>
      <c r="E40" s="1509"/>
      <c r="G40" s="1493"/>
      <c r="H40" s="1493"/>
    </row>
    <row r="41" s="364" customFormat="true" ht="10.5" hidden="false" customHeight="true" outlineLevel="0" collapsed="false">
      <c r="A41" s="889" t="s">
        <v>216</v>
      </c>
      <c r="B41" s="1506" t="n">
        <v>56742</v>
      </c>
      <c r="C41" s="1503" t="n">
        <v>1476.91</v>
      </c>
      <c r="D41" s="1503" t="n">
        <v>12479.8895</v>
      </c>
      <c r="E41" s="1163"/>
      <c r="F41" s="1493"/>
      <c r="G41" s="1493"/>
      <c r="H41" s="1493"/>
    </row>
    <row r="42" s="364" customFormat="true" ht="10.5" hidden="false" customHeight="true" outlineLevel="0" collapsed="false">
      <c r="A42" s="890" t="s">
        <v>217</v>
      </c>
      <c r="B42" s="1505" t="n">
        <v>78186</v>
      </c>
      <c r="C42" s="1504" t="n">
        <v>1641.67</v>
      </c>
      <c r="D42" s="1504" t="n">
        <v>13900.0527234</v>
      </c>
      <c r="E42" s="1163"/>
      <c r="F42" s="1493"/>
      <c r="G42" s="1493"/>
      <c r="H42" s="1493"/>
    </row>
    <row r="43" s="364" customFormat="true" ht="10.5" hidden="false" customHeight="true" outlineLevel="0" collapsed="false">
      <c r="A43" s="889" t="s">
        <v>218</v>
      </c>
      <c r="B43" s="1506" t="n">
        <v>62339</v>
      </c>
      <c r="C43" s="1503" t="n">
        <v>1555.23</v>
      </c>
      <c r="D43" s="1503" t="n">
        <v>13185.395463</v>
      </c>
      <c r="E43" s="1163"/>
      <c r="F43" s="1493"/>
      <c r="G43" s="1493"/>
      <c r="H43" s="1493"/>
    </row>
    <row r="44" s="364" customFormat="true" ht="10.5" hidden="false" customHeight="true" outlineLevel="0" collapsed="false">
      <c r="A44" s="890" t="s">
        <v>219</v>
      </c>
      <c r="B44" s="1505" t="n">
        <v>60961</v>
      </c>
      <c r="C44" s="1504" t="n">
        <v>1691.68</v>
      </c>
      <c r="D44" s="1504" t="n">
        <v>14362.0925312</v>
      </c>
      <c r="E44" s="1163"/>
      <c r="F44" s="1493"/>
      <c r="G44" s="1493"/>
      <c r="H44" s="1493"/>
    </row>
    <row r="45" s="364" customFormat="true" ht="10.5" hidden="false" customHeight="true" outlineLevel="0" collapsed="false">
      <c r="A45" s="889" t="s">
        <v>220</v>
      </c>
      <c r="B45" s="1506" t="n">
        <v>69988</v>
      </c>
      <c r="C45" s="1503" t="n">
        <v>1638.43</v>
      </c>
      <c r="D45" s="1503" t="n">
        <v>13910.2707</v>
      </c>
      <c r="E45" s="1163"/>
      <c r="F45" s="1493"/>
      <c r="G45" s="1493"/>
      <c r="H45" s="1493"/>
    </row>
    <row r="46" s="364" customFormat="true" ht="10.5" hidden="false" customHeight="true" outlineLevel="0" collapsed="false">
      <c r="A46" s="890" t="s">
        <v>221</v>
      </c>
      <c r="B46" s="1505" t="n">
        <v>59139</v>
      </c>
      <c r="C46" s="1504" t="n">
        <v>1452.2</v>
      </c>
      <c r="D46" s="1504" t="n">
        <v>12336.322824</v>
      </c>
      <c r="E46" s="1163"/>
      <c r="F46" s="1493"/>
      <c r="G46" s="1493"/>
      <c r="H46" s="1493"/>
    </row>
    <row r="47" s="364" customFormat="true" ht="10.5" hidden="false" customHeight="true" outlineLevel="0" collapsed="false">
      <c r="A47" s="889" t="s">
        <v>222</v>
      </c>
      <c r="B47" s="1506" t="n">
        <v>52091</v>
      </c>
      <c r="C47" s="1503" t="n">
        <v>1276.26</v>
      </c>
      <c r="D47" s="1503" t="n">
        <v>10841.8287</v>
      </c>
      <c r="E47" s="1163"/>
      <c r="F47" s="1493"/>
      <c r="G47" s="1493"/>
      <c r="H47" s="1493"/>
    </row>
    <row r="48" s="364" customFormat="true" ht="10.5" hidden="false" customHeight="true" outlineLevel="0" collapsed="false">
      <c r="A48" s="890" t="s">
        <v>223</v>
      </c>
      <c r="B48" s="1505" t="n">
        <v>0</v>
      </c>
      <c r="C48" s="1504" t="n">
        <v>1092.96</v>
      </c>
      <c r="D48" s="1504" t="n">
        <v>9284.6952</v>
      </c>
      <c r="E48" s="1163"/>
      <c r="F48" s="1493"/>
      <c r="G48" s="1493"/>
      <c r="H48" s="1493"/>
    </row>
    <row r="49" s="364" customFormat="true" ht="10.5" hidden="false" customHeight="true" outlineLevel="0" collapsed="false">
      <c r="A49" s="889" t="s">
        <v>224</v>
      </c>
      <c r="B49" s="1506" t="n">
        <v>0</v>
      </c>
      <c r="C49" s="1503" t="n">
        <v>1504.6</v>
      </c>
      <c r="D49" s="1503" t="n">
        <v>12781.577</v>
      </c>
      <c r="E49" s="1163"/>
      <c r="F49" s="1493"/>
      <c r="G49" s="1493"/>
      <c r="H49" s="1493"/>
    </row>
    <row r="50" s="364" customFormat="true" ht="10.5" hidden="false" customHeight="true" outlineLevel="0" collapsed="false">
      <c r="A50" s="890" t="s">
        <v>2468</v>
      </c>
      <c r="B50" s="1505" t="n">
        <v>0</v>
      </c>
      <c r="C50" s="1504" t="n">
        <v>1832.63</v>
      </c>
      <c r="D50" s="1504" t="n">
        <v>15562.3824129</v>
      </c>
      <c r="E50" s="1163"/>
      <c r="F50" s="1493"/>
      <c r="G50" s="1493"/>
      <c r="H50" s="1493"/>
    </row>
    <row r="51" s="364" customFormat="true" ht="10.5" hidden="false" customHeight="true" outlineLevel="0" collapsed="false">
      <c r="A51" s="478" t="s">
        <v>284</v>
      </c>
      <c r="B51" s="1506"/>
      <c r="C51" s="1503"/>
      <c r="D51" s="1503"/>
      <c r="E51" s="1163"/>
      <c r="F51" s="1493"/>
      <c r="G51" s="1493"/>
      <c r="H51" s="1493"/>
    </row>
    <row r="52" s="364" customFormat="true" ht="10.5" hidden="false" customHeight="true" outlineLevel="0" collapsed="false">
      <c r="A52" s="1055" t="s">
        <v>214</v>
      </c>
      <c r="B52" s="1510" t="s">
        <v>204</v>
      </c>
      <c r="C52" s="1511" t="n">
        <v>2599.56</v>
      </c>
      <c r="D52" s="1511" t="n">
        <v>22047.388272</v>
      </c>
      <c r="E52" s="1163"/>
      <c r="F52" s="1493"/>
      <c r="G52" s="1493"/>
      <c r="H52" s="1493"/>
    </row>
    <row r="53" customFormat="false" ht="12.75" hidden="false" customHeight="true" outlineLevel="0" collapsed="false">
      <c r="A53" s="821" t="s">
        <v>2469</v>
      </c>
      <c r="B53" s="817" t="s">
        <v>2470</v>
      </c>
      <c r="C53" s="817"/>
      <c r="D53" s="1199"/>
      <c r="G53" s="1493"/>
      <c r="H53" s="1493"/>
    </row>
    <row r="54" customFormat="false" ht="11.25" hidden="false" customHeight="true" outlineLevel="0" collapsed="false">
      <c r="A54" s="821" t="s">
        <v>2471</v>
      </c>
      <c r="B54" s="817" t="s">
        <v>2472</v>
      </c>
      <c r="C54" s="817"/>
      <c r="D54" s="1512"/>
      <c r="G54" s="1493"/>
    </row>
    <row r="55" customFormat="false" ht="11.25" hidden="false" customHeight="false" outlineLevel="0" collapsed="false">
      <c r="A55" s="814"/>
      <c r="B55" s="1513" t="s">
        <v>2473</v>
      </c>
      <c r="C55" s="1513"/>
      <c r="D55" s="1513"/>
      <c r="G55" s="1493"/>
    </row>
    <row r="56" customFormat="false" ht="11.25" hidden="false" customHeight="false" outlineLevel="0" collapsed="false">
      <c r="A56" s="1514"/>
      <c r="B56" s="515" t="s">
        <v>543</v>
      </c>
      <c r="G56" s="1493"/>
    </row>
    <row r="57" customFormat="false" ht="11.25" hidden="false" customHeight="false" outlineLevel="0" collapsed="false">
      <c r="A57" s="1514"/>
      <c r="B57" s="1094" t="s">
        <v>701</v>
      </c>
    </row>
    <row r="58" customFormat="false" ht="11.25" hidden="false" customHeight="false" outlineLevel="0" collapsed="false">
      <c r="A58" s="1514"/>
      <c r="B58" s="1094"/>
      <c r="F58" s="1491"/>
      <c r="G58" s="1491"/>
      <c r="H58" s="1491"/>
    </row>
    <row r="59" customFormat="false" ht="11.25" hidden="false" customHeight="false" outlineLevel="0" collapsed="false">
      <c r="A59" s="1514"/>
      <c r="B59" s="1515"/>
      <c r="F59" s="1491"/>
      <c r="G59" s="1491"/>
      <c r="H59" s="1491"/>
    </row>
    <row r="60" customFormat="false" ht="11.25" hidden="false" customHeight="false" outlineLevel="0" collapsed="false">
      <c r="A60" s="1514"/>
      <c r="B60" s="1515"/>
      <c r="F60" s="1491"/>
      <c r="G60" s="1491"/>
      <c r="H60" s="1491"/>
    </row>
    <row r="61" customFormat="false" ht="11.25" hidden="false" customHeight="false" outlineLevel="0" collapsed="false">
      <c r="A61" s="1514"/>
      <c r="B61" s="1515"/>
      <c r="F61" s="1491"/>
      <c r="G61" s="1491"/>
      <c r="H61" s="1491"/>
    </row>
    <row r="62" customFormat="false" ht="11.25" hidden="false" customHeight="false" outlineLevel="0" collapsed="false">
      <c r="A62" s="1514"/>
      <c r="B62" s="1094"/>
    </row>
    <row r="63" customFormat="false" ht="11.25" hidden="false" customHeight="false" outlineLevel="0" collapsed="false">
      <c r="A63" s="1514"/>
      <c r="B63" s="1094"/>
    </row>
    <row r="64" customFormat="false" ht="11.25" hidden="false" customHeight="false" outlineLevel="0" collapsed="false">
      <c r="A64" s="1514"/>
      <c r="B64" s="1094"/>
    </row>
    <row r="65" customFormat="false" ht="11.25" hidden="false" customHeight="false" outlineLevel="0" collapsed="false">
      <c r="A65" s="1514"/>
      <c r="B65" s="1094"/>
    </row>
    <row r="66" customFormat="false" ht="11.25" hidden="false" customHeight="false" outlineLevel="0" collapsed="false">
      <c r="A66" s="1514"/>
      <c r="B66" s="1094"/>
    </row>
    <row r="67" customFormat="false" ht="11.25" hidden="false" customHeight="false" outlineLevel="0" collapsed="false">
      <c r="A67" s="1514"/>
      <c r="B67" s="1094"/>
    </row>
    <row r="68" customFormat="false" ht="11.25" hidden="false" customHeight="false" outlineLevel="0" collapsed="false">
      <c r="A68" s="1514"/>
      <c r="B68" s="1094"/>
    </row>
    <row r="69" customFormat="false" ht="11.25" hidden="false" customHeight="false" outlineLevel="0" collapsed="false">
      <c r="A69" s="1514"/>
      <c r="B69" s="1094"/>
    </row>
    <row r="70" customFormat="false" ht="11.25" hidden="false" customHeight="false" outlineLevel="0" collapsed="false">
      <c r="A70" s="1514"/>
      <c r="B70" s="1094"/>
    </row>
    <row r="71" customFormat="false" ht="11.25" hidden="false" customHeight="false" outlineLevel="0" collapsed="false">
      <c r="A71" s="1514"/>
      <c r="B71" s="1094"/>
    </row>
    <row r="72" customFormat="false" ht="11.25" hidden="false" customHeight="false" outlineLevel="0" collapsed="false">
      <c r="A72" s="1514"/>
      <c r="B72" s="1094"/>
    </row>
    <row r="73" customFormat="false" ht="11.25" hidden="false" customHeight="false" outlineLevel="0" collapsed="false">
      <c r="A73" s="1514"/>
      <c r="B73" s="1094"/>
    </row>
    <row r="74" customFormat="false" ht="11.25" hidden="false" customHeight="false" outlineLevel="0" collapsed="false">
      <c r="A74" s="1514"/>
      <c r="B74" s="1094"/>
    </row>
    <row r="75" customFormat="false" ht="11.25" hidden="false" customHeight="false" outlineLevel="0" collapsed="false">
      <c r="A75" s="1514"/>
      <c r="B75" s="1094"/>
    </row>
    <row r="76" customFormat="false" ht="11.25" hidden="false" customHeight="false" outlineLevel="0" collapsed="false">
      <c r="A76" s="1514"/>
      <c r="B76" s="1094"/>
    </row>
    <row r="77" customFormat="false" ht="11.25" hidden="false" customHeight="false" outlineLevel="0" collapsed="false">
      <c r="A77" s="1514"/>
      <c r="B77" s="1094"/>
    </row>
    <row r="78" customFormat="false" ht="11.25" hidden="false" customHeight="false" outlineLevel="0" collapsed="false">
      <c r="A78" s="1514"/>
      <c r="B78" s="1094"/>
    </row>
    <row r="79" customFormat="false" ht="11.25" hidden="false" customHeight="false" outlineLevel="0" collapsed="false">
      <c r="A79" s="1514"/>
      <c r="B79" s="1094"/>
    </row>
    <row r="80" customFormat="false" ht="11.25" hidden="false" customHeight="false" outlineLevel="0" collapsed="false">
      <c r="A80" s="1514"/>
      <c r="B80" s="1094"/>
    </row>
    <row r="81" customFormat="false" ht="11.25" hidden="false" customHeight="false" outlineLevel="0" collapsed="false">
      <c r="A81" s="1514"/>
      <c r="B81" s="1094"/>
    </row>
    <row r="82" customFormat="false" ht="11.25" hidden="false" customHeight="false" outlineLevel="0" collapsed="false">
      <c r="A82" s="1514"/>
      <c r="B82" s="1094"/>
    </row>
    <row r="83" customFormat="false" ht="11.25" hidden="false" customHeight="false" outlineLevel="0" collapsed="false">
      <c r="A83" s="1514"/>
      <c r="B83" s="1094"/>
    </row>
    <row r="84" customFormat="false" ht="11.25" hidden="false" customHeight="false" outlineLevel="0" collapsed="false">
      <c r="A84" s="1514"/>
      <c r="B84" s="1094"/>
    </row>
    <row r="85" customFormat="false" ht="11.25" hidden="false" customHeight="false" outlineLevel="0" collapsed="false">
      <c r="A85" s="1514"/>
      <c r="B85" s="1094"/>
    </row>
    <row r="86" customFormat="false" ht="11.25" hidden="false" customHeight="false" outlineLevel="0" collapsed="false">
      <c r="A86" s="1514"/>
      <c r="B86" s="1094"/>
    </row>
    <row r="87" customFormat="false" ht="11.25" hidden="false" customHeight="false" outlineLevel="0" collapsed="false">
      <c r="A87" s="1514"/>
      <c r="B87" s="1094"/>
    </row>
    <row r="88" customFormat="false" ht="11.25" hidden="false" customHeight="false" outlineLevel="0" collapsed="false">
      <c r="A88" s="1514"/>
      <c r="B88" s="1094"/>
    </row>
    <row r="89" customFormat="false" ht="11.25" hidden="false" customHeight="false" outlineLevel="0" collapsed="false">
      <c r="A89" s="1514"/>
      <c r="B89" s="1094"/>
    </row>
    <row r="90" customFormat="false" ht="11.25" hidden="false" customHeight="false" outlineLevel="0" collapsed="false">
      <c r="A90" s="1514"/>
      <c r="B90" s="1094"/>
    </row>
    <row r="91" customFormat="false" ht="11.25" hidden="false" customHeight="false" outlineLevel="0" collapsed="false">
      <c r="A91" s="1514"/>
      <c r="B91" s="1094"/>
    </row>
    <row r="92" customFormat="false" ht="11.25" hidden="false" customHeight="false" outlineLevel="0" collapsed="false">
      <c r="A92" s="1514"/>
      <c r="B92" s="1094"/>
    </row>
    <row r="93" customFormat="false" ht="11.25" hidden="false" customHeight="false" outlineLevel="0" collapsed="false">
      <c r="A93" s="1514"/>
      <c r="B93" s="1094"/>
    </row>
    <row r="94" customFormat="false" ht="11.25" hidden="false" customHeight="false" outlineLevel="0" collapsed="false">
      <c r="A94" s="1514"/>
      <c r="B94" s="1094"/>
    </row>
    <row r="95" customFormat="false" ht="11.25" hidden="false" customHeight="false" outlineLevel="0" collapsed="false">
      <c r="A95" s="1514"/>
      <c r="B95" s="1094"/>
    </row>
    <row r="96" customFormat="false" ht="11.25" hidden="false" customHeight="false" outlineLevel="0" collapsed="false">
      <c r="A96" s="1514"/>
      <c r="B96" s="1094"/>
    </row>
    <row r="97" customFormat="false" ht="11.25" hidden="false" customHeight="false" outlineLevel="0" collapsed="false">
      <c r="A97" s="1514"/>
      <c r="B97" s="1094"/>
    </row>
    <row r="98" customFormat="false" ht="11.25" hidden="false" customHeight="false" outlineLevel="0" collapsed="false">
      <c r="A98" s="1514"/>
      <c r="B98" s="1094"/>
    </row>
    <row r="99" customFormat="false" ht="11.25" hidden="false" customHeight="false" outlineLevel="0" collapsed="false">
      <c r="A99" s="1514"/>
      <c r="B99" s="1094"/>
    </row>
    <row r="100" customFormat="false" ht="11.25" hidden="false" customHeight="false" outlineLevel="0" collapsed="false">
      <c r="A100" s="1514"/>
      <c r="B100" s="1094"/>
    </row>
    <row r="101" customFormat="false" ht="11.25" hidden="false" customHeight="false" outlineLevel="0" collapsed="false">
      <c r="A101" s="1514"/>
      <c r="B101" s="1094"/>
    </row>
    <row r="102" customFormat="false" ht="11.25" hidden="false" customHeight="false" outlineLevel="0" collapsed="false">
      <c r="A102" s="1514"/>
      <c r="B102" s="1094"/>
    </row>
    <row r="103" customFormat="false" ht="11.25" hidden="false" customHeight="false" outlineLevel="0" collapsed="false">
      <c r="A103" s="1514"/>
      <c r="B103" s="1094"/>
    </row>
    <row r="104" customFormat="false" ht="11.25" hidden="false" customHeight="false" outlineLevel="0" collapsed="false">
      <c r="A104" s="1514"/>
      <c r="B104" s="1094"/>
    </row>
    <row r="105" customFormat="false" ht="11.25" hidden="false" customHeight="false" outlineLevel="0" collapsed="false">
      <c r="A105" s="1514"/>
      <c r="B105" s="1094"/>
    </row>
    <row r="106" customFormat="false" ht="11.25" hidden="false" customHeight="false" outlineLevel="0" collapsed="false">
      <c r="A106" s="1514"/>
      <c r="B106" s="1094"/>
    </row>
    <row r="107" customFormat="false" ht="11.25" hidden="false" customHeight="false" outlineLevel="0" collapsed="false">
      <c r="A107" s="1514"/>
      <c r="B107" s="1094"/>
    </row>
    <row r="108" customFormat="false" ht="11.25" hidden="false" customHeight="false" outlineLevel="0" collapsed="false">
      <c r="A108" s="1514"/>
      <c r="B108" s="1094"/>
    </row>
    <row r="109" customFormat="false" ht="11.25" hidden="false" customHeight="false" outlineLevel="0" collapsed="false">
      <c r="A109" s="1514"/>
      <c r="B109" s="1094"/>
    </row>
    <row r="110" customFormat="false" ht="11.25" hidden="false" customHeight="false" outlineLevel="0" collapsed="false">
      <c r="A110" s="1514"/>
      <c r="B110" s="1094"/>
    </row>
    <row r="111" customFormat="false" ht="11.25" hidden="false" customHeight="false" outlineLevel="0" collapsed="false">
      <c r="A111" s="1514"/>
      <c r="B111" s="1094"/>
    </row>
    <row r="112" customFormat="false" ht="11.25" hidden="false" customHeight="false" outlineLevel="0" collapsed="false">
      <c r="A112" s="1514"/>
      <c r="B112" s="1094"/>
    </row>
  </sheetData>
  <mergeCells count="6">
    <mergeCell ref="A1:C1"/>
    <mergeCell ref="A2:A3"/>
    <mergeCell ref="B2:B3"/>
    <mergeCell ref="C2:D2"/>
    <mergeCell ref="B53:C53"/>
    <mergeCell ref="B54:C54"/>
  </mergeCells>
  <printOptions headings="false" gridLines="false" gridLinesSet="true" horizontalCentered="true" verticalCentered="false"/>
  <pageMargins left="0.236111111111111" right="0.196527777777778" top="0.511805555555555" bottom="0.511805555555556" header="0.511805555555555" footer="0.354166666666667"/>
  <pageSetup paperSize="1" scale="100" firstPageNumber="83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>&amp;C&amp;"Times New Roman,Regular"&amp;8&amp;P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364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1" ySplit="3" topLeftCell="B46" activePane="bottomRight" state="frozen"/>
      <selection pane="topLeft" activeCell="A1" activeCellId="0" sqref="A1"/>
      <selection pane="topRight" activeCell="B1" activeCellId="0" sqref="B1"/>
      <selection pane="bottomLeft" activeCell="A46" activeCellId="0" sqref="A46"/>
      <selection pane="bottomRight" activeCell="A4" activeCellId="0" sqref="A4"/>
    </sheetView>
  </sheetViews>
  <sheetFormatPr defaultColWidth="9.15625" defaultRowHeight="11.25" zeroHeight="false" outlineLevelRow="0" outlineLevelCol="0"/>
  <cols>
    <col collapsed="false" customWidth="true" hidden="false" outlineLevel="0" max="1" min="1" style="107" width="8.57"/>
    <col collapsed="false" customWidth="true" hidden="false" outlineLevel="0" max="11" min="2" style="107" width="7.57"/>
    <col collapsed="false" customWidth="true" hidden="false" outlineLevel="0" max="12" min="12" style="107" width="6.86"/>
    <col collapsed="false" customWidth="true" hidden="false" outlineLevel="0" max="13" min="13" style="107" width="6.01"/>
    <col collapsed="false" customWidth="true" hidden="false" outlineLevel="0" max="14" min="14" style="107" width="6.71"/>
    <col collapsed="false" customWidth="true" hidden="false" outlineLevel="0" max="16" min="15" style="107" width="7.57"/>
    <col collapsed="false" customWidth="true" hidden="false" outlineLevel="0" max="17" min="17" style="107" width="7.15"/>
    <col collapsed="false" customWidth="true" hidden="false" outlineLevel="0" max="18" min="18" style="107" width="7.57"/>
    <col collapsed="false" customWidth="true" hidden="false" outlineLevel="0" max="19" min="19" style="107" width="6.86"/>
    <col collapsed="false" customWidth="true" hidden="false" outlineLevel="0" max="20" min="20" style="107" width="7.57"/>
    <col collapsed="false" customWidth="true" hidden="false" outlineLevel="0" max="21" min="21" style="107" width="7.86"/>
    <col collapsed="false" customWidth="true" hidden="false" outlineLevel="0" max="22" min="22" style="107" width="10.85"/>
    <col collapsed="false" customWidth="true" hidden="false" outlineLevel="0" max="23" min="23" style="107" width="9.29"/>
    <col collapsed="false" customWidth="true" hidden="false" outlineLevel="0" max="24" min="24" style="107" width="10"/>
    <col collapsed="false" customWidth="false" hidden="false" outlineLevel="0" max="1024" min="25" style="107" width="9.14"/>
  </cols>
  <sheetData>
    <row r="1" s="829" customFormat="true" ht="14.25" hidden="false" customHeight="true" outlineLevel="0" collapsed="false">
      <c r="A1" s="827" t="s">
        <v>2474</v>
      </c>
      <c r="B1" s="827"/>
      <c r="C1" s="827"/>
      <c r="D1" s="827"/>
      <c r="E1" s="827"/>
      <c r="F1" s="827"/>
      <c r="G1" s="827"/>
      <c r="H1" s="827"/>
      <c r="I1" s="827"/>
      <c r="J1" s="827"/>
      <c r="K1" s="743" t="s">
        <v>2475</v>
      </c>
      <c r="L1" s="740"/>
      <c r="M1" s="740"/>
      <c r="N1" s="740"/>
      <c r="O1" s="871"/>
      <c r="P1" s="871"/>
      <c r="Q1" s="871"/>
      <c r="R1" s="871"/>
      <c r="S1" s="871"/>
      <c r="T1" s="827" t="s">
        <v>2476</v>
      </c>
      <c r="U1" s="827"/>
    </row>
    <row r="2" s="100" customFormat="true" ht="12" hidden="false" customHeight="true" outlineLevel="0" collapsed="false">
      <c r="B2" s="872"/>
      <c r="C2" s="872"/>
      <c r="D2" s="872"/>
      <c r="E2" s="872"/>
      <c r="H2" s="872"/>
      <c r="I2" s="872"/>
      <c r="J2" s="872"/>
      <c r="K2" s="872"/>
      <c r="L2" s="872"/>
      <c r="M2" s="872"/>
      <c r="N2" s="872"/>
      <c r="O2" s="872"/>
      <c r="P2" s="872"/>
      <c r="Q2" s="872"/>
      <c r="R2" s="872"/>
      <c r="S2" s="872"/>
      <c r="T2" s="873" t="s">
        <v>110</v>
      </c>
      <c r="U2" s="873"/>
    </row>
    <row r="3" s="1516" customFormat="true" ht="50.25" hidden="false" customHeight="true" outlineLevel="0" collapsed="false">
      <c r="A3" s="834" t="s">
        <v>260</v>
      </c>
      <c r="B3" s="749" t="s">
        <v>2477</v>
      </c>
      <c r="C3" s="749" t="s">
        <v>2478</v>
      </c>
      <c r="D3" s="749" t="s">
        <v>2479</v>
      </c>
      <c r="E3" s="749" t="s">
        <v>2480</v>
      </c>
      <c r="F3" s="749" t="s">
        <v>2481</v>
      </c>
      <c r="G3" s="749" t="s">
        <v>2482</v>
      </c>
      <c r="H3" s="749" t="s">
        <v>2483</v>
      </c>
      <c r="I3" s="749" t="s">
        <v>2484</v>
      </c>
      <c r="J3" s="749" t="s">
        <v>2485</v>
      </c>
      <c r="K3" s="749" t="s">
        <v>2486</v>
      </c>
      <c r="L3" s="749" t="s">
        <v>2487</v>
      </c>
      <c r="M3" s="749" t="s">
        <v>2488</v>
      </c>
      <c r="N3" s="749" t="s">
        <v>2489</v>
      </c>
      <c r="O3" s="749" t="s">
        <v>2490</v>
      </c>
      <c r="P3" s="266" t="s">
        <v>2491</v>
      </c>
      <c r="Q3" s="266" t="s">
        <v>2492</v>
      </c>
      <c r="R3" s="266" t="s">
        <v>2493</v>
      </c>
      <c r="S3" s="266" t="s">
        <v>2494</v>
      </c>
      <c r="T3" s="749" t="s">
        <v>2495</v>
      </c>
      <c r="U3" s="749" t="s">
        <v>175</v>
      </c>
    </row>
    <row r="4" s="221" customFormat="true" ht="11.25" hidden="false" customHeight="true" outlineLevel="0" collapsed="false">
      <c r="A4" s="1517" t="s">
        <v>203</v>
      </c>
      <c r="B4" s="1111" t="n">
        <v>23709.40176</v>
      </c>
      <c r="C4" s="1111" t="n">
        <v>13077.51404</v>
      </c>
      <c r="D4" s="1111" t="n">
        <v>5723.89575</v>
      </c>
      <c r="E4" s="1111" t="n">
        <v>7050.74968</v>
      </c>
      <c r="F4" s="1111" t="n">
        <v>10044.25626</v>
      </c>
      <c r="G4" s="1111" t="n">
        <v>10.44585</v>
      </c>
      <c r="H4" s="1111" t="n">
        <v>2496.55478</v>
      </c>
      <c r="I4" s="1111" t="n">
        <v>2414.78334</v>
      </c>
      <c r="J4" s="1111" t="n">
        <v>1338.38793</v>
      </c>
      <c r="K4" s="1111" t="n">
        <v>114.11791</v>
      </c>
      <c r="L4" s="1111" t="n">
        <v>1177.04685</v>
      </c>
      <c r="M4" s="1111" t="n">
        <v>31.07265</v>
      </c>
      <c r="N4" s="1111" t="n">
        <v>101.95625</v>
      </c>
      <c r="O4" s="1111" t="n">
        <v>4061.91784</v>
      </c>
      <c r="P4" s="1111" t="n">
        <v>58.45621</v>
      </c>
      <c r="Q4" s="1111" t="n">
        <v>1259.92806</v>
      </c>
      <c r="R4" s="1111" t="n">
        <v>143.63157</v>
      </c>
      <c r="S4" s="1111" t="n">
        <v>57.5445</v>
      </c>
      <c r="T4" s="1111" t="n">
        <v>3139.17196999999</v>
      </c>
      <c r="U4" s="1111" t="n">
        <f aca="false">SUM(B4:T4)</f>
        <v>76010.8332</v>
      </c>
      <c r="V4" s="258"/>
      <c r="W4" s="258"/>
      <c r="X4" s="258"/>
      <c r="Y4" s="254"/>
    </row>
    <row r="5" s="207" customFormat="true" ht="11.25" hidden="false" customHeight="true" outlineLevel="0" collapsed="false">
      <c r="A5" s="1518" t="s">
        <v>205</v>
      </c>
      <c r="B5" s="1120" t="n">
        <v>23447.6115221038</v>
      </c>
      <c r="C5" s="1120" t="n">
        <v>14274.536554244</v>
      </c>
      <c r="D5" s="1120" t="n">
        <v>6329.34579934522</v>
      </c>
      <c r="E5" s="1120" t="n">
        <v>7668.545797496</v>
      </c>
      <c r="F5" s="1120" t="n">
        <v>13162.8147940507</v>
      </c>
      <c r="G5" s="1120" t="n">
        <v>42.0066900475965</v>
      </c>
      <c r="H5" s="1120" t="n">
        <v>2273.663133048</v>
      </c>
      <c r="I5" s="1120" t="n">
        <v>2378.49818047428</v>
      </c>
      <c r="J5" s="1120" t="n">
        <v>1443.44742318732</v>
      </c>
      <c r="K5" s="1120" t="n">
        <v>184.064827442449</v>
      </c>
      <c r="L5" s="1120" t="n">
        <v>1326.4480618324</v>
      </c>
      <c r="M5" s="1120" t="n">
        <v>16.46378768</v>
      </c>
      <c r="N5" s="1120" t="n">
        <v>108.623089969201</v>
      </c>
      <c r="O5" s="1120" t="n">
        <v>5011.1663160176</v>
      </c>
      <c r="P5" s="1120" t="n">
        <v>93.97009669264</v>
      </c>
      <c r="Q5" s="1120" t="n">
        <v>1538.17696087632</v>
      </c>
      <c r="R5" s="1120" t="n">
        <v>170.369691841994</v>
      </c>
      <c r="S5" s="1120" t="n">
        <v>79.3843710330269</v>
      </c>
      <c r="T5" s="1120" t="n">
        <v>3459.74797</v>
      </c>
      <c r="U5" s="1116" t="n">
        <f aca="false">SUM(B5:T5)</f>
        <v>83008.8850673825</v>
      </c>
      <c r="V5" s="379"/>
      <c r="W5" s="379"/>
      <c r="X5" s="379"/>
    </row>
    <row r="6" s="221" customFormat="true" ht="11.25" hidden="false" customHeight="true" outlineLevel="0" collapsed="false">
      <c r="A6" s="1517" t="s">
        <v>282</v>
      </c>
      <c r="B6" s="1111" t="n">
        <v>29163.2832421186</v>
      </c>
      <c r="C6" s="1111" t="n">
        <v>19038.1088993376</v>
      </c>
      <c r="D6" s="1111" t="n">
        <v>7809.78353245829</v>
      </c>
      <c r="E6" s="1111" t="n">
        <v>9385.64206263366</v>
      </c>
      <c r="F6" s="1111" t="n">
        <v>11828.9100599407</v>
      </c>
      <c r="G6" s="1111" t="n">
        <v>102.87052779546</v>
      </c>
      <c r="H6" s="1111" t="n">
        <v>2651.53684450951</v>
      </c>
      <c r="I6" s="1111" t="n">
        <v>3174.06098415371</v>
      </c>
      <c r="J6" s="1111" t="n">
        <v>2481.45164588878</v>
      </c>
      <c r="K6" s="1111" t="n">
        <v>275.824185706163</v>
      </c>
      <c r="L6" s="1111" t="n">
        <v>2371.47139834714</v>
      </c>
      <c r="M6" s="1111" t="n">
        <v>8.962443868</v>
      </c>
      <c r="N6" s="1111" t="n">
        <v>173.682512227692</v>
      </c>
      <c r="O6" s="1111" t="n">
        <v>6712.38230757126</v>
      </c>
      <c r="P6" s="1111" t="n">
        <v>422.027022690973</v>
      </c>
      <c r="Q6" s="1111" t="n">
        <v>1914.87942933056</v>
      </c>
      <c r="R6" s="1111" t="n">
        <v>239.722503965151</v>
      </c>
      <c r="S6" s="1111" t="n">
        <v>178.820623607745</v>
      </c>
      <c r="T6" s="1111" t="n">
        <v>3658.1110738489</v>
      </c>
      <c r="U6" s="1111" t="n">
        <f aca="false">SUM(B6:T6)</f>
        <v>101591.5313</v>
      </c>
      <c r="V6" s="258"/>
      <c r="W6" s="258"/>
      <c r="X6" s="258"/>
      <c r="Y6" s="254"/>
    </row>
    <row r="7" s="207" customFormat="true" ht="11.25" hidden="false" customHeight="true" outlineLevel="0" collapsed="false">
      <c r="A7" s="1518" t="s">
        <v>207</v>
      </c>
      <c r="B7" s="1120" t="n">
        <v>30645.329417798</v>
      </c>
      <c r="C7" s="1120" t="n">
        <v>22629.954310562</v>
      </c>
      <c r="D7" s="1120" t="n">
        <v>7944.261095199</v>
      </c>
      <c r="E7" s="1120" t="n">
        <v>9487.762155179</v>
      </c>
      <c r="F7" s="1120" t="n">
        <v>14854.690027008</v>
      </c>
      <c r="G7" s="1120" t="n">
        <v>459.925791379</v>
      </c>
      <c r="H7" s="1120" t="n">
        <v>2297.898967647</v>
      </c>
      <c r="I7" s="1120" t="n">
        <v>4875.360736297</v>
      </c>
      <c r="J7" s="1120" t="n">
        <v>3983.394806932</v>
      </c>
      <c r="K7" s="1120" t="n">
        <v>206.712431503</v>
      </c>
      <c r="L7" s="1120" t="n">
        <v>2890.24090155</v>
      </c>
      <c r="M7" s="1120" t="n">
        <v>21.251621923</v>
      </c>
      <c r="N7" s="1120" t="n">
        <v>169.730178649</v>
      </c>
      <c r="O7" s="1120" t="n">
        <v>7967.163443454</v>
      </c>
      <c r="P7" s="1120" t="n">
        <v>488.014418179</v>
      </c>
      <c r="Q7" s="1120" t="n">
        <v>1866.267097298</v>
      </c>
      <c r="R7" s="1120" t="n">
        <v>494.83839057</v>
      </c>
      <c r="S7" s="1120" t="n">
        <v>156.271979311</v>
      </c>
      <c r="T7" s="1120" t="n">
        <v>4207.09073884</v>
      </c>
      <c r="U7" s="1116" t="n">
        <f aca="false">SUM(B7:T7)</f>
        <v>115646.158509278</v>
      </c>
      <c r="V7" s="379"/>
      <c r="W7" s="379"/>
      <c r="X7" s="379"/>
    </row>
    <row r="8" s="161" customFormat="true" ht="11.25" hidden="false" customHeight="true" outlineLevel="0" collapsed="false">
      <c r="A8" s="890" t="s">
        <v>208</v>
      </c>
      <c r="B8" s="1111" t="n">
        <v>24240.140711881</v>
      </c>
      <c r="C8" s="1111" t="n">
        <v>20866.964531202</v>
      </c>
      <c r="D8" s="1111" t="n">
        <v>7004.669367038</v>
      </c>
      <c r="E8" s="1111" t="n">
        <v>8602.840084584</v>
      </c>
      <c r="F8" s="1111" t="n">
        <v>18056.86240615</v>
      </c>
      <c r="G8" s="1111" t="n">
        <v>559.416288368</v>
      </c>
      <c r="H8" s="1111" t="n">
        <v>2001.519678536</v>
      </c>
      <c r="I8" s="1111" t="n">
        <v>5448.432787912</v>
      </c>
      <c r="J8" s="1111" t="n">
        <v>3335.137838112</v>
      </c>
      <c r="K8" s="1111" t="n">
        <v>209.310882247</v>
      </c>
      <c r="L8" s="1111" t="n">
        <v>3570.167369518</v>
      </c>
      <c r="M8" s="1111" t="n">
        <v>3.028869363</v>
      </c>
      <c r="N8" s="1111" t="n">
        <v>132.673174055</v>
      </c>
      <c r="O8" s="1111" t="n">
        <v>8274.329359522</v>
      </c>
      <c r="P8" s="1111" t="n">
        <v>422.6211396</v>
      </c>
      <c r="Q8" s="1111" t="n">
        <v>2095.192983508</v>
      </c>
      <c r="R8" s="1111" t="n">
        <v>455.270283965</v>
      </c>
      <c r="S8" s="1111" t="n">
        <v>137.567195875</v>
      </c>
      <c r="T8" s="1111" t="n">
        <v>5166.238465554</v>
      </c>
      <c r="U8" s="1111" t="n">
        <v>110582.38341699</v>
      </c>
      <c r="V8" s="379"/>
      <c r="W8" s="258"/>
      <c r="X8" s="258"/>
    </row>
    <row r="9" s="161" customFormat="true" ht="11.25" hidden="false" customHeight="true" outlineLevel="0" collapsed="false">
      <c r="A9" s="889" t="s">
        <v>209</v>
      </c>
      <c r="B9" s="1120" t="n">
        <v>25987.258654581</v>
      </c>
      <c r="C9" s="1120" t="n">
        <v>21934.982243473</v>
      </c>
      <c r="D9" s="1120" t="n">
        <v>6309.800708995</v>
      </c>
      <c r="E9" s="1120" t="n">
        <v>8371.966633763</v>
      </c>
      <c r="F9" s="1120" t="n">
        <v>18489.105624444</v>
      </c>
      <c r="G9" s="1120" t="n">
        <v>355.142598864</v>
      </c>
      <c r="H9" s="1120" t="n">
        <v>2409.498698926</v>
      </c>
      <c r="I9" s="1120" t="n">
        <v>7109.663719218</v>
      </c>
      <c r="J9" s="1120" t="n">
        <v>3444.442188629</v>
      </c>
      <c r="K9" s="1120" t="n">
        <v>164.361116729</v>
      </c>
      <c r="L9" s="1120" t="n">
        <v>4306.536891081</v>
      </c>
      <c r="M9" s="1120" t="n">
        <v>1.087852065</v>
      </c>
      <c r="N9" s="1120" t="n">
        <v>126.688057627</v>
      </c>
      <c r="O9" s="1120" t="n">
        <v>10732.610499938</v>
      </c>
      <c r="P9" s="1120" t="n">
        <v>480.407103438</v>
      </c>
      <c r="Q9" s="1120" t="n">
        <v>2020.389149267</v>
      </c>
      <c r="R9" s="1120" t="n">
        <v>469.148538452</v>
      </c>
      <c r="S9" s="1120" t="n">
        <v>152.873260952</v>
      </c>
      <c r="T9" s="1120" t="n">
        <v>6116.351932319</v>
      </c>
      <c r="U9" s="1120" t="n">
        <v>118982.315472761</v>
      </c>
      <c r="V9" s="379"/>
      <c r="W9" s="379"/>
      <c r="X9" s="379"/>
    </row>
    <row r="10" s="161" customFormat="true" ht="11.25" hidden="false" customHeight="true" outlineLevel="0" collapsed="false">
      <c r="A10" s="890" t="s">
        <v>211</v>
      </c>
      <c r="B10" s="1111" t="n">
        <v>23165.843384733</v>
      </c>
      <c r="C10" s="1111" t="n">
        <v>21248.75908046</v>
      </c>
      <c r="D10" s="1111" t="n">
        <v>6747.202895815</v>
      </c>
      <c r="E10" s="1111" t="n">
        <v>8122.911731353</v>
      </c>
      <c r="F10" s="1111" t="n">
        <v>18889.249921554</v>
      </c>
      <c r="G10" s="1111" t="n">
        <v>95.893180837</v>
      </c>
      <c r="H10" s="1111" t="n">
        <v>3379.243381734</v>
      </c>
      <c r="I10" s="1111" t="n">
        <v>7132.671951371</v>
      </c>
      <c r="J10" s="1111" t="n">
        <v>3046.156687447</v>
      </c>
      <c r="K10" s="1111" t="n">
        <v>204.663590455</v>
      </c>
      <c r="L10" s="1111" t="n">
        <v>3806.940766883</v>
      </c>
      <c r="M10" s="1111" t="n">
        <v>1.408884741</v>
      </c>
      <c r="N10" s="1111" t="n">
        <v>178.344042299</v>
      </c>
      <c r="O10" s="1111" t="n">
        <v>10364.006886042</v>
      </c>
      <c r="P10" s="1111" t="n">
        <v>540.57418487</v>
      </c>
      <c r="Q10" s="1111" t="n">
        <v>2736.706706577</v>
      </c>
      <c r="R10" s="1111" t="n">
        <v>506.556349066</v>
      </c>
      <c r="S10" s="1111" t="n">
        <v>211.203211552</v>
      </c>
      <c r="T10" s="1111" t="n">
        <v>6478.384042992</v>
      </c>
      <c r="U10" s="1111" t="n">
        <v>116856.720880781</v>
      </c>
      <c r="V10" s="258"/>
      <c r="W10" s="258"/>
      <c r="X10" s="258"/>
    </row>
    <row r="11" s="161" customFormat="true" ht="11.25" hidden="false" customHeight="true" outlineLevel="0" collapsed="false">
      <c r="A11" s="1054" t="s">
        <v>212</v>
      </c>
      <c r="B11" s="1519" t="n">
        <v>17943.426236539</v>
      </c>
      <c r="C11" s="1519" t="n">
        <v>16573.528397069</v>
      </c>
      <c r="D11" s="1519" t="n">
        <v>6405.737663219</v>
      </c>
      <c r="E11" s="1519" t="n">
        <v>8180.243211579</v>
      </c>
      <c r="F11" s="1519" t="n">
        <v>13373.095621944</v>
      </c>
      <c r="G11" s="1519" t="n">
        <v>17.628407153</v>
      </c>
      <c r="H11" s="1519" t="n">
        <v>4562.308107305</v>
      </c>
      <c r="I11" s="1519" t="n">
        <v>7107.445606218</v>
      </c>
      <c r="J11" s="1519" t="n">
        <v>2380.559563806</v>
      </c>
      <c r="K11" s="1519" t="n">
        <v>251.785566927</v>
      </c>
      <c r="L11" s="1519" t="n">
        <v>3465.391927097</v>
      </c>
      <c r="M11" s="1519" t="n">
        <v>0.157257308</v>
      </c>
      <c r="N11" s="1519" t="n">
        <v>181.683763424</v>
      </c>
      <c r="O11" s="1519" t="n">
        <v>8729.762533106</v>
      </c>
      <c r="P11" s="1519" t="n">
        <v>411.693272972</v>
      </c>
      <c r="Q11" s="1519" t="n">
        <v>4047.076318775</v>
      </c>
      <c r="R11" s="1519" t="n">
        <v>638.678208794</v>
      </c>
      <c r="S11" s="1519" t="n">
        <v>150.208864742</v>
      </c>
      <c r="T11" s="1519" t="n">
        <v>6678.551886193</v>
      </c>
      <c r="U11" s="1519" t="n">
        <v>101098.96241417</v>
      </c>
      <c r="V11" s="379"/>
      <c r="W11" s="379"/>
      <c r="X11" s="379"/>
    </row>
    <row r="12" s="161" customFormat="true" ht="11.25" hidden="false" customHeight="true" outlineLevel="0" collapsed="false">
      <c r="A12" s="888" t="s">
        <v>213</v>
      </c>
      <c r="B12" s="1520" t="n">
        <f aca="false">SUM(B13:B24)</f>
        <v>21303.057974675</v>
      </c>
      <c r="C12" s="1520" t="n">
        <f aca="false">SUM(C13:C24)</f>
        <v>19981.77541571</v>
      </c>
      <c r="D12" s="1520" t="n">
        <f aca="false">SUM(D13:D24)</f>
        <v>9090.155944315</v>
      </c>
      <c r="E12" s="1520" t="n">
        <f aca="false">SUM(E13:E24)</f>
        <v>9868.48590932</v>
      </c>
      <c r="F12" s="1520" t="n">
        <f aca="false">SUM(F13:F24)</f>
        <v>16410.63982431</v>
      </c>
      <c r="G12" s="1520" t="n">
        <f aca="false">SUM(G13:G24)</f>
        <v>19.443675875</v>
      </c>
      <c r="H12" s="1520" t="n">
        <f aca="false">SUM(H13:H24)</f>
        <v>6950.410352985</v>
      </c>
      <c r="I12" s="1520" t="n">
        <f aca="false">SUM(I13:I24)</f>
        <v>7874.325453215</v>
      </c>
      <c r="J12" s="1520" t="n">
        <f aca="false">SUM(J13:J24)</f>
        <v>2715.234665145</v>
      </c>
      <c r="K12" s="1520" t="n">
        <f aca="false">SUM(K13:K24)</f>
        <v>330.55203133</v>
      </c>
      <c r="L12" s="1520" t="n">
        <f aca="false">SUM(L13:L24)</f>
        <v>4451.489531645</v>
      </c>
      <c r="M12" s="1520" t="n">
        <f aca="false">SUM(M13:M24)</f>
        <v>0.3327156</v>
      </c>
      <c r="N12" s="1520" t="n">
        <f aca="false">SUM(N13:N24)</f>
        <v>258.690446945</v>
      </c>
      <c r="O12" s="1520" t="n">
        <f aca="false">SUM(O13:O24)</f>
        <v>9103.384367435</v>
      </c>
      <c r="P12" s="1520" t="n">
        <f aca="false">SUM(P13:P24)</f>
        <v>464.686897065</v>
      </c>
      <c r="Q12" s="1520" t="n">
        <f aca="false">SUM(Q13:Q24)</f>
        <v>5434.01712084</v>
      </c>
      <c r="R12" s="1520" t="n">
        <f aca="false">SUM(R13:R24)</f>
        <v>791.06830618</v>
      </c>
      <c r="S12" s="1520" t="n">
        <f aca="false">SUM(S13:S24)</f>
        <v>174.71432795</v>
      </c>
      <c r="T12" s="1520" t="n">
        <f aca="false">SUM(T13:T24)</f>
        <v>7933.539979905</v>
      </c>
      <c r="U12" s="1520" t="n">
        <f aca="false">SUM(B12:T12)</f>
        <v>123156.004940445</v>
      </c>
      <c r="V12" s="379"/>
      <c r="W12" s="379"/>
      <c r="X12" s="379"/>
    </row>
    <row r="13" s="161" customFormat="true" ht="11.25" hidden="false" customHeight="true" outlineLevel="0" collapsed="false">
      <c r="A13" s="889" t="s">
        <v>214</v>
      </c>
      <c r="B13" s="1509" t="n">
        <v>1607.686428</v>
      </c>
      <c r="C13" s="1509" t="n">
        <v>1370.242269</v>
      </c>
      <c r="D13" s="1509" t="n">
        <v>646.622124</v>
      </c>
      <c r="E13" s="1509" t="n">
        <v>712.8162342</v>
      </c>
      <c r="F13" s="1509" t="n">
        <v>1181.8188396</v>
      </c>
      <c r="G13" s="1509" t="n">
        <v>0.403131</v>
      </c>
      <c r="H13" s="1509" t="n">
        <v>493.1098392</v>
      </c>
      <c r="I13" s="1509" t="n">
        <v>610.6628388</v>
      </c>
      <c r="J13" s="1509" t="n">
        <v>220.512657</v>
      </c>
      <c r="K13" s="1509" t="n">
        <v>19.2696618</v>
      </c>
      <c r="L13" s="1509" t="n">
        <v>327.9873816</v>
      </c>
      <c r="M13" s="1509" t="n">
        <v>0</v>
      </c>
      <c r="N13" s="1509" t="n">
        <v>14.5933422</v>
      </c>
      <c r="O13" s="1509" t="n">
        <v>589.2162696</v>
      </c>
      <c r="P13" s="1509" t="n">
        <v>35.878659</v>
      </c>
      <c r="Q13" s="1509" t="n">
        <v>485.6116026</v>
      </c>
      <c r="R13" s="1509" t="n">
        <v>60.9534072</v>
      </c>
      <c r="S13" s="1509" t="n">
        <v>13.2226968</v>
      </c>
      <c r="T13" s="1509" t="n">
        <v>603.809611800001</v>
      </c>
      <c r="U13" s="1509" t="n">
        <f aca="false">SUM(B13:T13)</f>
        <v>8994.4169934</v>
      </c>
      <c r="V13" s="379"/>
      <c r="W13" s="379"/>
      <c r="X13" s="379"/>
    </row>
    <row r="14" s="161" customFormat="true" ht="11.25" hidden="false" customHeight="true" outlineLevel="0" collapsed="false">
      <c r="A14" s="890" t="s">
        <v>215</v>
      </c>
      <c r="B14" s="1521" t="n">
        <v>2014.2761394</v>
      </c>
      <c r="C14" s="1521" t="n">
        <v>1701.2652771</v>
      </c>
      <c r="D14" s="1521" t="n">
        <v>951.378723</v>
      </c>
      <c r="E14" s="1521" t="n">
        <v>804.1934142</v>
      </c>
      <c r="F14" s="1521" t="n">
        <v>1606.4501796</v>
      </c>
      <c r="G14" s="1521" t="n">
        <v>1.5331803</v>
      </c>
      <c r="H14" s="1521" t="n">
        <v>529.5120594</v>
      </c>
      <c r="I14" s="1521" t="n">
        <v>775.5471507</v>
      </c>
      <c r="J14" s="1521" t="n">
        <v>222.5532246</v>
      </c>
      <c r="K14" s="1521" t="n">
        <v>26.8710021</v>
      </c>
      <c r="L14" s="1521" t="n">
        <v>420.9790329</v>
      </c>
      <c r="M14" s="1521" t="n">
        <v>0</v>
      </c>
      <c r="N14" s="1521" t="n">
        <v>24.8536596</v>
      </c>
      <c r="O14" s="1521" t="n">
        <v>827.5945872</v>
      </c>
      <c r="P14" s="1521" t="n">
        <v>49.9494003</v>
      </c>
      <c r="Q14" s="1521" t="n">
        <v>647.0827803</v>
      </c>
      <c r="R14" s="1521" t="n">
        <v>63.1024734</v>
      </c>
      <c r="S14" s="1521" t="n">
        <v>15.9773526</v>
      </c>
      <c r="T14" s="1521" t="n">
        <v>763.9272579</v>
      </c>
      <c r="U14" s="1521" t="n">
        <f aca="false">SUM(B14:T14)</f>
        <v>11447.0468946</v>
      </c>
      <c r="V14" s="379"/>
      <c r="W14" s="379"/>
      <c r="X14" s="379"/>
    </row>
    <row r="15" s="161" customFormat="true" ht="11.25" hidden="false" customHeight="true" outlineLevel="0" collapsed="false">
      <c r="A15" s="889" t="s">
        <v>216</v>
      </c>
      <c r="B15" s="1509" t="n">
        <v>1154.2740138</v>
      </c>
      <c r="C15" s="1509" t="n">
        <v>1081.2084768</v>
      </c>
      <c r="D15" s="1509" t="n">
        <v>483.4435752</v>
      </c>
      <c r="E15" s="1509" t="n">
        <v>505.4843394</v>
      </c>
      <c r="F15" s="1509" t="n">
        <v>1093.8031992</v>
      </c>
      <c r="G15" s="1509" t="n">
        <v>0.807354</v>
      </c>
      <c r="H15" s="1509" t="n">
        <v>301.143042</v>
      </c>
      <c r="I15" s="1509" t="n">
        <v>467.7001722</v>
      </c>
      <c r="J15" s="1509" t="n">
        <v>147.8265174</v>
      </c>
      <c r="K15" s="1509" t="n">
        <v>18.8113482</v>
      </c>
      <c r="L15" s="1509" t="n">
        <v>249.1494444</v>
      </c>
      <c r="M15" s="1509" t="n">
        <v>0</v>
      </c>
      <c r="N15" s="1509" t="n">
        <v>11.7873684</v>
      </c>
      <c r="O15" s="1509" t="n">
        <v>512.9119962</v>
      </c>
      <c r="P15" s="1509" t="n">
        <v>31.1638644</v>
      </c>
      <c r="Q15" s="1509" t="n">
        <v>337.5547074</v>
      </c>
      <c r="R15" s="1509" t="n">
        <v>51.1055082</v>
      </c>
      <c r="S15" s="1509" t="n">
        <v>9.0423648</v>
      </c>
      <c r="T15" s="1509" t="n">
        <v>460.756927800001</v>
      </c>
      <c r="U15" s="1509" t="n">
        <f aca="false">SUM(B15:T15)</f>
        <v>6917.9742198</v>
      </c>
      <c r="V15" s="379"/>
      <c r="W15" s="379"/>
      <c r="X15" s="379"/>
    </row>
    <row r="16" s="161" customFormat="true" ht="11.25" hidden="false" customHeight="true" outlineLevel="0" collapsed="false">
      <c r="A16" s="890" t="s">
        <v>217</v>
      </c>
      <c r="B16" s="1521" t="n">
        <v>1700.052591475</v>
      </c>
      <c r="C16" s="1521" t="n">
        <v>1544.15045461</v>
      </c>
      <c r="D16" s="1521" t="n">
        <v>596.372145115</v>
      </c>
      <c r="E16" s="1521" t="n">
        <v>729.96791092</v>
      </c>
      <c r="F16" s="1521" t="n">
        <v>1351.79841431</v>
      </c>
      <c r="G16" s="1521" t="n">
        <v>1.212302775</v>
      </c>
      <c r="H16" s="1521" t="n">
        <v>410.647359985</v>
      </c>
      <c r="I16" s="1521" t="n">
        <v>628.700219115</v>
      </c>
      <c r="J16" s="1521" t="n">
        <v>188.876772345</v>
      </c>
      <c r="K16" s="1521" t="n">
        <v>25.70081883</v>
      </c>
      <c r="L16" s="1521" t="n">
        <v>350.517142345</v>
      </c>
      <c r="M16" s="1521" t="n">
        <v>0</v>
      </c>
      <c r="N16" s="1521" t="n">
        <v>17.537980145</v>
      </c>
      <c r="O16" s="1521" t="n">
        <v>721.805072235</v>
      </c>
      <c r="P16" s="1521" t="n">
        <v>31.439051965</v>
      </c>
      <c r="Q16" s="1521" t="n">
        <v>433.51947234</v>
      </c>
      <c r="R16" s="1521" t="n">
        <v>60.45349838</v>
      </c>
      <c r="S16" s="1521" t="n">
        <v>15.35583515</v>
      </c>
      <c r="T16" s="1521" t="n">
        <v>589.421609204999</v>
      </c>
      <c r="U16" s="1521" t="n">
        <f aca="false">SUM(B16:T16)</f>
        <v>9397.528651245</v>
      </c>
      <c r="V16" s="379"/>
      <c r="W16" s="379"/>
      <c r="X16" s="379"/>
    </row>
    <row r="17" s="161" customFormat="true" ht="11.25" hidden="false" customHeight="true" outlineLevel="0" collapsed="false">
      <c r="A17" s="889" t="s">
        <v>218</v>
      </c>
      <c r="B17" s="1509" t="n">
        <v>1582.603635</v>
      </c>
      <c r="C17" s="1509" t="n">
        <v>1728.29385</v>
      </c>
      <c r="D17" s="1509" t="n">
        <v>755.6715</v>
      </c>
      <c r="E17" s="1509" t="n">
        <v>738.93297</v>
      </c>
      <c r="F17" s="1509" t="n">
        <v>1437.482205</v>
      </c>
      <c r="G17" s="1509" t="n">
        <v>1.543845</v>
      </c>
      <c r="H17" s="1509" t="n">
        <v>501.262095</v>
      </c>
      <c r="I17" s="1509" t="n">
        <v>605.268495</v>
      </c>
      <c r="J17" s="1509" t="n">
        <v>198.180945</v>
      </c>
      <c r="K17" s="1509" t="n">
        <v>33.395805</v>
      </c>
      <c r="L17" s="1509" t="n">
        <v>345.902535</v>
      </c>
      <c r="M17" s="1509" t="n">
        <v>0</v>
      </c>
      <c r="N17" s="1509" t="n">
        <v>20.395005</v>
      </c>
      <c r="O17" s="1509" t="n">
        <v>724.46958</v>
      </c>
      <c r="P17" s="1509" t="n">
        <v>34.695885</v>
      </c>
      <c r="Q17" s="1509" t="n">
        <v>463.1535</v>
      </c>
      <c r="R17" s="1509" t="n">
        <v>77.19225</v>
      </c>
      <c r="S17" s="1509" t="n">
        <v>9.7506</v>
      </c>
      <c r="T17" s="1509" t="n">
        <v>612.256424999999</v>
      </c>
      <c r="U17" s="1509" t="n">
        <f aca="false">SUM(B17:T17)</f>
        <v>9870.451125</v>
      </c>
      <c r="V17" s="379"/>
      <c r="W17" s="379"/>
      <c r="X17" s="379"/>
    </row>
    <row r="18" s="161" customFormat="true" ht="11.25" hidden="false" customHeight="true" outlineLevel="0" collapsed="false">
      <c r="A18" s="890" t="s">
        <v>219</v>
      </c>
      <c r="B18" s="1521" t="n">
        <v>1686.53736</v>
      </c>
      <c r="C18" s="1521" t="n">
        <v>1813.832544</v>
      </c>
      <c r="D18" s="1521" t="n">
        <v>610.141832</v>
      </c>
      <c r="E18" s="1521" t="n">
        <v>784.161448</v>
      </c>
      <c r="F18" s="1521" t="n">
        <v>1129.889224</v>
      </c>
      <c r="G18" s="1521" t="n">
        <v>1.568488</v>
      </c>
      <c r="H18" s="1521" t="n">
        <v>513.47344</v>
      </c>
      <c r="I18" s="1521" t="n">
        <v>568.78328</v>
      </c>
      <c r="J18" s="1521" t="n">
        <v>205.306824</v>
      </c>
      <c r="K18" s="1521" t="n">
        <v>24.270288</v>
      </c>
      <c r="L18" s="1521" t="n">
        <v>339.949136</v>
      </c>
      <c r="M18" s="1521" t="n">
        <v>0</v>
      </c>
      <c r="N18" s="1521" t="n">
        <v>21.298416</v>
      </c>
      <c r="O18" s="1521" t="n">
        <v>716.1386</v>
      </c>
      <c r="P18" s="1521" t="n">
        <v>37.396056</v>
      </c>
      <c r="Q18" s="1521" t="n">
        <v>401.532928</v>
      </c>
      <c r="R18" s="1521" t="n">
        <v>59.767648</v>
      </c>
      <c r="S18" s="1521" t="n">
        <v>16.840608</v>
      </c>
      <c r="T18" s="1521" t="n">
        <v>676.678743999999</v>
      </c>
      <c r="U18" s="1521" t="n">
        <f aca="false">SUM(B18:T18)</f>
        <v>9607.566864</v>
      </c>
      <c r="V18" s="379"/>
      <c r="W18" s="379"/>
      <c r="X18" s="379"/>
    </row>
    <row r="19" s="161" customFormat="true" ht="11.25" hidden="false" customHeight="true" outlineLevel="0" collapsed="false">
      <c r="A19" s="889" t="s">
        <v>220</v>
      </c>
      <c r="B19" s="1509" t="n">
        <v>1843.544715</v>
      </c>
      <c r="C19" s="1509" t="n">
        <v>1650.83421</v>
      </c>
      <c r="D19" s="1509" t="n">
        <v>1106.07714</v>
      </c>
      <c r="E19" s="1509" t="n">
        <v>934.898535</v>
      </c>
      <c r="F19" s="1509" t="n">
        <v>1404.790845</v>
      </c>
      <c r="G19" s="1509" t="n">
        <v>1.076595</v>
      </c>
      <c r="H19" s="1509" t="n">
        <v>659.04177</v>
      </c>
      <c r="I19" s="1509" t="n">
        <v>673.368765</v>
      </c>
      <c r="J19" s="1509" t="n">
        <v>260.37036</v>
      </c>
      <c r="K19" s="1509" t="n">
        <v>29.48214</v>
      </c>
      <c r="L19" s="1509" t="n">
        <v>426.911325</v>
      </c>
      <c r="M19" s="1509" t="n">
        <v>0.16563</v>
      </c>
      <c r="N19" s="1509" t="n">
        <v>23.68509</v>
      </c>
      <c r="O19" s="1509" t="n">
        <v>873.03573</v>
      </c>
      <c r="P19" s="1509" t="n">
        <v>47.20455</v>
      </c>
      <c r="Q19" s="1509" t="n">
        <v>578.87685</v>
      </c>
      <c r="R19" s="1509" t="n">
        <v>83.725965</v>
      </c>
      <c r="S19" s="1509" t="n">
        <v>14.74107</v>
      </c>
      <c r="T19" s="1509" t="n">
        <v>814.899599999999</v>
      </c>
      <c r="U19" s="1509" t="n">
        <f aca="false">SUM(B19:T19)</f>
        <v>11426.730885</v>
      </c>
      <c r="V19" s="379"/>
      <c r="W19" s="379"/>
      <c r="X19" s="379"/>
    </row>
    <row r="20" s="161" customFormat="true" ht="11.25" hidden="false" customHeight="true" outlineLevel="0" collapsed="false">
      <c r="A20" s="890" t="s">
        <v>221</v>
      </c>
      <c r="B20" s="1521" t="n">
        <v>1616.6005216</v>
      </c>
      <c r="C20" s="1521" t="n">
        <v>1431.606894</v>
      </c>
      <c r="D20" s="1521" t="n">
        <v>680.769916</v>
      </c>
      <c r="E20" s="1521" t="n">
        <v>816.6751404</v>
      </c>
      <c r="F20" s="1521" t="n">
        <v>1176.7120436</v>
      </c>
      <c r="G20" s="1521" t="n">
        <v>4.8093368</v>
      </c>
      <c r="H20" s="1521" t="n">
        <v>574.3840692</v>
      </c>
      <c r="I20" s="1521" t="n">
        <v>615.3463516</v>
      </c>
      <c r="J20" s="1521" t="n">
        <v>245.856614</v>
      </c>
      <c r="K20" s="1521" t="n">
        <v>25.705076</v>
      </c>
      <c r="L20" s="1521" t="n">
        <v>373.2211196</v>
      </c>
      <c r="M20" s="1521" t="n">
        <v>0</v>
      </c>
      <c r="N20" s="1521" t="n">
        <v>23.8808448</v>
      </c>
      <c r="O20" s="1521" t="n">
        <v>808.2173412</v>
      </c>
      <c r="P20" s="1521" t="n">
        <v>32.1728048</v>
      </c>
      <c r="Q20" s="1521" t="n">
        <v>396.1898488</v>
      </c>
      <c r="R20" s="1521" t="n">
        <v>69.4037052</v>
      </c>
      <c r="S20" s="1521" t="n">
        <v>12.852538</v>
      </c>
      <c r="T20" s="1521" t="n">
        <v>623.7212312</v>
      </c>
      <c r="U20" s="1521" t="n">
        <f aca="false">SUM(B20:T20)</f>
        <v>9528.1253968</v>
      </c>
      <c r="V20" s="379"/>
      <c r="W20" s="379"/>
      <c r="X20" s="379"/>
    </row>
    <row r="21" s="161" customFormat="true" ht="11.25" hidden="false" customHeight="true" outlineLevel="0" collapsed="false">
      <c r="A21" s="889" t="s">
        <v>222</v>
      </c>
      <c r="B21" s="1509" t="n">
        <v>1956.1968</v>
      </c>
      <c r="C21" s="1509" t="n">
        <v>1649.90848</v>
      </c>
      <c r="D21" s="1509" t="n">
        <v>834.07984</v>
      </c>
      <c r="E21" s="1509" t="n">
        <v>925.25288</v>
      </c>
      <c r="F21" s="1509" t="n">
        <v>1258.58616</v>
      </c>
      <c r="G21" s="1509" t="n">
        <v>1.2444</v>
      </c>
      <c r="H21" s="1509" t="n">
        <v>712.12864</v>
      </c>
      <c r="I21" s="1509" t="n">
        <v>682.84376</v>
      </c>
      <c r="J21" s="1509" t="n">
        <v>239.42256</v>
      </c>
      <c r="K21" s="1509" t="n">
        <v>29.28488</v>
      </c>
      <c r="L21" s="1509" t="n">
        <v>413.88744</v>
      </c>
      <c r="M21" s="1509" t="n">
        <v>0</v>
      </c>
      <c r="N21" s="1509" t="n">
        <v>28.78712</v>
      </c>
      <c r="O21" s="1509" t="n">
        <v>846.02608</v>
      </c>
      <c r="P21" s="1509" t="n">
        <v>40.06968</v>
      </c>
      <c r="Q21" s="1509" t="n">
        <v>405.34256</v>
      </c>
      <c r="R21" s="1509" t="n">
        <v>66.03616</v>
      </c>
      <c r="S21" s="1509" t="n">
        <v>15.18168</v>
      </c>
      <c r="T21" s="1509" t="n">
        <v>678.612799999999</v>
      </c>
      <c r="U21" s="1509" t="n">
        <f aca="false">SUM(B21:T21)</f>
        <v>10782.89192</v>
      </c>
      <c r="V21" s="379"/>
      <c r="W21" s="379"/>
      <c r="X21" s="379"/>
    </row>
    <row r="22" s="161" customFormat="true" ht="11.25" hidden="false" customHeight="true" outlineLevel="0" collapsed="false">
      <c r="A22" s="890" t="s">
        <v>223</v>
      </c>
      <c r="B22" s="1521" t="n">
        <v>1974.79548</v>
      </c>
      <c r="C22" s="1521" t="n">
        <v>1760.4720882</v>
      </c>
      <c r="D22" s="1521" t="n">
        <v>894.881061</v>
      </c>
      <c r="E22" s="1521" t="n">
        <v>944.9147448</v>
      </c>
      <c r="F22" s="1521" t="n">
        <v>1459.938087</v>
      </c>
      <c r="G22" s="1521" t="n">
        <v>2.489238</v>
      </c>
      <c r="H22" s="1521" t="n">
        <v>681.636339</v>
      </c>
      <c r="I22" s="1521" t="n">
        <v>679.4789994</v>
      </c>
      <c r="J22" s="1521" t="n">
        <v>258.6318282</v>
      </c>
      <c r="K22" s="1521" t="n">
        <v>32.6090178</v>
      </c>
      <c r="L22" s="1521" t="n">
        <v>405.9947178</v>
      </c>
      <c r="M22" s="1521" t="n">
        <v>0</v>
      </c>
      <c r="N22" s="1521" t="n">
        <v>20.6606754</v>
      </c>
      <c r="O22" s="1521" t="n">
        <v>767.51505</v>
      </c>
      <c r="P22" s="1521" t="n">
        <v>38.0023668</v>
      </c>
      <c r="Q22" s="1521" t="n">
        <v>401.0162418</v>
      </c>
      <c r="R22" s="1521" t="n">
        <v>71.358156</v>
      </c>
      <c r="S22" s="1521" t="n">
        <v>17.0927676</v>
      </c>
      <c r="T22" s="1521" t="n">
        <v>635.170563</v>
      </c>
      <c r="U22" s="1521" t="n">
        <f aca="false">SUM(B22:T22)</f>
        <v>11046.6574218</v>
      </c>
      <c r="V22" s="379"/>
      <c r="W22" s="379"/>
      <c r="X22" s="379"/>
    </row>
    <row r="23" s="161" customFormat="true" ht="11.25" hidden="false" customHeight="true" outlineLevel="0" collapsed="false">
      <c r="A23" s="889" t="s">
        <v>224</v>
      </c>
      <c r="B23" s="1509" t="n">
        <v>2244.2131244</v>
      </c>
      <c r="C23" s="1509" t="n">
        <v>2172.585753</v>
      </c>
      <c r="D23" s="1509" t="n">
        <v>883.87676</v>
      </c>
      <c r="E23" s="1509" t="n">
        <v>1050.9794984</v>
      </c>
      <c r="F23" s="1509" t="n">
        <v>1610.156626</v>
      </c>
      <c r="G23" s="1509" t="n">
        <v>1.667692</v>
      </c>
      <c r="H23" s="1509" t="n">
        <v>840.6835372</v>
      </c>
      <c r="I23" s="1509" t="n">
        <v>751.6287844</v>
      </c>
      <c r="J23" s="1509" t="n">
        <v>274.8356416</v>
      </c>
      <c r="K23" s="1509" t="n">
        <v>35.5218396</v>
      </c>
      <c r="L23" s="1509" t="n">
        <v>421.926076</v>
      </c>
      <c r="M23" s="1509" t="n">
        <v>0.0833846</v>
      </c>
      <c r="N23" s="1509" t="n">
        <v>25.7658414</v>
      </c>
      <c r="O23" s="1509" t="n">
        <v>838.849076</v>
      </c>
      <c r="P23" s="1509" t="n">
        <v>44.0270688</v>
      </c>
      <c r="Q23" s="1509" t="n">
        <v>462.4509916</v>
      </c>
      <c r="R23" s="1509" t="n">
        <v>68.6255258</v>
      </c>
      <c r="S23" s="1509" t="n">
        <v>20.84615</v>
      </c>
      <c r="T23" s="1509" t="n">
        <v>800.492160000001</v>
      </c>
      <c r="U23" s="1509" t="n">
        <f aca="false">SUM(B23:T23)</f>
        <v>12549.2155308</v>
      </c>
      <c r="V23" s="379"/>
      <c r="W23" s="379"/>
      <c r="X23" s="379"/>
    </row>
    <row r="24" s="161" customFormat="true" ht="11.25" hidden="false" customHeight="true" outlineLevel="0" collapsed="false">
      <c r="A24" s="890" t="s">
        <v>225</v>
      </c>
      <c r="B24" s="1521" t="n">
        <v>1922.277166</v>
      </c>
      <c r="C24" s="1521" t="n">
        <v>2077.375119</v>
      </c>
      <c r="D24" s="1521" t="n">
        <v>646.841328</v>
      </c>
      <c r="E24" s="1521" t="n">
        <v>920.208794</v>
      </c>
      <c r="F24" s="1521" t="n">
        <v>1699.214001</v>
      </c>
      <c r="G24" s="1521" t="n">
        <v>1.088113</v>
      </c>
      <c r="H24" s="1521" t="n">
        <v>733.388162</v>
      </c>
      <c r="I24" s="1521" t="n">
        <v>814.996637</v>
      </c>
      <c r="J24" s="1521" t="n">
        <v>252.860721</v>
      </c>
      <c r="K24" s="1521" t="n">
        <v>29.630154</v>
      </c>
      <c r="L24" s="1521" t="n">
        <v>375.064181</v>
      </c>
      <c r="M24" s="1521" t="n">
        <v>0.083701</v>
      </c>
      <c r="N24" s="1521" t="n">
        <v>25.445104</v>
      </c>
      <c r="O24" s="1521" t="n">
        <v>877.604985</v>
      </c>
      <c r="P24" s="1521" t="n">
        <v>42.68751</v>
      </c>
      <c r="Q24" s="1521" t="n">
        <v>421.685638</v>
      </c>
      <c r="R24" s="1521" t="n">
        <v>59.344009</v>
      </c>
      <c r="S24" s="1521" t="n">
        <v>13.810665</v>
      </c>
      <c r="T24" s="1521" t="n">
        <v>673.793050000001</v>
      </c>
      <c r="U24" s="1521" t="n">
        <f aca="false">SUM(B24:T24)</f>
        <v>11587.399038</v>
      </c>
      <c r="V24" s="379"/>
      <c r="W24" s="379"/>
      <c r="X24" s="379"/>
    </row>
    <row r="25" s="161" customFormat="true" ht="11.25" hidden="false" customHeight="true" outlineLevel="0" collapsed="false">
      <c r="A25" s="1054" t="s">
        <v>226</v>
      </c>
      <c r="B25" s="1519" t="n">
        <f aca="false">SUM(B26:B37)</f>
        <v>26143.3635736</v>
      </c>
      <c r="C25" s="1519" t="n">
        <f aca="false">SUM(C26:C37)</f>
        <v>21351.1121952</v>
      </c>
      <c r="D25" s="1519" t="n">
        <f aca="false">SUM(D26:D37)</f>
        <v>9882.1187704</v>
      </c>
      <c r="E25" s="1519" t="n">
        <f aca="false">SUM(E26:E37)</f>
        <v>12301.0175559</v>
      </c>
      <c r="F25" s="1519" t="n">
        <f aca="false">SUM(F26:F37)</f>
        <v>15488.6576974</v>
      </c>
      <c r="G25" s="1519" t="n">
        <f aca="false">SUM(G26:G37)</f>
        <v>65.7837677</v>
      </c>
      <c r="H25" s="1519" t="n">
        <f aca="false">SUM(H26:H37)</f>
        <v>8605.6801903</v>
      </c>
      <c r="I25" s="1519" t="n">
        <f aca="false">SUM(I26:I37)</f>
        <v>8960.9986872</v>
      </c>
      <c r="J25" s="1519" t="n">
        <f aca="false">SUM(J26:J37)</f>
        <v>3096.0592743</v>
      </c>
      <c r="K25" s="1519" t="n">
        <f aca="false">SUM(K26:K37)</f>
        <v>509.6095011</v>
      </c>
      <c r="L25" s="1519" t="n">
        <f aca="false">SUM(L26:L37)</f>
        <v>3950.0114481</v>
      </c>
      <c r="M25" s="1519" t="n">
        <f aca="false">SUM(M26:M37)</f>
        <v>0</v>
      </c>
      <c r="N25" s="1519" t="n">
        <f aca="false">SUM(N26:N37)</f>
        <v>416.4373438</v>
      </c>
      <c r="O25" s="1519" t="n">
        <f aca="false">SUM(O26:O37)</f>
        <v>10065.4388858</v>
      </c>
      <c r="P25" s="1519" t="n">
        <f aca="false">SUM(P26:P37)</f>
        <v>480.4309207</v>
      </c>
      <c r="Q25" s="1519" t="n">
        <f aca="false">SUM(Q26:Q37)</f>
        <v>6368.192425</v>
      </c>
      <c r="R25" s="1519" t="n">
        <f aca="false">SUM(R26:R37)</f>
        <v>945.7905202</v>
      </c>
      <c r="S25" s="1519" t="n">
        <f aca="false">SUM(S26:S37)</f>
        <v>168.7680048</v>
      </c>
      <c r="T25" s="1519" t="n">
        <f aca="false">SUM(T26:T37)</f>
        <v>9207.10092320001</v>
      </c>
      <c r="U25" s="1519" t="n">
        <f aca="false">SUM(B25:T25)</f>
        <v>138006.5716847</v>
      </c>
      <c r="V25" s="379"/>
      <c r="W25" s="379"/>
      <c r="X25" s="379"/>
    </row>
    <row r="26" s="161" customFormat="true" ht="11.25" hidden="false" customHeight="true" outlineLevel="0" collapsed="false">
      <c r="A26" s="890" t="s">
        <v>214</v>
      </c>
      <c r="B26" s="1521" t="n">
        <v>2033.6332576</v>
      </c>
      <c r="C26" s="1521" t="n">
        <v>1940.003888</v>
      </c>
      <c r="D26" s="1521" t="n">
        <v>651.8044576</v>
      </c>
      <c r="E26" s="1521" t="n">
        <v>898.2724672</v>
      </c>
      <c r="F26" s="1521" t="n">
        <v>1316.5897312</v>
      </c>
      <c r="G26" s="1521" t="n">
        <v>37.1000096</v>
      </c>
      <c r="H26" s="1521" t="n">
        <v>732.1180224</v>
      </c>
      <c r="I26" s="1521" t="n">
        <v>638.2374112</v>
      </c>
      <c r="J26" s="1521" t="n">
        <v>249.8178976</v>
      </c>
      <c r="K26" s="1521" t="n">
        <v>29.730256</v>
      </c>
      <c r="L26" s="1521" t="n">
        <v>376.1086752</v>
      </c>
      <c r="M26" s="1521" t="n">
        <v>0</v>
      </c>
      <c r="N26" s="1521" t="n">
        <v>22.3605024</v>
      </c>
      <c r="O26" s="1521" t="n">
        <v>783.5388032</v>
      </c>
      <c r="P26" s="1521" t="n">
        <v>35.9275488</v>
      </c>
      <c r="Q26" s="1521" t="n">
        <v>501.5619808</v>
      </c>
      <c r="R26" s="1521" t="n">
        <v>61.972928</v>
      </c>
      <c r="S26" s="1521" t="n">
        <v>14.7395072</v>
      </c>
      <c r="T26" s="1521" t="n">
        <v>715.8710656</v>
      </c>
      <c r="U26" s="1521" t="n">
        <f aca="false">SUM(B26:T26)</f>
        <v>11039.3884096</v>
      </c>
      <c r="V26" s="379"/>
      <c r="W26" s="379"/>
      <c r="X26" s="379"/>
    </row>
    <row r="27" s="161" customFormat="true" ht="11.25" hidden="false" customHeight="true" outlineLevel="0" collapsed="false">
      <c r="A27" s="889" t="s">
        <v>215</v>
      </c>
      <c r="B27" s="1509" t="n">
        <v>2250.44625</v>
      </c>
      <c r="C27" s="1509" t="n">
        <v>1780.3575</v>
      </c>
      <c r="D27" s="1509" t="n">
        <v>814.5525</v>
      </c>
      <c r="E27" s="1509" t="n">
        <v>950.73</v>
      </c>
      <c r="F27" s="1509" t="n">
        <v>1376.43125</v>
      </c>
      <c r="G27" s="1509" t="n">
        <v>1.92625</v>
      </c>
      <c r="H27" s="1509" t="n">
        <v>726.615</v>
      </c>
      <c r="I27" s="1509" t="n">
        <v>936.57625</v>
      </c>
      <c r="J27" s="1509" t="n">
        <v>261.8025</v>
      </c>
      <c r="K27" s="1509" t="n">
        <v>34.17</v>
      </c>
      <c r="L27" s="1509" t="n">
        <v>375.45125</v>
      </c>
      <c r="M27" s="1509" t="n">
        <v>0</v>
      </c>
      <c r="N27" s="1509" t="n">
        <v>26.9675</v>
      </c>
      <c r="O27" s="1509" t="n">
        <v>927.86625</v>
      </c>
      <c r="P27" s="1509" t="n">
        <v>44.30375</v>
      </c>
      <c r="Q27" s="1509" t="n">
        <v>515.3975</v>
      </c>
      <c r="R27" s="1509" t="n">
        <v>61.38875</v>
      </c>
      <c r="S27" s="1509" t="n">
        <v>15.2425</v>
      </c>
      <c r="T27" s="1509" t="n">
        <v>717.31875</v>
      </c>
      <c r="U27" s="1509" t="n">
        <f aca="false">SUM(B27:T27)</f>
        <v>11817.54375</v>
      </c>
      <c r="V27" s="379"/>
      <c r="W27" s="379"/>
      <c r="X27" s="379"/>
    </row>
    <row r="28" s="1522" customFormat="true" ht="11.25" hidden="false" customHeight="true" outlineLevel="0" collapsed="false">
      <c r="A28" s="890" t="s">
        <v>216</v>
      </c>
      <c r="B28" s="1521" t="n">
        <v>1802.97</v>
      </c>
      <c r="C28" s="1521" t="n">
        <v>1362.52875</v>
      </c>
      <c r="D28" s="1521" t="n">
        <v>668.57625</v>
      </c>
      <c r="E28" s="1521" t="n">
        <v>806.93125</v>
      </c>
      <c r="F28" s="1521" t="n">
        <v>1044.865</v>
      </c>
      <c r="G28" s="1521" t="n">
        <v>1.25625</v>
      </c>
      <c r="H28" s="1521" t="n">
        <v>646.63375</v>
      </c>
      <c r="I28" s="1521" t="n">
        <v>615.06</v>
      </c>
      <c r="J28" s="1521" t="n">
        <v>235.3375</v>
      </c>
      <c r="K28" s="1521" t="n">
        <v>28.72625</v>
      </c>
      <c r="L28" s="1521" t="n">
        <v>278.13375</v>
      </c>
      <c r="M28" s="1521" t="n">
        <v>0</v>
      </c>
      <c r="N28" s="1521" t="n">
        <v>22.02625</v>
      </c>
      <c r="O28" s="1521" t="n">
        <v>750.48375</v>
      </c>
      <c r="P28" s="1521" t="n">
        <v>27.05125</v>
      </c>
      <c r="Q28" s="1521" t="n">
        <v>564.3075</v>
      </c>
      <c r="R28" s="1521" t="n">
        <v>63.4825</v>
      </c>
      <c r="S28" s="1521" t="n">
        <v>12.98125</v>
      </c>
      <c r="T28" s="1521" t="n">
        <v>613.301250000001</v>
      </c>
      <c r="U28" s="1521" t="n">
        <f aca="false">SUM(B28:T28)</f>
        <v>9544.6525</v>
      </c>
      <c r="V28" s="159"/>
      <c r="W28" s="159"/>
      <c r="X28" s="159"/>
    </row>
    <row r="29" s="1522" customFormat="true" ht="11.25" hidden="false" customHeight="true" outlineLevel="0" collapsed="false">
      <c r="A29" s="889" t="s">
        <v>217</v>
      </c>
      <c r="B29" s="1509" t="n">
        <v>2046.8876307</v>
      </c>
      <c r="C29" s="1509" t="n">
        <v>1622.1045951</v>
      </c>
      <c r="D29" s="1509" t="n">
        <v>692.325942</v>
      </c>
      <c r="E29" s="1509" t="n">
        <v>869.179179</v>
      </c>
      <c r="F29" s="1509" t="n">
        <v>1176.6188346</v>
      </c>
      <c r="G29" s="1509" t="n">
        <v>2.514501</v>
      </c>
      <c r="H29" s="1509" t="n">
        <v>676.1493189</v>
      </c>
      <c r="I29" s="1509" t="n">
        <v>634.0733355</v>
      </c>
      <c r="J29" s="1509" t="n">
        <v>212.3915178</v>
      </c>
      <c r="K29" s="1509" t="n">
        <v>45.0933846</v>
      </c>
      <c r="L29" s="1509" t="n">
        <v>296.3758512</v>
      </c>
      <c r="M29" s="1509" t="n">
        <v>0</v>
      </c>
      <c r="N29" s="1509" t="n">
        <v>23.8877595</v>
      </c>
      <c r="O29" s="1509" t="n">
        <v>780.333477</v>
      </c>
      <c r="P29" s="1509" t="n">
        <v>30.9283623</v>
      </c>
      <c r="Q29" s="1509" t="n">
        <v>524.9439921</v>
      </c>
      <c r="R29" s="1509" t="n">
        <v>63.0301584</v>
      </c>
      <c r="S29" s="1509" t="n">
        <v>13.5783054</v>
      </c>
      <c r="T29" s="1509" t="n">
        <v>675.394968599999</v>
      </c>
      <c r="U29" s="1509" t="n">
        <f aca="false">SUM(B29:T29)</f>
        <v>10385.8111137</v>
      </c>
      <c r="V29" s="159"/>
      <c r="W29" s="159"/>
      <c r="X29" s="159"/>
    </row>
    <row r="30" s="1522" customFormat="true" ht="11.25" hidden="false" customHeight="true" outlineLevel="0" collapsed="false">
      <c r="A30" s="890" t="s">
        <v>218</v>
      </c>
      <c r="B30" s="1521" t="n">
        <v>1852.5139945</v>
      </c>
      <c r="C30" s="1521" t="n">
        <v>1540.085207</v>
      </c>
      <c r="D30" s="1521" t="n">
        <v>687.0078385</v>
      </c>
      <c r="E30" s="1521" t="n">
        <v>909.524234</v>
      </c>
      <c r="F30" s="1521" t="n">
        <v>1061.167522</v>
      </c>
      <c r="G30" s="1521" t="n">
        <v>2.2645845</v>
      </c>
      <c r="H30" s="1521" t="n">
        <v>625.025322</v>
      </c>
      <c r="I30" s="1521" t="n">
        <v>613.5346525</v>
      </c>
      <c r="J30" s="1521" t="n">
        <v>216.39363</v>
      </c>
      <c r="K30" s="1521" t="n">
        <v>32.9622855</v>
      </c>
      <c r="L30" s="1521" t="n">
        <v>284.9182795</v>
      </c>
      <c r="M30" s="1521" t="n">
        <v>0</v>
      </c>
      <c r="N30" s="1521" t="n">
        <v>29.523472</v>
      </c>
      <c r="O30" s="1521" t="n">
        <v>742.615969</v>
      </c>
      <c r="P30" s="1521" t="n">
        <v>37.575328</v>
      </c>
      <c r="Q30" s="1521" t="n">
        <v>506.8475605</v>
      </c>
      <c r="R30" s="1521" t="n">
        <v>69.447258</v>
      </c>
      <c r="S30" s="1521" t="n">
        <v>11.406796</v>
      </c>
      <c r="T30" s="1521" t="n">
        <v>677.949500500002</v>
      </c>
      <c r="U30" s="1521" t="n">
        <f aca="false">SUM(B30:T30)</f>
        <v>9900.763434</v>
      </c>
      <c r="V30" s="159"/>
      <c r="W30" s="159"/>
      <c r="X30" s="159"/>
    </row>
    <row r="31" s="1522" customFormat="true" ht="11.25" hidden="false" customHeight="true" outlineLevel="0" collapsed="false">
      <c r="A31" s="1523" t="s">
        <v>219</v>
      </c>
      <c r="B31" s="1509" t="n">
        <v>1940.4392</v>
      </c>
      <c r="C31" s="1509" t="n">
        <v>1402.0529</v>
      </c>
      <c r="D31" s="1509" t="n">
        <v>704.3405</v>
      </c>
      <c r="E31" s="1509" t="n">
        <v>881.7051</v>
      </c>
      <c r="F31" s="1509" t="n">
        <v>1276.3707</v>
      </c>
      <c r="G31" s="1509" t="n">
        <v>2.0975</v>
      </c>
      <c r="H31" s="1509" t="n">
        <v>622.1185</v>
      </c>
      <c r="I31" s="1509" t="n">
        <v>595.2705</v>
      </c>
      <c r="J31" s="1509" t="n">
        <v>208.072</v>
      </c>
      <c r="K31" s="1509" t="n">
        <v>39.2652</v>
      </c>
      <c r="L31" s="1509" t="n">
        <v>360.8539</v>
      </c>
      <c r="M31" s="1509" t="n">
        <v>0</v>
      </c>
      <c r="N31" s="1509" t="n">
        <v>33.7278</v>
      </c>
      <c r="O31" s="1509" t="n">
        <v>742.0116</v>
      </c>
      <c r="P31" s="1509" t="n">
        <v>35.6575</v>
      </c>
      <c r="Q31" s="1509" t="n">
        <v>522.1936</v>
      </c>
      <c r="R31" s="1509" t="n">
        <v>78.7821</v>
      </c>
      <c r="S31" s="1509" t="n">
        <v>12.4172</v>
      </c>
      <c r="T31" s="1509" t="n">
        <v>668.5991</v>
      </c>
      <c r="U31" s="1509" t="n">
        <f aca="false">SUM(B31:T31)</f>
        <v>10125.9749</v>
      </c>
      <c r="V31" s="159"/>
      <c r="W31" s="159"/>
      <c r="X31" s="159"/>
    </row>
    <row r="32" s="1522" customFormat="true" ht="11.25" hidden="false" customHeight="true" outlineLevel="0" collapsed="false">
      <c r="A32" s="890" t="s">
        <v>220</v>
      </c>
      <c r="B32" s="1521" t="n">
        <v>2479.7217597</v>
      </c>
      <c r="C32" s="1521" t="n">
        <v>2130.440346</v>
      </c>
      <c r="D32" s="1521" t="n">
        <v>1030.9719594</v>
      </c>
      <c r="E32" s="1521" t="n">
        <v>1249.6400879</v>
      </c>
      <c r="F32" s="1521" t="n">
        <v>1518.6732364</v>
      </c>
      <c r="G32" s="1521" t="n">
        <v>3.4416097</v>
      </c>
      <c r="H32" s="1521" t="n">
        <v>808.0228042</v>
      </c>
      <c r="I32" s="1521" t="n">
        <v>754.8037664</v>
      </c>
      <c r="J32" s="1521" t="n">
        <v>300.9309945</v>
      </c>
      <c r="K32" s="1521" t="n">
        <v>54.0584548</v>
      </c>
      <c r="L32" s="1521" t="n">
        <v>356.752225</v>
      </c>
      <c r="M32" s="1521" t="n">
        <v>0</v>
      </c>
      <c r="N32" s="1521" t="n">
        <v>37.773765</v>
      </c>
      <c r="O32" s="1521" t="n">
        <v>899.855024</v>
      </c>
      <c r="P32" s="1521" t="n">
        <v>43.3139172</v>
      </c>
      <c r="Q32" s="1521" t="n">
        <v>693.1066169</v>
      </c>
      <c r="R32" s="1521" t="n">
        <v>99.3869728</v>
      </c>
      <c r="S32" s="1521" t="n">
        <v>13.2627886</v>
      </c>
      <c r="T32" s="1521" t="n">
        <v>933.095937200001</v>
      </c>
      <c r="U32" s="1521" t="n">
        <f aca="false">SUM(B32:T32)</f>
        <v>13407.2522657</v>
      </c>
      <c r="V32" s="159"/>
      <c r="W32" s="159"/>
      <c r="X32" s="159"/>
    </row>
    <row r="33" s="1524" customFormat="true" ht="11.25" hidden="false" customHeight="true" outlineLevel="0" collapsed="false">
      <c r="A33" s="889" t="s">
        <v>221</v>
      </c>
      <c r="B33" s="1509" t="n">
        <v>2005.234962</v>
      </c>
      <c r="C33" s="1509" t="n">
        <v>1905.9817143</v>
      </c>
      <c r="D33" s="1509" t="n">
        <v>965.4710496</v>
      </c>
      <c r="E33" s="1509" t="n">
        <v>1005.979149</v>
      </c>
      <c r="F33" s="1509" t="n">
        <v>1080.6081786</v>
      </c>
      <c r="G33" s="1509" t="n">
        <v>2.3531676</v>
      </c>
      <c r="H33" s="1509" t="n">
        <v>592.8301518</v>
      </c>
      <c r="I33" s="1509" t="n">
        <v>744.1892535</v>
      </c>
      <c r="J33" s="1509" t="n">
        <v>232.7114673</v>
      </c>
      <c r="K33" s="1509" t="n">
        <v>47.8197273</v>
      </c>
      <c r="L33" s="1509" t="n">
        <v>274.9004007</v>
      </c>
      <c r="M33" s="1509" t="n">
        <v>0</v>
      </c>
      <c r="N33" s="1509" t="n">
        <v>84.5459502</v>
      </c>
      <c r="O33" s="1509" t="n">
        <v>811.5906969</v>
      </c>
      <c r="P33" s="1509" t="n">
        <v>38.0708901</v>
      </c>
      <c r="Q33" s="1509" t="n">
        <v>452.6485962</v>
      </c>
      <c r="R33" s="1509" t="n">
        <v>94.0426623</v>
      </c>
      <c r="S33" s="1509" t="n">
        <v>9.6647955</v>
      </c>
      <c r="T33" s="1509" t="n">
        <v>725.784121200001</v>
      </c>
      <c r="U33" s="1509" t="n">
        <f aca="false">SUM(B33:T33)</f>
        <v>11074.4269341</v>
      </c>
      <c r="V33" s="160"/>
      <c r="W33" s="160"/>
      <c r="X33" s="160"/>
    </row>
    <row r="34" s="1524" customFormat="true" ht="11.25" hidden="false" customHeight="true" outlineLevel="0" collapsed="false">
      <c r="A34" s="890" t="s">
        <v>222</v>
      </c>
      <c r="B34" s="1521" t="n">
        <v>2389.4048375</v>
      </c>
      <c r="C34" s="1521" t="n">
        <v>1969.0380023</v>
      </c>
      <c r="D34" s="1521" t="n">
        <v>905.7423236</v>
      </c>
      <c r="E34" s="1521" t="n">
        <v>1127.3780428</v>
      </c>
      <c r="F34" s="1521" t="n">
        <v>1331.330061</v>
      </c>
      <c r="G34" s="1521" t="n">
        <v>2.9472835</v>
      </c>
      <c r="H34" s="1521" t="n">
        <v>731.4315566</v>
      </c>
      <c r="I34" s="1521" t="n">
        <v>828.1866635</v>
      </c>
      <c r="J34" s="1521" t="n">
        <v>266.3502203</v>
      </c>
      <c r="K34" s="1521" t="n">
        <v>51.7037734</v>
      </c>
      <c r="L34" s="1521" t="n">
        <v>322.6854392</v>
      </c>
      <c r="M34" s="1521" t="n">
        <v>0</v>
      </c>
      <c r="N34" s="1521" t="n">
        <v>30.4833322</v>
      </c>
      <c r="O34" s="1521" t="n">
        <v>853.3648854</v>
      </c>
      <c r="P34" s="1521" t="n">
        <v>43.8724201</v>
      </c>
      <c r="Q34" s="1521" t="n">
        <v>501.038195</v>
      </c>
      <c r="R34" s="1521" t="n">
        <v>83.7870595</v>
      </c>
      <c r="S34" s="1521" t="n">
        <v>18.3573658</v>
      </c>
      <c r="T34" s="1521" t="n">
        <v>826.165669100001</v>
      </c>
      <c r="U34" s="1521" t="n">
        <f aca="false">SUM(B34:T34)</f>
        <v>12283.2671308</v>
      </c>
      <c r="V34" s="160"/>
      <c r="W34" s="160"/>
      <c r="X34" s="160"/>
    </row>
    <row r="35" s="1524" customFormat="true" ht="11.25" hidden="false" customHeight="true" outlineLevel="0" collapsed="false">
      <c r="A35" s="889" t="s">
        <v>223</v>
      </c>
      <c r="B35" s="1509" t="n">
        <v>2278.033303</v>
      </c>
      <c r="C35" s="1509" t="n">
        <v>1709.136377</v>
      </c>
      <c r="D35" s="1509" t="n">
        <v>810.673903</v>
      </c>
      <c r="E35" s="1509" t="n">
        <v>1226.763057</v>
      </c>
      <c r="F35" s="1509" t="n">
        <v>1289.336659</v>
      </c>
      <c r="G35" s="1509" t="n">
        <v>1.68662</v>
      </c>
      <c r="H35" s="1509" t="n">
        <v>810.42091</v>
      </c>
      <c r="I35" s="1509" t="n">
        <v>763.279881</v>
      </c>
      <c r="J35" s="1509" t="n">
        <v>286.135083</v>
      </c>
      <c r="K35" s="1509" t="n">
        <v>49.75529</v>
      </c>
      <c r="L35" s="1509" t="n">
        <v>391.127178</v>
      </c>
      <c r="M35" s="1509" t="n">
        <v>0</v>
      </c>
      <c r="N35" s="1509" t="n">
        <v>28.588209</v>
      </c>
      <c r="O35" s="1509" t="n">
        <v>890.872684</v>
      </c>
      <c r="P35" s="1509" t="n">
        <v>41.575183</v>
      </c>
      <c r="Q35" s="1509" t="n">
        <v>524.117165</v>
      </c>
      <c r="R35" s="1509" t="n">
        <v>87.451247</v>
      </c>
      <c r="S35" s="1509" t="n">
        <v>16.02289</v>
      </c>
      <c r="T35" s="1509" t="n">
        <v>890.619691</v>
      </c>
      <c r="U35" s="1509" t="n">
        <f aca="false">SUM(B35:T35)</f>
        <v>12095.59533</v>
      </c>
      <c r="V35" s="160"/>
      <c r="W35" s="160"/>
      <c r="X35" s="160"/>
    </row>
    <row r="36" s="1524" customFormat="true" ht="11.25" hidden="false" customHeight="true" outlineLevel="0" collapsed="false">
      <c r="A36" s="890" t="s">
        <v>224</v>
      </c>
      <c r="B36" s="1521" t="n">
        <v>2854.3188786</v>
      </c>
      <c r="C36" s="1521" t="n">
        <v>2195.5324155</v>
      </c>
      <c r="D36" s="1521" t="n">
        <v>1261.3855467</v>
      </c>
      <c r="E36" s="1521" t="n">
        <v>1388.208489</v>
      </c>
      <c r="F36" s="1521" t="n">
        <v>1673.1165246</v>
      </c>
      <c r="G36" s="1521" t="n">
        <v>5.5764918</v>
      </c>
      <c r="H36" s="1521" t="n">
        <v>923.3318544</v>
      </c>
      <c r="I36" s="1521" t="n">
        <v>965.9159736</v>
      </c>
      <c r="J36" s="1521" t="n">
        <v>313.1284638</v>
      </c>
      <c r="K36" s="1521" t="n">
        <v>56.1873795</v>
      </c>
      <c r="L36" s="1521" t="n">
        <v>345.6579993</v>
      </c>
      <c r="M36" s="1521" t="n">
        <v>0</v>
      </c>
      <c r="N36" s="1521" t="n">
        <v>46.0483035</v>
      </c>
      <c r="O36" s="1521" t="n">
        <v>1012.3022463</v>
      </c>
      <c r="P36" s="1521" t="n">
        <v>62.8622712</v>
      </c>
      <c r="Q36" s="1521" t="n">
        <v>557.2267185</v>
      </c>
      <c r="R36" s="1521" t="n">
        <v>89.0548842</v>
      </c>
      <c r="S36" s="1521" t="n">
        <v>15.2931063</v>
      </c>
      <c r="T36" s="1521" t="n">
        <v>1005.45837</v>
      </c>
      <c r="U36" s="1521" t="n">
        <f aca="false">SUM(B36:T36)</f>
        <v>14770.6059168</v>
      </c>
      <c r="V36" s="160"/>
      <c r="W36" s="160"/>
      <c r="X36" s="160"/>
    </row>
    <row r="37" s="1524" customFormat="true" ht="11.25" hidden="false" customHeight="true" outlineLevel="0" collapsed="false">
      <c r="A37" s="889" t="s">
        <v>225</v>
      </c>
      <c r="B37" s="1509" t="n">
        <v>2209.7595</v>
      </c>
      <c r="C37" s="1509" t="n">
        <v>1793.8505</v>
      </c>
      <c r="D37" s="1509" t="n">
        <v>689.2665</v>
      </c>
      <c r="E37" s="1509" t="n">
        <v>986.7065</v>
      </c>
      <c r="F37" s="1509" t="n">
        <v>1343.55</v>
      </c>
      <c r="G37" s="1509" t="n">
        <v>2.6195</v>
      </c>
      <c r="H37" s="1509" t="n">
        <v>710.983</v>
      </c>
      <c r="I37" s="1509" t="n">
        <v>871.871</v>
      </c>
      <c r="J37" s="1509" t="n">
        <v>312.988</v>
      </c>
      <c r="K37" s="1509" t="n">
        <v>40.1375</v>
      </c>
      <c r="L37" s="1509" t="n">
        <v>287.0465</v>
      </c>
      <c r="M37" s="1509" t="n">
        <v>0</v>
      </c>
      <c r="N37" s="1509" t="n">
        <v>30.5045</v>
      </c>
      <c r="O37" s="1509" t="n">
        <v>870.6035</v>
      </c>
      <c r="P37" s="1509" t="n">
        <v>39.2925</v>
      </c>
      <c r="Q37" s="1509" t="n">
        <v>504.803</v>
      </c>
      <c r="R37" s="1509" t="n">
        <v>93.964</v>
      </c>
      <c r="S37" s="1509" t="n">
        <v>15.8015</v>
      </c>
      <c r="T37" s="1509" t="n">
        <v>757.542500000002</v>
      </c>
      <c r="U37" s="1509" t="n">
        <f aca="false">SUM(B37:T37)</f>
        <v>11561.29</v>
      </c>
      <c r="V37" s="160"/>
      <c r="W37" s="160"/>
      <c r="X37" s="160"/>
    </row>
    <row r="38" s="1524" customFormat="true" ht="11.25" hidden="false" customHeight="true" outlineLevel="0" collapsed="false">
      <c r="A38" s="888" t="s">
        <v>227</v>
      </c>
      <c r="B38" s="1520" t="n">
        <f aca="false">SUM(B39:B50)</f>
        <v>34046.0984813</v>
      </c>
      <c r="C38" s="1520" t="n">
        <f aca="false">SUM(C39:C50)</f>
        <v>20962.529843</v>
      </c>
      <c r="D38" s="1520" t="n">
        <f aca="false">SUM(D39:D50)</f>
        <v>11571.7210588</v>
      </c>
      <c r="E38" s="1520" t="n">
        <f aca="false">SUM(E39:E50)</f>
        <v>11633.0822479</v>
      </c>
      <c r="F38" s="1520" t="n">
        <f aca="false">SUM(F39:F50)</f>
        <v>20382.712716</v>
      </c>
      <c r="G38" s="1520" t="n">
        <f aca="false">SUM(G39:G50)</f>
        <v>34.0657236</v>
      </c>
      <c r="H38" s="1520" t="n">
        <f aca="false">SUM(H39:H50)</f>
        <v>8643.3577769</v>
      </c>
      <c r="I38" s="1520" t="n">
        <f aca="false">SUM(I39:I50)</f>
        <v>10517.8744919</v>
      </c>
      <c r="J38" s="1520" t="n">
        <f aca="false">SUM(J39:J50)</f>
        <v>3878.3621466</v>
      </c>
      <c r="K38" s="1520" t="n">
        <f aca="false">SUM(K39:K50)</f>
        <v>447.2238115</v>
      </c>
      <c r="L38" s="1520" t="n">
        <f aca="false">SUM(L39:L50)</f>
        <v>3706.6695921</v>
      </c>
      <c r="M38" s="1520" t="n">
        <f aca="false">SUM(M39:M50)</f>
        <v>0.0845</v>
      </c>
      <c r="N38" s="1520" t="n">
        <f aca="false">SUM(N39:N50)</f>
        <v>418.3903887</v>
      </c>
      <c r="O38" s="1520" t="n">
        <f aca="false">SUM(O39:O50)</f>
        <v>10439.3165729</v>
      </c>
      <c r="P38" s="1520" t="n">
        <f aca="false">SUM(P39:P50)</f>
        <v>519.8981318</v>
      </c>
      <c r="Q38" s="1520" t="n">
        <f aca="false">SUM(Q39:Q50)</f>
        <v>5926.4297523</v>
      </c>
      <c r="R38" s="1520" t="n">
        <f aca="false">SUM(R39:R50)</f>
        <v>1507.859799</v>
      </c>
      <c r="S38" s="1520" t="n">
        <f aca="false">SUM(S39:S50)</f>
        <v>144.8888565</v>
      </c>
      <c r="T38" s="1520" t="n">
        <f aca="false">SUM(T39:T50)</f>
        <v>9572.4952561</v>
      </c>
      <c r="U38" s="1520" t="n">
        <f aca="false">SUM(B38:T38)</f>
        <v>154353.0611469</v>
      </c>
      <c r="V38" s="160"/>
      <c r="W38" s="160"/>
      <c r="X38" s="160"/>
    </row>
    <row r="39" s="1524" customFormat="true" ht="11.25" hidden="false" customHeight="true" outlineLevel="0" collapsed="false">
      <c r="A39" s="889" t="s">
        <v>214</v>
      </c>
      <c r="B39" s="1509" t="n">
        <v>2799.04925</v>
      </c>
      <c r="C39" s="1509" t="n">
        <v>2005.175508</v>
      </c>
      <c r="D39" s="1509" t="n">
        <v>1026.0786428</v>
      </c>
      <c r="E39" s="1509" t="n">
        <v>1222.0332152</v>
      </c>
      <c r="F39" s="1509" t="n">
        <v>1318.2782596</v>
      </c>
      <c r="G39" s="1509" t="n">
        <v>3.9714812</v>
      </c>
      <c r="H39" s="1509" t="n">
        <v>882.6828216</v>
      </c>
      <c r="I39" s="1509" t="n">
        <v>893.8367688</v>
      </c>
      <c r="J39" s="1509" t="n">
        <v>300.4805776</v>
      </c>
      <c r="K39" s="1509" t="n">
        <v>41.9963012</v>
      </c>
      <c r="L39" s="1509" t="n">
        <v>342.8993768</v>
      </c>
      <c r="M39" s="1509" t="n">
        <v>0</v>
      </c>
      <c r="N39" s="1509" t="n">
        <v>41.1513052</v>
      </c>
      <c r="O39" s="1509" t="n">
        <v>969.8019092</v>
      </c>
      <c r="P39" s="1509" t="n">
        <v>51.8827544</v>
      </c>
      <c r="Q39" s="1509" t="n">
        <v>536.8259588</v>
      </c>
      <c r="R39" s="1509" t="n">
        <v>113.0604648</v>
      </c>
      <c r="S39" s="1509" t="n">
        <v>14.6184308</v>
      </c>
      <c r="T39" s="1509" t="n">
        <v>936.593566399999</v>
      </c>
      <c r="U39" s="1509" t="n">
        <f aca="false">SUM(B39:T39)</f>
        <v>13500.4165924</v>
      </c>
      <c r="V39" s="160"/>
      <c r="W39" s="160"/>
      <c r="X39" s="160"/>
    </row>
    <row r="40" s="1524" customFormat="true" ht="11.25" hidden="false" customHeight="true" outlineLevel="0" collapsed="false">
      <c r="A40" s="890" t="s">
        <v>215</v>
      </c>
      <c r="B40" s="1521" t="n">
        <v>2574.6305</v>
      </c>
      <c r="C40" s="1521" t="n">
        <v>1477.9895</v>
      </c>
      <c r="D40" s="1521" t="n">
        <v>931.697</v>
      </c>
      <c r="E40" s="1521" t="n">
        <v>981.383</v>
      </c>
      <c r="F40" s="1521" t="n">
        <v>1449.851</v>
      </c>
      <c r="G40" s="1521" t="n">
        <v>2.535</v>
      </c>
      <c r="H40" s="1521" t="n">
        <v>749.684</v>
      </c>
      <c r="I40" s="1521" t="n">
        <v>954.2585</v>
      </c>
      <c r="J40" s="1521" t="n">
        <v>304.4535</v>
      </c>
      <c r="K40" s="1521" t="n">
        <v>35.152</v>
      </c>
      <c r="L40" s="1521" t="n">
        <v>329.888</v>
      </c>
      <c r="M40" s="1521" t="n">
        <v>0.0845</v>
      </c>
      <c r="N40" s="1521" t="n">
        <v>42.757</v>
      </c>
      <c r="O40" s="1521" t="n">
        <v>883.7855</v>
      </c>
      <c r="P40" s="1521" t="n">
        <v>40.8135</v>
      </c>
      <c r="Q40" s="1521" t="n">
        <v>516.633</v>
      </c>
      <c r="R40" s="1521" t="n">
        <v>105.794</v>
      </c>
      <c r="S40" s="1521" t="n">
        <v>12.2525</v>
      </c>
      <c r="T40" s="1521" t="n">
        <v>814.495500000001</v>
      </c>
      <c r="U40" s="1521" t="n">
        <f aca="false">SUM(B40:T40)</f>
        <v>12208.1375</v>
      </c>
      <c r="V40" s="160"/>
      <c r="W40" s="160"/>
      <c r="X40" s="160"/>
    </row>
    <row r="41" s="1524" customFormat="true" ht="11.25" hidden="false" customHeight="true" outlineLevel="0" collapsed="false">
      <c r="A41" s="1525" t="s">
        <v>216</v>
      </c>
      <c r="B41" s="1163" t="n">
        <v>2630.823</v>
      </c>
      <c r="C41" s="1163" t="n">
        <v>1795.5405</v>
      </c>
      <c r="D41" s="1163" t="n">
        <v>901.1925</v>
      </c>
      <c r="E41" s="1163" t="n">
        <v>988.65</v>
      </c>
      <c r="F41" s="1163" t="n">
        <v>1374.646</v>
      </c>
      <c r="G41" s="1163" t="n">
        <v>4.1405</v>
      </c>
      <c r="H41" s="1163" t="n">
        <v>774.4425</v>
      </c>
      <c r="I41" s="1163" t="n">
        <v>846.352</v>
      </c>
      <c r="J41" s="1163" t="n">
        <v>303.355</v>
      </c>
      <c r="K41" s="1163" t="n">
        <v>38.363</v>
      </c>
      <c r="L41" s="1163" t="n">
        <v>313.326</v>
      </c>
      <c r="M41" s="1163" t="n">
        <v>0</v>
      </c>
      <c r="N41" s="1163" t="n">
        <v>31.941</v>
      </c>
      <c r="O41" s="1163" t="n">
        <v>843.5635</v>
      </c>
      <c r="P41" s="1163" t="n">
        <v>37.9405</v>
      </c>
      <c r="Q41" s="1163" t="n">
        <v>589.472</v>
      </c>
      <c r="R41" s="1163" t="n">
        <v>102.1605</v>
      </c>
      <c r="S41" s="1163" t="n">
        <v>12.5905</v>
      </c>
      <c r="T41" s="1163" t="n">
        <v>891.390500000001</v>
      </c>
      <c r="U41" s="1163" t="n">
        <f aca="false">SUM(B41:T41)</f>
        <v>12479.8895</v>
      </c>
      <c r="V41" s="160"/>
      <c r="W41" s="160"/>
      <c r="X41" s="160"/>
    </row>
    <row r="42" s="1524" customFormat="true" ht="11.25" hidden="false" customHeight="true" outlineLevel="0" collapsed="false">
      <c r="A42" s="890" t="s">
        <v>217</v>
      </c>
      <c r="B42" s="1165" t="n">
        <v>2898.3456162</v>
      </c>
      <c r="C42" s="1165" t="n">
        <v>2037.588363</v>
      </c>
      <c r="D42" s="1165" t="n">
        <v>1195.543224</v>
      </c>
      <c r="E42" s="1165" t="n">
        <v>1028.2349088</v>
      </c>
      <c r="F42" s="1165" t="n">
        <v>1734.3843768</v>
      </c>
      <c r="G42" s="1165" t="n">
        <v>4.0641696</v>
      </c>
      <c r="H42" s="1165" t="n">
        <v>800.3027304</v>
      </c>
      <c r="I42" s="1165" t="n">
        <v>932.4729126</v>
      </c>
      <c r="J42" s="1165" t="n">
        <v>347.14782</v>
      </c>
      <c r="K42" s="1165" t="n">
        <v>35.6461542</v>
      </c>
      <c r="L42" s="1165" t="n">
        <v>266.287779</v>
      </c>
      <c r="M42" s="1165" t="n">
        <v>0</v>
      </c>
      <c r="N42" s="1165" t="n">
        <v>30.1425912</v>
      </c>
      <c r="O42" s="1165" t="n">
        <v>835.6102038</v>
      </c>
      <c r="P42" s="1165" t="n">
        <v>44.1978444</v>
      </c>
      <c r="Q42" s="1165" t="n">
        <v>591.5060172</v>
      </c>
      <c r="R42" s="1165" t="n">
        <v>175.6059948</v>
      </c>
      <c r="S42" s="1165" t="n">
        <v>11.007126</v>
      </c>
      <c r="T42" s="1165" t="n">
        <v>931.964891400001</v>
      </c>
      <c r="U42" s="1165" t="n">
        <f aca="false">SUM(B42:T42)</f>
        <v>13900.0527234</v>
      </c>
      <c r="V42" s="160"/>
      <c r="W42" s="160"/>
      <c r="X42" s="160"/>
    </row>
    <row r="43" s="1524" customFormat="true" ht="11.25" hidden="false" customHeight="true" outlineLevel="0" collapsed="false">
      <c r="A43" s="889" t="s">
        <v>218</v>
      </c>
      <c r="B43" s="1163" t="n">
        <v>2790.566615</v>
      </c>
      <c r="C43" s="1163" t="n">
        <v>2029.233235</v>
      </c>
      <c r="D43" s="1163" t="n">
        <v>1043.738891</v>
      </c>
      <c r="E43" s="1163" t="n">
        <v>939.712604</v>
      </c>
      <c r="F43" s="1163" t="n">
        <v>1687.820148</v>
      </c>
      <c r="G43" s="1163" t="n">
        <v>4.323831</v>
      </c>
      <c r="H43" s="1163" t="n">
        <v>665.615631</v>
      </c>
      <c r="I43" s="1163" t="n">
        <v>839.077557</v>
      </c>
      <c r="J43" s="1163" t="n">
        <v>335.393636</v>
      </c>
      <c r="K43" s="1163" t="n">
        <v>42.051376</v>
      </c>
      <c r="L43" s="1163" t="n">
        <v>244.762747</v>
      </c>
      <c r="M43" s="1163" t="n">
        <v>0</v>
      </c>
      <c r="N43" s="1163" t="n">
        <v>27.723387</v>
      </c>
      <c r="O43" s="1163" t="n">
        <v>949.462419</v>
      </c>
      <c r="P43" s="1163" t="n">
        <v>43.662215</v>
      </c>
      <c r="Q43" s="1163" t="n">
        <v>595.247401</v>
      </c>
      <c r="R43" s="1163" t="n">
        <v>136.412629</v>
      </c>
      <c r="S43" s="1163" t="n">
        <v>10.851968</v>
      </c>
      <c r="T43" s="1163" t="n">
        <v>799.739173</v>
      </c>
      <c r="U43" s="1163" t="n">
        <f aca="false">SUM(B43:T43)</f>
        <v>13185.395463</v>
      </c>
      <c r="V43" s="160"/>
      <c r="W43" s="160"/>
      <c r="X43" s="160"/>
    </row>
    <row r="44" s="1524" customFormat="true" ht="11.25" hidden="false" customHeight="true" outlineLevel="0" collapsed="false">
      <c r="A44" s="890" t="s">
        <v>219</v>
      </c>
      <c r="B44" s="1165" t="n">
        <v>2850.2939832</v>
      </c>
      <c r="C44" s="1165" t="n">
        <v>1994.6030096</v>
      </c>
      <c r="D44" s="1165" t="n">
        <v>1130.3372976</v>
      </c>
      <c r="E44" s="1165" t="n">
        <v>1150.4582184</v>
      </c>
      <c r="F44" s="1165" t="n">
        <v>1762.3209872</v>
      </c>
      <c r="G44" s="1165" t="n">
        <v>5.093904</v>
      </c>
      <c r="H44" s="1165" t="n">
        <v>877.849456</v>
      </c>
      <c r="I44" s="1165" t="n">
        <v>843.3807056</v>
      </c>
      <c r="J44" s="1165" t="n">
        <v>376.948896</v>
      </c>
      <c r="K44" s="1165" t="n">
        <v>46.9488152</v>
      </c>
      <c r="L44" s="1165" t="n">
        <v>370.4117192</v>
      </c>
      <c r="M44" s="1165" t="n">
        <v>0</v>
      </c>
      <c r="N44" s="1165" t="n">
        <v>46.9488152</v>
      </c>
      <c r="O44" s="1165" t="n">
        <v>962.2384656</v>
      </c>
      <c r="P44" s="1165" t="n">
        <v>54.5047728</v>
      </c>
      <c r="Q44" s="1165" t="n">
        <v>702.7889552</v>
      </c>
      <c r="R44" s="1165" t="n">
        <v>179.3054208</v>
      </c>
      <c r="S44" s="1165" t="n">
        <v>14.5176264</v>
      </c>
      <c r="T44" s="1165" t="n">
        <v>993.141483200001</v>
      </c>
      <c r="U44" s="1165" t="n">
        <f aca="false">SUM(B44:T44)</f>
        <v>14362.0925312</v>
      </c>
      <c r="V44" s="160"/>
      <c r="W44" s="160"/>
      <c r="X44" s="160"/>
    </row>
    <row r="45" s="1524" customFormat="true" ht="11.25" hidden="false" customHeight="true" outlineLevel="0" collapsed="false">
      <c r="A45" s="889" t="s">
        <v>220</v>
      </c>
      <c r="B45" s="1163" t="n">
        <v>2726.988</v>
      </c>
      <c r="C45" s="1163" t="n">
        <v>1807.1814</v>
      </c>
      <c r="D45" s="1163" t="n">
        <v>1188.6</v>
      </c>
      <c r="E45" s="1163" t="n">
        <v>1169.1579</v>
      </c>
      <c r="F45" s="1163" t="n">
        <v>1894.7982</v>
      </c>
      <c r="G45" s="1163" t="n">
        <v>3.1413</v>
      </c>
      <c r="H45" s="1163" t="n">
        <v>798.8241</v>
      </c>
      <c r="I45" s="1163" t="n">
        <v>773.6937</v>
      </c>
      <c r="J45" s="1163" t="n">
        <v>385.446</v>
      </c>
      <c r="K45" s="1163" t="n">
        <v>46.8648</v>
      </c>
      <c r="L45" s="1163" t="n">
        <v>311.2434</v>
      </c>
      <c r="M45" s="1163" t="n">
        <v>0</v>
      </c>
      <c r="N45" s="1163" t="n">
        <v>33.2808</v>
      </c>
      <c r="O45" s="1163" t="n">
        <v>1028.3937</v>
      </c>
      <c r="P45" s="1163" t="n">
        <v>52.3833</v>
      </c>
      <c r="Q45" s="1163" t="n">
        <v>620.1096</v>
      </c>
      <c r="R45" s="1163" t="n">
        <v>147.3864</v>
      </c>
      <c r="S45" s="1163" t="n">
        <v>14.8575</v>
      </c>
      <c r="T45" s="1163" t="n">
        <v>907.920600000001</v>
      </c>
      <c r="U45" s="1163" t="n">
        <f aca="false">SUM(B45:T45)</f>
        <v>13910.2707</v>
      </c>
      <c r="V45" s="160"/>
      <c r="W45" s="160"/>
      <c r="X45" s="160"/>
    </row>
    <row r="46" s="1524" customFormat="true" ht="11.25" hidden="false" customHeight="true" outlineLevel="0" collapsed="false">
      <c r="A46" s="890" t="s">
        <v>221</v>
      </c>
      <c r="B46" s="1165" t="n">
        <v>2621.107566</v>
      </c>
      <c r="C46" s="1165" t="n">
        <v>1628.7310116</v>
      </c>
      <c r="D46" s="1165" t="n">
        <v>947.0986308</v>
      </c>
      <c r="E46" s="1165" t="n">
        <v>958.651722</v>
      </c>
      <c r="F46" s="1165" t="n">
        <v>1764.3099348</v>
      </c>
      <c r="G46" s="1165" t="n">
        <v>1.9538316</v>
      </c>
      <c r="H46" s="1165" t="n">
        <v>713.8281276</v>
      </c>
      <c r="I46" s="1165" t="n">
        <v>812.1993012</v>
      </c>
      <c r="J46" s="1165" t="n">
        <v>293.5844352</v>
      </c>
      <c r="K46" s="1165" t="n">
        <v>31.006458</v>
      </c>
      <c r="L46" s="1165" t="n">
        <v>288.3175848</v>
      </c>
      <c r="M46" s="1165" t="n">
        <v>0</v>
      </c>
      <c r="N46" s="1165" t="n">
        <v>25.8245568</v>
      </c>
      <c r="O46" s="1165" t="n">
        <v>895.0247712</v>
      </c>
      <c r="P46" s="1165" t="n">
        <v>33.8097816</v>
      </c>
      <c r="Q46" s="1165" t="n">
        <v>482.8512528</v>
      </c>
      <c r="R46" s="1165" t="n">
        <v>97.4367324</v>
      </c>
      <c r="S46" s="1165" t="n">
        <v>11.468142</v>
      </c>
      <c r="T46" s="1165" t="n">
        <v>729.1189836</v>
      </c>
      <c r="U46" s="1165" t="n">
        <f aca="false">SUM(B46:T46)</f>
        <v>12336.322824</v>
      </c>
      <c r="V46" s="160"/>
      <c r="W46" s="160"/>
      <c r="X46" s="160"/>
    </row>
    <row r="47" s="1524" customFormat="true" ht="11.25" hidden="false" customHeight="true" outlineLevel="0" collapsed="false">
      <c r="A47" s="889" t="s">
        <v>222</v>
      </c>
      <c r="B47" s="1163" t="n">
        <v>2434.8369</v>
      </c>
      <c r="C47" s="1163" t="n">
        <v>1353.50835</v>
      </c>
      <c r="D47" s="1163" t="n">
        <v>692.42745</v>
      </c>
      <c r="E47" s="1163" t="n">
        <v>822.74075</v>
      </c>
      <c r="F47" s="1163" t="n">
        <v>1523.4933</v>
      </c>
      <c r="G47" s="1163" t="n">
        <v>1.1893</v>
      </c>
      <c r="H47" s="1163" t="n">
        <v>601.19115</v>
      </c>
      <c r="I47" s="1163" t="n">
        <v>702.79135</v>
      </c>
      <c r="J47" s="1163" t="n">
        <v>318.47755</v>
      </c>
      <c r="K47" s="1163" t="n">
        <v>34.23485</v>
      </c>
      <c r="L47" s="1163" t="n">
        <v>329.52105</v>
      </c>
      <c r="M47" s="1163" t="n">
        <v>0</v>
      </c>
      <c r="N47" s="1163" t="n">
        <v>35.93385</v>
      </c>
      <c r="O47" s="1163" t="n">
        <v>813.05645</v>
      </c>
      <c r="P47" s="1163" t="n">
        <v>29.47765</v>
      </c>
      <c r="Q47" s="1163" t="n">
        <v>374.4596</v>
      </c>
      <c r="R47" s="1163" t="n">
        <v>110.18015</v>
      </c>
      <c r="S47" s="1163" t="n">
        <v>11.5532</v>
      </c>
      <c r="T47" s="1163" t="n">
        <v>652.755799999999</v>
      </c>
      <c r="U47" s="1163" t="n">
        <f aca="false">SUM(B47:T47)</f>
        <v>10841.8287</v>
      </c>
      <c r="V47" s="160"/>
      <c r="W47" s="160"/>
      <c r="X47" s="160"/>
    </row>
    <row r="48" s="1524" customFormat="true" ht="11.25" hidden="false" customHeight="true" outlineLevel="0" collapsed="false">
      <c r="A48" s="890" t="s">
        <v>223</v>
      </c>
      <c r="B48" s="1165" t="n">
        <v>2362.2896</v>
      </c>
      <c r="C48" s="1165" t="n">
        <v>1355.6321</v>
      </c>
      <c r="D48" s="1165" t="n">
        <v>688.17995</v>
      </c>
      <c r="E48" s="1165" t="n">
        <v>749.4289</v>
      </c>
      <c r="F48" s="1165" t="n">
        <v>1455.78815</v>
      </c>
      <c r="G48" s="1165" t="n">
        <v>1.3592</v>
      </c>
      <c r="H48" s="1165" t="n">
        <v>289.6795</v>
      </c>
      <c r="I48" s="1165" t="n">
        <v>611.4701</v>
      </c>
      <c r="J48" s="1165" t="n">
        <v>251.70685</v>
      </c>
      <c r="K48" s="1165" t="n">
        <v>25.90975</v>
      </c>
      <c r="L48" s="1165" t="n">
        <v>209.91145</v>
      </c>
      <c r="M48" s="1165" t="n">
        <v>0</v>
      </c>
      <c r="N48" s="1165" t="n">
        <v>22.2569</v>
      </c>
      <c r="O48" s="1165" t="n">
        <v>458.47515</v>
      </c>
      <c r="P48" s="1165" t="n">
        <v>25.23015</v>
      </c>
      <c r="Q48" s="1165" t="n">
        <v>202.5208</v>
      </c>
      <c r="R48" s="1165" t="n">
        <v>140.25245</v>
      </c>
      <c r="S48" s="1165" t="n">
        <v>8.495</v>
      </c>
      <c r="T48" s="1165" t="n">
        <v>426.1092</v>
      </c>
      <c r="U48" s="1165" t="n">
        <f aca="false">SUM(B48:T48)</f>
        <v>9284.6952</v>
      </c>
      <c r="V48" s="160"/>
      <c r="W48" s="160"/>
      <c r="X48" s="160"/>
    </row>
    <row r="49" s="1524" customFormat="true" ht="11.25" hidden="false" customHeight="true" outlineLevel="0" collapsed="false">
      <c r="A49" s="889" t="s">
        <v>224</v>
      </c>
      <c r="B49" s="1163" t="n">
        <v>3228.18495</v>
      </c>
      <c r="C49" s="1163" t="n">
        <v>1666.3792</v>
      </c>
      <c r="D49" s="1163" t="n">
        <v>856.89065</v>
      </c>
      <c r="E49" s="1163" t="n">
        <v>487.69795</v>
      </c>
      <c r="F49" s="1163" t="n">
        <v>2267.57035</v>
      </c>
      <c r="G49" s="1163" t="n">
        <v>1.10435</v>
      </c>
      <c r="H49" s="1163" t="n">
        <v>577.1503</v>
      </c>
      <c r="I49" s="1163" t="n">
        <v>1157.78355</v>
      </c>
      <c r="J49" s="1163" t="n">
        <v>292.31295</v>
      </c>
      <c r="K49" s="1163" t="n">
        <v>31.4315</v>
      </c>
      <c r="L49" s="1163" t="n">
        <v>318.7324</v>
      </c>
      <c r="M49" s="1163" t="n">
        <v>0</v>
      </c>
      <c r="N49" s="1163" t="n">
        <v>33.6402</v>
      </c>
      <c r="O49" s="1163" t="n">
        <v>846.52675</v>
      </c>
      <c r="P49" s="1163" t="n">
        <v>47.2322</v>
      </c>
      <c r="Q49" s="1163" t="n">
        <v>286.7912</v>
      </c>
      <c r="R49" s="1163" t="n">
        <v>74.2463</v>
      </c>
      <c r="S49" s="1163" t="n">
        <v>9.8542</v>
      </c>
      <c r="T49" s="1163" t="n">
        <v>598.048</v>
      </c>
      <c r="U49" s="1163" t="n">
        <f aca="false">SUM(B49:T49)</f>
        <v>12781.577</v>
      </c>
      <c r="V49" s="160"/>
      <c r="W49" s="160"/>
      <c r="X49" s="160"/>
    </row>
    <row r="50" s="1524" customFormat="true" ht="11.25" hidden="false" customHeight="true" outlineLevel="0" collapsed="false">
      <c r="A50" s="890" t="s">
        <v>225</v>
      </c>
      <c r="B50" s="1165" t="n">
        <v>4128.9825009</v>
      </c>
      <c r="C50" s="1165" t="n">
        <v>1810.9676658</v>
      </c>
      <c r="D50" s="1165" t="n">
        <v>969.9368226</v>
      </c>
      <c r="E50" s="1165" t="n">
        <v>1134.9330795</v>
      </c>
      <c r="F50" s="1165" t="n">
        <v>2149.4520096</v>
      </c>
      <c r="G50" s="1165" t="n">
        <v>1.1888562</v>
      </c>
      <c r="H50" s="1165" t="n">
        <v>912.1074603</v>
      </c>
      <c r="I50" s="1165" t="n">
        <v>1150.5580467</v>
      </c>
      <c r="J50" s="1165" t="n">
        <v>369.0549318</v>
      </c>
      <c r="K50" s="1165" t="n">
        <v>37.6188069</v>
      </c>
      <c r="L50" s="1165" t="n">
        <v>381.3680853</v>
      </c>
      <c r="M50" s="1165" t="n">
        <v>0</v>
      </c>
      <c r="N50" s="1165" t="n">
        <v>46.7899833</v>
      </c>
      <c r="O50" s="1165" t="n">
        <v>953.3777541</v>
      </c>
      <c r="P50" s="1165" t="n">
        <v>58.7634636</v>
      </c>
      <c r="Q50" s="1165" t="n">
        <v>427.2239673</v>
      </c>
      <c r="R50" s="1165" t="n">
        <v>126.0187572</v>
      </c>
      <c r="S50" s="1165" t="n">
        <v>12.8226633</v>
      </c>
      <c r="T50" s="1165" t="n">
        <v>891.217558500001</v>
      </c>
      <c r="U50" s="1165" t="n">
        <f aca="false">SUM(B50:T50)</f>
        <v>15562.3824129</v>
      </c>
      <c r="V50" s="160"/>
      <c r="W50" s="160"/>
      <c r="X50" s="160"/>
    </row>
    <row r="51" s="1524" customFormat="true" ht="11.25" hidden="false" customHeight="true" outlineLevel="0" collapsed="false">
      <c r="A51" s="1054" t="s">
        <v>284</v>
      </c>
      <c r="B51" s="1163"/>
      <c r="C51" s="1163"/>
      <c r="D51" s="1163"/>
      <c r="E51" s="1163"/>
      <c r="F51" s="1163"/>
      <c r="G51" s="1163"/>
      <c r="H51" s="1163"/>
      <c r="I51" s="1163"/>
      <c r="J51" s="1163"/>
      <c r="K51" s="1163"/>
      <c r="L51" s="1163"/>
      <c r="M51" s="1163"/>
      <c r="N51" s="1163"/>
      <c r="O51" s="1163"/>
      <c r="P51" s="1163"/>
      <c r="Q51" s="1163"/>
      <c r="R51" s="1163"/>
      <c r="S51" s="1163"/>
      <c r="T51" s="1163"/>
      <c r="U51" s="1163"/>
      <c r="V51" s="160"/>
      <c r="W51" s="160"/>
      <c r="X51" s="160"/>
    </row>
    <row r="52" s="1524" customFormat="true" ht="11.25" hidden="false" customHeight="true" outlineLevel="0" collapsed="false">
      <c r="A52" s="1055" t="s">
        <v>214</v>
      </c>
      <c r="B52" s="1526" t="n">
        <v>5365.20712</v>
      </c>
      <c r="C52" s="1526" t="n">
        <v>2419.68636</v>
      </c>
      <c r="D52" s="1526" t="n">
        <v>1560.625612</v>
      </c>
      <c r="E52" s="1526" t="n">
        <v>1467.841284</v>
      </c>
      <c r="F52" s="1526" t="n">
        <v>2913.71626</v>
      </c>
      <c r="G52" s="1526" t="n">
        <v>3.222856</v>
      </c>
      <c r="H52" s="1526" t="n">
        <v>1082.794804</v>
      </c>
      <c r="I52" s="1526" t="n">
        <v>1682.161208</v>
      </c>
      <c r="J52" s="1526" t="n">
        <v>702.328172</v>
      </c>
      <c r="K52" s="1526" t="n">
        <v>48.7669</v>
      </c>
      <c r="L52" s="1526" t="n">
        <v>516.165832</v>
      </c>
      <c r="M52" s="1526" t="n">
        <v>0</v>
      </c>
      <c r="N52" s="1526" t="n">
        <v>74.888996</v>
      </c>
      <c r="O52" s="1526" t="n">
        <v>1997.916284</v>
      </c>
      <c r="P52" s="1526" t="n">
        <v>104.233948</v>
      </c>
      <c r="Q52" s="1526" t="n">
        <v>569.003708</v>
      </c>
      <c r="R52" s="1526" t="n">
        <v>179.631816</v>
      </c>
      <c r="S52" s="1526" t="n">
        <v>15.181348</v>
      </c>
      <c r="T52" s="1526" t="n">
        <v>1344.015764</v>
      </c>
      <c r="U52" s="1526" t="n">
        <f aca="false">SUM(B52:T52)</f>
        <v>22047.388272</v>
      </c>
      <c r="V52" s="160"/>
      <c r="W52" s="160"/>
      <c r="X52" s="160"/>
    </row>
    <row r="53" s="1524" customFormat="true" ht="14.45" hidden="false" customHeight="true" outlineLevel="0" collapsed="false">
      <c r="A53" s="889"/>
      <c r="B53" s="1509"/>
      <c r="C53" s="1509"/>
      <c r="D53" s="1509"/>
      <c r="E53" s="1509"/>
      <c r="F53" s="1509"/>
      <c r="G53" s="1509"/>
      <c r="H53" s="1509"/>
      <c r="I53" s="1509"/>
      <c r="J53" s="1509"/>
      <c r="K53" s="1509"/>
      <c r="L53" s="1509"/>
      <c r="M53" s="1509"/>
      <c r="N53" s="1509"/>
      <c r="O53" s="1509"/>
      <c r="P53" s="1509"/>
      <c r="Q53" s="1509"/>
      <c r="R53" s="1509"/>
      <c r="S53" s="1509"/>
      <c r="T53" s="1509"/>
      <c r="U53" s="1509"/>
      <c r="V53" s="160"/>
      <c r="W53" s="160"/>
      <c r="X53" s="160"/>
    </row>
    <row r="54" s="221" customFormat="true" ht="11.1" hidden="false" customHeight="true" outlineLevel="0" collapsed="false">
      <c r="A54" s="702" t="s">
        <v>2496</v>
      </c>
      <c r="B54" s="221" t="s">
        <v>2497</v>
      </c>
      <c r="C54" s="1092"/>
      <c r="D54" s="1092"/>
      <c r="E54" s="1092"/>
      <c r="F54" s="1092"/>
      <c r="G54" s="1092"/>
      <c r="H54" s="1092"/>
      <c r="I54" s="1092"/>
      <c r="J54" s="1092"/>
      <c r="K54" s="965"/>
      <c r="L54" s="1207"/>
      <c r="M54" s="1340"/>
      <c r="N54" s="1058"/>
      <c r="O54" s="159"/>
      <c r="P54" s="1092"/>
      <c r="Q54" s="1092"/>
      <c r="R54" s="1527"/>
      <c r="S54" s="1527"/>
      <c r="T54" s="159"/>
      <c r="U54" s="1528"/>
    </row>
    <row r="55" s="221" customFormat="true" ht="11.25" hidden="false" customHeight="false" outlineLevel="0" collapsed="false">
      <c r="C55" s="852"/>
      <c r="D55" s="852"/>
      <c r="E55" s="852"/>
      <c r="F55" s="852"/>
      <c r="G55" s="852"/>
      <c r="H55" s="852"/>
      <c r="I55" s="852"/>
      <c r="J55" s="852"/>
      <c r="M55" s="155"/>
      <c r="N55" s="155"/>
      <c r="O55" s="155"/>
      <c r="P55" s="155"/>
      <c r="Q55" s="155"/>
      <c r="R55" s="155"/>
      <c r="S55" s="155"/>
      <c r="T55" s="155"/>
      <c r="U55" s="155"/>
    </row>
    <row r="56" s="221" customFormat="true" ht="11.25" hidden="false" customHeight="true" outlineLevel="0" collapsed="false">
      <c r="U56" s="1163"/>
      <c r="W56" s="254"/>
    </row>
    <row r="57" s="207" customFormat="true" ht="11.25" hidden="false" customHeight="false" outlineLevel="0" collapsed="false">
      <c r="A57" s="291"/>
      <c r="B57" s="1416"/>
      <c r="E57" s="1416"/>
      <c r="W57" s="1416"/>
      <c r="X57" s="1416"/>
    </row>
    <row r="58" s="207" customFormat="true" ht="11.25" hidden="false" customHeight="false" outlineLevel="0" collapsed="false">
      <c r="U58" s="1163"/>
      <c r="V58" s="1416"/>
      <c r="X58" s="1416"/>
    </row>
    <row r="59" s="207" customFormat="true" ht="11.25" hidden="false" customHeight="false" outlineLevel="0" collapsed="false">
      <c r="B59" s="1416"/>
      <c r="C59" s="1416"/>
      <c r="D59" s="1416"/>
      <c r="E59" s="1416"/>
      <c r="F59" s="1416"/>
      <c r="G59" s="1416"/>
      <c r="H59" s="1416"/>
      <c r="I59" s="1416"/>
      <c r="J59" s="1416"/>
      <c r="K59" s="1416"/>
      <c r="L59" s="1416"/>
      <c r="M59" s="1416"/>
      <c r="N59" s="1416"/>
      <c r="O59" s="1416"/>
      <c r="P59" s="1416"/>
      <c r="Q59" s="1416"/>
      <c r="R59" s="1416"/>
      <c r="S59" s="1416"/>
      <c r="T59" s="1416"/>
      <c r="U59" s="1416"/>
      <c r="V59" s="1416"/>
    </row>
    <row r="60" s="207" customFormat="true" ht="11.25" hidden="false" customHeight="false" outlineLevel="0" collapsed="false">
      <c r="B60" s="1416"/>
      <c r="C60" s="1416"/>
      <c r="D60" s="1416"/>
      <c r="E60" s="1416"/>
      <c r="F60" s="1416"/>
      <c r="G60" s="1416"/>
      <c r="H60" s="1416"/>
      <c r="I60" s="1416"/>
      <c r="J60" s="1416"/>
      <c r="K60" s="1416"/>
      <c r="L60" s="1416"/>
      <c r="M60" s="1416"/>
      <c r="N60" s="1416"/>
      <c r="O60" s="1416"/>
      <c r="P60" s="1416"/>
      <c r="Q60" s="1416"/>
      <c r="R60" s="1416"/>
      <c r="S60" s="1416"/>
      <c r="T60" s="1416"/>
      <c r="U60" s="1416"/>
      <c r="V60" s="1416"/>
    </row>
    <row r="61" s="207" customFormat="true" ht="11.25" hidden="false" customHeight="false" outlineLevel="0" collapsed="false">
      <c r="B61" s="1416"/>
      <c r="C61" s="1416"/>
      <c r="D61" s="1416"/>
      <c r="E61" s="1416"/>
      <c r="F61" s="1416"/>
      <c r="G61" s="1416"/>
      <c r="H61" s="1416"/>
      <c r="I61" s="1416"/>
      <c r="J61" s="1416"/>
      <c r="K61" s="1416"/>
      <c r="L61" s="1416"/>
      <c r="M61" s="1416"/>
      <c r="N61" s="1416"/>
      <c r="O61" s="1416"/>
      <c r="P61" s="1416"/>
      <c r="Q61" s="1416"/>
      <c r="R61" s="1416"/>
      <c r="S61" s="1416"/>
      <c r="T61" s="1416"/>
      <c r="U61" s="1416"/>
      <c r="V61" s="1416"/>
    </row>
    <row r="62" s="221" customFormat="true" ht="12" hidden="false" customHeight="false" outlineLevel="0" collapsed="false">
      <c r="B62" s="1529"/>
      <c r="C62" s="1529"/>
      <c r="D62" s="1529"/>
      <c r="E62" s="1529"/>
      <c r="F62" s="1529"/>
      <c r="G62" s="1529"/>
      <c r="H62" s="1529"/>
      <c r="I62" s="1529"/>
      <c r="J62" s="1529"/>
      <c r="K62" s="1529"/>
      <c r="L62" s="1529"/>
      <c r="M62" s="1529"/>
      <c r="N62" s="1529"/>
      <c r="O62" s="1529"/>
      <c r="P62" s="1529"/>
      <c r="Q62" s="1529"/>
      <c r="R62" s="1529"/>
      <c r="S62" s="1529"/>
      <c r="T62" s="1529"/>
      <c r="U62" s="1529"/>
      <c r="V62" s="254"/>
      <c r="W62" s="254"/>
    </row>
    <row r="63" s="207" customFormat="true" ht="11.25" hidden="false" customHeight="false" outlineLevel="0" collapsed="false">
      <c r="A63" s="221"/>
      <c r="B63" s="1530"/>
      <c r="C63" s="1530"/>
      <c r="D63" s="1530"/>
      <c r="E63" s="254"/>
      <c r="F63" s="254"/>
      <c r="G63" s="254"/>
      <c r="H63" s="254"/>
      <c r="I63" s="254"/>
      <c r="J63" s="254"/>
      <c r="K63" s="254"/>
      <c r="L63" s="254"/>
      <c r="M63" s="254"/>
      <c r="N63" s="254"/>
      <c r="O63" s="254"/>
      <c r="P63" s="254"/>
      <c r="Q63" s="254"/>
      <c r="R63" s="254"/>
      <c r="S63" s="254"/>
      <c r="T63" s="254"/>
      <c r="U63" s="254"/>
      <c r="V63" s="254"/>
      <c r="W63" s="254"/>
      <c r="X63" s="254"/>
      <c r="Y63" s="254"/>
    </row>
    <row r="64" s="221" customFormat="true" ht="11.25" hidden="false" customHeight="false" outlineLevel="0" collapsed="false">
      <c r="A64" s="207"/>
      <c r="B64" s="254"/>
      <c r="C64" s="254"/>
      <c r="D64" s="254"/>
      <c r="E64" s="254"/>
      <c r="F64" s="254"/>
      <c r="G64" s="254"/>
      <c r="H64" s="254"/>
      <c r="I64" s="254"/>
      <c r="J64" s="254"/>
      <c r="K64" s="254"/>
      <c r="L64" s="254"/>
      <c r="M64" s="254"/>
      <c r="N64" s="254"/>
      <c r="O64" s="254"/>
      <c r="P64" s="254"/>
      <c r="Q64" s="254"/>
      <c r="R64" s="254"/>
      <c r="S64" s="254"/>
      <c r="T64" s="254"/>
      <c r="U64" s="254"/>
    </row>
    <row r="65" s="221" customFormat="true" ht="11.25" hidden="false" customHeight="false" outlineLevel="0" collapsed="false">
      <c r="B65" s="254"/>
      <c r="C65" s="254"/>
      <c r="D65" s="254"/>
      <c r="E65" s="254"/>
      <c r="F65" s="254"/>
      <c r="G65" s="254"/>
      <c r="H65" s="254"/>
      <c r="I65" s="254"/>
      <c r="J65" s="254"/>
      <c r="K65" s="254"/>
      <c r="L65" s="254"/>
      <c r="M65" s="254"/>
      <c r="N65" s="254"/>
      <c r="O65" s="254"/>
      <c r="P65" s="254"/>
      <c r="Q65" s="254"/>
      <c r="R65" s="254"/>
      <c r="S65" s="254"/>
      <c r="T65" s="254"/>
      <c r="U65" s="254"/>
    </row>
    <row r="66" s="221" customFormat="true" ht="11.25" hidden="false" customHeight="false" outlineLevel="0" collapsed="false">
      <c r="B66" s="254"/>
      <c r="C66" s="254"/>
      <c r="D66" s="254"/>
      <c r="E66" s="254"/>
      <c r="F66" s="254"/>
      <c r="G66" s="254"/>
      <c r="H66" s="254"/>
      <c r="I66" s="254"/>
      <c r="J66" s="254"/>
      <c r="K66" s="254"/>
      <c r="L66" s="254"/>
      <c r="M66" s="254"/>
      <c r="N66" s="254"/>
      <c r="O66" s="254"/>
      <c r="P66" s="254"/>
      <c r="Q66" s="254"/>
      <c r="R66" s="254"/>
      <c r="S66" s="254"/>
      <c r="T66" s="254"/>
      <c r="U66" s="254"/>
    </row>
    <row r="67" s="221" customFormat="true" ht="11.25" hidden="false" customHeight="false" outlineLevel="0" collapsed="false">
      <c r="B67" s="254"/>
      <c r="C67" s="254"/>
      <c r="D67" s="254"/>
      <c r="E67" s="254"/>
      <c r="F67" s="254"/>
      <c r="G67" s="254"/>
      <c r="H67" s="254"/>
      <c r="I67" s="254"/>
      <c r="J67" s="254"/>
      <c r="K67" s="254"/>
      <c r="L67" s="254"/>
      <c r="M67" s="254"/>
      <c r="N67" s="254"/>
      <c r="O67" s="254"/>
      <c r="P67" s="254"/>
      <c r="Q67" s="254"/>
      <c r="R67" s="254"/>
      <c r="S67" s="254"/>
      <c r="T67" s="254"/>
      <c r="U67" s="254"/>
    </row>
    <row r="68" s="221" customFormat="true" ht="11.25" hidden="false" customHeight="false" outlineLevel="0" collapsed="false">
      <c r="B68" s="254"/>
    </row>
    <row r="69" s="221" customFormat="true" ht="11.25" hidden="false" customHeight="false" outlineLevel="0" collapsed="false"/>
    <row r="70" s="221" customFormat="true" ht="11.25" hidden="false" customHeight="false" outlineLevel="0" collapsed="false"/>
    <row r="71" s="221" customFormat="true" ht="11.25" hidden="false" customHeight="false" outlineLevel="0" collapsed="false"/>
    <row r="72" s="221" customFormat="true" ht="11.25" hidden="false" customHeight="false" outlineLevel="0" collapsed="false"/>
    <row r="73" s="221" customFormat="true" ht="11.25" hidden="false" customHeight="false" outlineLevel="0" collapsed="false"/>
    <row r="74" s="221" customFormat="true" ht="11.25" hidden="false" customHeight="false" outlineLevel="0" collapsed="false"/>
    <row r="75" s="221" customFormat="true" ht="11.25" hidden="false" customHeight="false" outlineLevel="0" collapsed="false"/>
    <row r="76" s="221" customFormat="true" ht="11.25" hidden="false" customHeight="false" outlineLevel="0" collapsed="false"/>
    <row r="77" s="221" customFormat="true" ht="11.25" hidden="false" customHeight="false" outlineLevel="0" collapsed="false"/>
    <row r="78" s="221" customFormat="true" ht="11.25" hidden="false" customHeight="false" outlineLevel="0" collapsed="false"/>
    <row r="79" s="221" customFormat="true" ht="11.25" hidden="false" customHeight="false" outlineLevel="0" collapsed="false"/>
    <row r="80" s="221" customFormat="true" ht="11.25" hidden="false" customHeight="false" outlineLevel="0" collapsed="false"/>
    <row r="81" s="221" customFormat="true" ht="11.25" hidden="false" customHeight="false" outlineLevel="0" collapsed="false"/>
    <row r="82" s="221" customFormat="true" ht="11.25" hidden="false" customHeight="false" outlineLevel="0" collapsed="false"/>
    <row r="83" s="221" customFormat="true" ht="11.25" hidden="false" customHeight="false" outlineLevel="0" collapsed="false"/>
    <row r="84" s="221" customFormat="true" ht="11.25" hidden="false" customHeight="false" outlineLevel="0" collapsed="false"/>
    <row r="85" s="221" customFormat="true" ht="11.25" hidden="false" customHeight="false" outlineLevel="0" collapsed="false"/>
    <row r="86" s="221" customFormat="true" ht="11.25" hidden="false" customHeight="false" outlineLevel="0" collapsed="false"/>
    <row r="87" s="221" customFormat="true" ht="11.25" hidden="false" customHeight="false" outlineLevel="0" collapsed="false"/>
    <row r="88" s="221" customFormat="true" ht="11.25" hidden="false" customHeight="false" outlineLevel="0" collapsed="false"/>
    <row r="89" s="221" customFormat="true" ht="11.25" hidden="false" customHeight="false" outlineLevel="0" collapsed="false"/>
    <row r="90" s="221" customFormat="true" ht="11.25" hidden="false" customHeight="false" outlineLevel="0" collapsed="false"/>
    <row r="91" s="221" customFormat="true" ht="11.25" hidden="false" customHeight="false" outlineLevel="0" collapsed="false"/>
    <row r="92" s="221" customFormat="true" ht="11.25" hidden="false" customHeight="false" outlineLevel="0" collapsed="false"/>
    <row r="93" s="221" customFormat="true" ht="11.25" hidden="false" customHeight="false" outlineLevel="0" collapsed="false"/>
    <row r="94" s="221" customFormat="true" ht="11.25" hidden="false" customHeight="false" outlineLevel="0" collapsed="false"/>
    <row r="95" s="221" customFormat="true" ht="11.25" hidden="false" customHeight="false" outlineLevel="0" collapsed="false"/>
    <row r="96" s="221" customFormat="true" ht="11.25" hidden="false" customHeight="false" outlineLevel="0" collapsed="false"/>
    <row r="97" s="221" customFormat="true" ht="11.25" hidden="false" customHeight="false" outlineLevel="0" collapsed="false"/>
    <row r="98" s="221" customFormat="true" ht="11.25" hidden="false" customHeight="false" outlineLevel="0" collapsed="false"/>
    <row r="99" s="221" customFormat="true" ht="11.25" hidden="false" customHeight="false" outlineLevel="0" collapsed="false"/>
    <row r="100" s="221" customFormat="true" ht="11.25" hidden="false" customHeight="false" outlineLevel="0" collapsed="false"/>
    <row r="101" s="221" customFormat="true" ht="11.25" hidden="false" customHeight="false" outlineLevel="0" collapsed="false"/>
    <row r="102" s="221" customFormat="true" ht="11.25" hidden="false" customHeight="false" outlineLevel="0" collapsed="false"/>
    <row r="103" s="221" customFormat="true" ht="11.25" hidden="false" customHeight="false" outlineLevel="0" collapsed="false"/>
    <row r="104" s="221" customFormat="true" ht="11.25" hidden="false" customHeight="false" outlineLevel="0" collapsed="false"/>
    <row r="105" s="221" customFormat="true" ht="11.25" hidden="false" customHeight="false" outlineLevel="0" collapsed="false"/>
    <row r="106" s="221" customFormat="true" ht="11.25" hidden="false" customHeight="false" outlineLevel="0" collapsed="false"/>
    <row r="107" s="221" customFormat="true" ht="11.25" hidden="false" customHeight="false" outlineLevel="0" collapsed="false"/>
    <row r="108" s="221" customFormat="true" ht="11.25" hidden="false" customHeight="false" outlineLevel="0" collapsed="false"/>
    <row r="109" s="221" customFormat="true" ht="11.25" hidden="false" customHeight="false" outlineLevel="0" collapsed="false"/>
    <row r="110" s="221" customFormat="true" ht="11.25" hidden="false" customHeight="false" outlineLevel="0" collapsed="false"/>
    <row r="111" s="221" customFormat="true" ht="11.25" hidden="false" customHeight="false" outlineLevel="0" collapsed="false"/>
    <row r="112" s="221" customFormat="true" ht="11.25" hidden="false" customHeight="false" outlineLevel="0" collapsed="false"/>
    <row r="113" s="221" customFormat="true" ht="11.25" hidden="false" customHeight="false" outlineLevel="0" collapsed="false"/>
    <row r="114" s="221" customFormat="true" ht="11.25" hidden="false" customHeight="false" outlineLevel="0" collapsed="false"/>
    <row r="115" s="221" customFormat="true" ht="11.25" hidden="false" customHeight="false" outlineLevel="0" collapsed="false"/>
    <row r="116" s="221" customFormat="true" ht="11.25" hidden="false" customHeight="false" outlineLevel="0" collapsed="false"/>
    <row r="117" s="221" customFormat="true" ht="11.25" hidden="false" customHeight="false" outlineLevel="0" collapsed="false"/>
    <row r="118" s="221" customFormat="true" ht="11.25" hidden="false" customHeight="false" outlineLevel="0" collapsed="false"/>
    <row r="119" s="221" customFormat="true" ht="11.25" hidden="false" customHeight="false" outlineLevel="0" collapsed="false"/>
    <row r="120" s="221" customFormat="true" ht="11.25" hidden="false" customHeight="false" outlineLevel="0" collapsed="false"/>
    <row r="121" s="221" customFormat="true" ht="11.25" hidden="false" customHeight="false" outlineLevel="0" collapsed="false"/>
    <row r="122" s="221" customFormat="true" ht="11.25" hidden="false" customHeight="false" outlineLevel="0" collapsed="false"/>
    <row r="123" s="221" customFormat="true" ht="11.25" hidden="false" customHeight="false" outlineLevel="0" collapsed="false"/>
    <row r="124" s="221" customFormat="true" ht="11.25" hidden="false" customHeight="false" outlineLevel="0" collapsed="false"/>
    <row r="125" s="221" customFormat="true" ht="11.25" hidden="false" customHeight="false" outlineLevel="0" collapsed="false"/>
    <row r="126" s="221" customFormat="true" ht="11.25" hidden="false" customHeight="false" outlineLevel="0" collapsed="false"/>
    <row r="127" s="221" customFormat="true" ht="11.25" hidden="false" customHeight="false" outlineLevel="0" collapsed="false"/>
    <row r="128" s="221" customFormat="true" ht="11.25" hidden="false" customHeight="false" outlineLevel="0" collapsed="false"/>
    <row r="129" s="221" customFormat="true" ht="11.25" hidden="false" customHeight="false" outlineLevel="0" collapsed="false"/>
    <row r="130" s="221" customFormat="true" ht="11.25" hidden="false" customHeight="false" outlineLevel="0" collapsed="false"/>
    <row r="131" s="221" customFormat="true" ht="11.25" hidden="false" customHeight="false" outlineLevel="0" collapsed="false"/>
    <row r="132" s="221" customFormat="true" ht="11.25" hidden="false" customHeight="false" outlineLevel="0" collapsed="false"/>
    <row r="133" s="221" customFormat="true" ht="11.25" hidden="false" customHeight="false" outlineLevel="0" collapsed="false"/>
    <row r="134" s="221" customFormat="true" ht="11.25" hidden="false" customHeight="false" outlineLevel="0" collapsed="false"/>
    <row r="135" s="221" customFormat="true" ht="11.25" hidden="false" customHeight="false" outlineLevel="0" collapsed="false"/>
    <row r="136" s="221" customFormat="true" ht="11.25" hidden="false" customHeight="false" outlineLevel="0" collapsed="false"/>
    <row r="137" s="221" customFormat="true" ht="11.25" hidden="false" customHeight="false" outlineLevel="0" collapsed="false"/>
    <row r="138" s="221" customFormat="true" ht="11.25" hidden="false" customHeight="false" outlineLevel="0" collapsed="false"/>
    <row r="139" s="221" customFormat="true" ht="11.25" hidden="false" customHeight="false" outlineLevel="0" collapsed="false"/>
    <row r="140" s="221" customFormat="true" ht="11.25" hidden="false" customHeight="false" outlineLevel="0" collapsed="false"/>
    <row r="141" s="221" customFormat="true" ht="11.25" hidden="false" customHeight="false" outlineLevel="0" collapsed="false"/>
    <row r="142" s="221" customFormat="true" ht="11.25" hidden="false" customHeight="false" outlineLevel="0" collapsed="false"/>
    <row r="143" s="221" customFormat="true" ht="11.25" hidden="false" customHeight="false" outlineLevel="0" collapsed="false"/>
    <row r="144" s="221" customFormat="true" ht="11.25" hidden="false" customHeight="false" outlineLevel="0" collapsed="false"/>
    <row r="145" s="221" customFormat="true" ht="11.25" hidden="false" customHeight="false" outlineLevel="0" collapsed="false"/>
    <row r="146" s="221" customFormat="true" ht="11.25" hidden="false" customHeight="false" outlineLevel="0" collapsed="false"/>
    <row r="147" s="221" customFormat="true" ht="11.25" hidden="false" customHeight="false" outlineLevel="0" collapsed="false"/>
    <row r="148" s="221" customFormat="true" ht="11.25" hidden="false" customHeight="false" outlineLevel="0" collapsed="false"/>
    <row r="149" s="221" customFormat="true" ht="11.25" hidden="false" customHeight="false" outlineLevel="0" collapsed="false"/>
    <row r="150" s="221" customFormat="true" ht="11.25" hidden="false" customHeight="false" outlineLevel="0" collapsed="false"/>
    <row r="151" s="221" customFormat="true" ht="11.25" hidden="false" customHeight="false" outlineLevel="0" collapsed="false"/>
    <row r="152" s="221" customFormat="true" ht="11.25" hidden="false" customHeight="false" outlineLevel="0" collapsed="false"/>
    <row r="153" s="221" customFormat="true" ht="11.25" hidden="false" customHeight="false" outlineLevel="0" collapsed="false"/>
    <row r="154" s="221" customFormat="true" ht="11.25" hidden="false" customHeight="false" outlineLevel="0" collapsed="false"/>
    <row r="155" s="221" customFormat="true" ht="11.25" hidden="false" customHeight="false" outlineLevel="0" collapsed="false"/>
    <row r="156" s="221" customFormat="true" ht="11.25" hidden="false" customHeight="false" outlineLevel="0" collapsed="false"/>
    <row r="157" s="221" customFormat="true" ht="11.25" hidden="false" customHeight="false" outlineLevel="0" collapsed="false"/>
    <row r="158" s="221" customFormat="true" ht="11.25" hidden="false" customHeight="false" outlineLevel="0" collapsed="false"/>
    <row r="159" s="221" customFormat="true" ht="11.25" hidden="false" customHeight="false" outlineLevel="0" collapsed="false"/>
    <row r="160" s="221" customFormat="true" ht="11.25" hidden="false" customHeight="false" outlineLevel="0" collapsed="false"/>
    <row r="161" s="221" customFormat="true" ht="11.25" hidden="false" customHeight="false" outlineLevel="0" collapsed="false"/>
    <row r="162" s="221" customFormat="true" ht="11.25" hidden="false" customHeight="false" outlineLevel="0" collapsed="false"/>
    <row r="163" s="221" customFormat="true" ht="11.25" hidden="false" customHeight="false" outlineLevel="0" collapsed="false"/>
    <row r="164" s="221" customFormat="true" ht="11.25" hidden="false" customHeight="false" outlineLevel="0" collapsed="false"/>
    <row r="165" s="221" customFormat="true" ht="11.25" hidden="false" customHeight="false" outlineLevel="0" collapsed="false"/>
    <row r="166" s="221" customFormat="true" ht="11.25" hidden="false" customHeight="false" outlineLevel="0" collapsed="false"/>
    <row r="167" s="221" customFormat="true" ht="11.25" hidden="false" customHeight="false" outlineLevel="0" collapsed="false"/>
    <row r="168" s="221" customFormat="true" ht="11.25" hidden="false" customHeight="false" outlineLevel="0" collapsed="false"/>
    <row r="169" s="221" customFormat="true" ht="11.25" hidden="false" customHeight="false" outlineLevel="0" collapsed="false"/>
    <row r="170" s="221" customFormat="true" ht="11.25" hidden="false" customHeight="false" outlineLevel="0" collapsed="false"/>
    <row r="171" s="221" customFormat="true" ht="11.25" hidden="false" customHeight="false" outlineLevel="0" collapsed="false"/>
    <row r="172" s="221" customFormat="true" ht="11.25" hidden="false" customHeight="false" outlineLevel="0" collapsed="false"/>
    <row r="173" s="221" customFormat="true" ht="11.25" hidden="false" customHeight="false" outlineLevel="0" collapsed="false"/>
    <row r="174" s="221" customFormat="true" ht="11.25" hidden="false" customHeight="false" outlineLevel="0" collapsed="false"/>
    <row r="175" s="221" customFormat="true" ht="11.25" hidden="false" customHeight="false" outlineLevel="0" collapsed="false"/>
    <row r="176" s="221" customFormat="true" ht="11.25" hidden="false" customHeight="false" outlineLevel="0" collapsed="false"/>
    <row r="177" s="221" customFormat="true" ht="11.25" hidden="false" customHeight="false" outlineLevel="0" collapsed="false"/>
    <row r="178" s="221" customFormat="true" ht="11.25" hidden="false" customHeight="false" outlineLevel="0" collapsed="false"/>
    <row r="179" s="221" customFormat="true" ht="11.25" hidden="false" customHeight="false" outlineLevel="0" collapsed="false"/>
    <row r="180" s="221" customFormat="true" ht="11.25" hidden="false" customHeight="false" outlineLevel="0" collapsed="false"/>
    <row r="181" s="221" customFormat="true" ht="11.25" hidden="false" customHeight="false" outlineLevel="0" collapsed="false"/>
    <row r="182" s="221" customFormat="true" ht="11.25" hidden="false" customHeight="false" outlineLevel="0" collapsed="false"/>
    <row r="183" s="221" customFormat="true" ht="11.25" hidden="false" customHeight="false" outlineLevel="0" collapsed="false"/>
    <row r="184" s="221" customFormat="true" ht="11.25" hidden="false" customHeight="false" outlineLevel="0" collapsed="false"/>
    <row r="185" s="221" customFormat="true" ht="11.25" hidden="false" customHeight="false" outlineLevel="0" collapsed="false"/>
    <row r="186" s="221" customFormat="true" ht="11.25" hidden="false" customHeight="false" outlineLevel="0" collapsed="false"/>
    <row r="187" s="221" customFormat="true" ht="11.25" hidden="false" customHeight="false" outlineLevel="0" collapsed="false"/>
    <row r="188" s="221" customFormat="true" ht="11.25" hidden="false" customHeight="false" outlineLevel="0" collapsed="false"/>
    <row r="189" s="221" customFormat="true" ht="11.25" hidden="false" customHeight="false" outlineLevel="0" collapsed="false"/>
    <row r="190" s="221" customFormat="true" ht="11.25" hidden="false" customHeight="false" outlineLevel="0" collapsed="false"/>
    <row r="191" s="221" customFormat="true" ht="11.25" hidden="false" customHeight="false" outlineLevel="0" collapsed="false"/>
    <row r="192" s="221" customFormat="true" ht="11.25" hidden="false" customHeight="false" outlineLevel="0" collapsed="false"/>
    <row r="193" s="221" customFormat="true" ht="11.25" hidden="false" customHeight="false" outlineLevel="0" collapsed="false"/>
    <row r="194" s="221" customFormat="true" ht="11.25" hidden="false" customHeight="false" outlineLevel="0" collapsed="false"/>
    <row r="195" s="221" customFormat="true" ht="11.25" hidden="false" customHeight="false" outlineLevel="0" collapsed="false"/>
    <row r="196" s="221" customFormat="true" ht="11.25" hidden="false" customHeight="false" outlineLevel="0" collapsed="false"/>
    <row r="197" s="221" customFormat="true" ht="11.25" hidden="false" customHeight="false" outlineLevel="0" collapsed="false"/>
    <row r="198" s="221" customFormat="true" ht="11.25" hidden="false" customHeight="false" outlineLevel="0" collapsed="false"/>
    <row r="199" s="221" customFormat="true" ht="11.25" hidden="false" customHeight="false" outlineLevel="0" collapsed="false"/>
    <row r="200" s="221" customFormat="true" ht="11.25" hidden="false" customHeight="false" outlineLevel="0" collapsed="false"/>
    <row r="201" s="221" customFormat="true" ht="11.25" hidden="false" customHeight="false" outlineLevel="0" collapsed="false"/>
    <row r="202" s="221" customFormat="true" ht="11.25" hidden="false" customHeight="false" outlineLevel="0" collapsed="false"/>
    <row r="203" s="221" customFormat="true" ht="11.25" hidden="false" customHeight="false" outlineLevel="0" collapsed="false"/>
    <row r="204" s="221" customFormat="true" ht="11.25" hidden="false" customHeight="false" outlineLevel="0" collapsed="false"/>
    <row r="205" s="221" customFormat="true" ht="11.25" hidden="false" customHeight="false" outlineLevel="0" collapsed="false"/>
    <row r="206" s="221" customFormat="true" ht="11.25" hidden="false" customHeight="false" outlineLevel="0" collapsed="false"/>
    <row r="207" s="221" customFormat="true" ht="11.25" hidden="false" customHeight="false" outlineLevel="0" collapsed="false"/>
    <row r="208" s="221" customFormat="true" ht="11.25" hidden="false" customHeight="false" outlineLevel="0" collapsed="false"/>
    <row r="209" s="221" customFormat="true" ht="11.25" hidden="false" customHeight="false" outlineLevel="0" collapsed="false"/>
    <row r="210" s="221" customFormat="true" ht="11.25" hidden="false" customHeight="false" outlineLevel="0" collapsed="false"/>
    <row r="211" s="221" customFormat="true" ht="11.25" hidden="false" customHeight="false" outlineLevel="0" collapsed="false"/>
    <row r="212" s="221" customFormat="true" ht="11.25" hidden="false" customHeight="false" outlineLevel="0" collapsed="false"/>
    <row r="213" s="221" customFormat="true" ht="11.25" hidden="false" customHeight="false" outlineLevel="0" collapsed="false"/>
    <row r="214" s="221" customFormat="true" ht="11.25" hidden="false" customHeight="false" outlineLevel="0" collapsed="false"/>
    <row r="215" s="221" customFormat="true" ht="11.25" hidden="false" customHeight="false" outlineLevel="0" collapsed="false"/>
    <row r="216" s="221" customFormat="true" ht="11.25" hidden="false" customHeight="false" outlineLevel="0" collapsed="false"/>
    <row r="217" s="221" customFormat="true" ht="11.25" hidden="false" customHeight="false" outlineLevel="0" collapsed="false"/>
    <row r="218" s="221" customFormat="true" ht="11.25" hidden="false" customHeight="false" outlineLevel="0" collapsed="false"/>
    <row r="219" s="221" customFormat="true" ht="11.25" hidden="false" customHeight="false" outlineLevel="0" collapsed="false"/>
    <row r="220" s="221" customFormat="true" ht="11.25" hidden="false" customHeight="false" outlineLevel="0" collapsed="false"/>
    <row r="221" s="221" customFormat="true" ht="11.25" hidden="false" customHeight="false" outlineLevel="0" collapsed="false"/>
    <row r="222" s="221" customFormat="true" ht="11.25" hidden="false" customHeight="false" outlineLevel="0" collapsed="false"/>
    <row r="223" s="221" customFormat="true" ht="11.25" hidden="false" customHeight="false" outlineLevel="0" collapsed="false"/>
    <row r="224" s="221" customFormat="true" ht="11.25" hidden="false" customHeight="false" outlineLevel="0" collapsed="false"/>
    <row r="225" s="221" customFormat="true" ht="11.25" hidden="false" customHeight="false" outlineLevel="0" collapsed="false"/>
    <row r="226" s="221" customFormat="true" ht="11.25" hidden="false" customHeight="false" outlineLevel="0" collapsed="false"/>
    <row r="227" s="221" customFormat="true" ht="11.25" hidden="false" customHeight="false" outlineLevel="0" collapsed="false"/>
    <row r="228" s="221" customFormat="true" ht="11.25" hidden="false" customHeight="false" outlineLevel="0" collapsed="false"/>
    <row r="229" s="221" customFormat="true" ht="11.25" hidden="false" customHeight="false" outlineLevel="0" collapsed="false"/>
    <row r="230" s="221" customFormat="true" ht="11.25" hidden="false" customHeight="false" outlineLevel="0" collapsed="false"/>
    <row r="231" s="221" customFormat="true" ht="11.25" hidden="false" customHeight="false" outlineLevel="0" collapsed="false"/>
    <row r="232" s="221" customFormat="true" ht="11.25" hidden="false" customHeight="false" outlineLevel="0" collapsed="false"/>
    <row r="233" s="221" customFormat="true" ht="11.25" hidden="false" customHeight="false" outlineLevel="0" collapsed="false"/>
    <row r="234" s="221" customFormat="true" ht="11.25" hidden="false" customHeight="false" outlineLevel="0" collapsed="false"/>
    <row r="235" s="221" customFormat="true" ht="11.25" hidden="false" customHeight="false" outlineLevel="0" collapsed="false"/>
    <row r="236" s="221" customFormat="true" ht="11.25" hidden="false" customHeight="false" outlineLevel="0" collapsed="false"/>
    <row r="237" s="221" customFormat="true" ht="11.25" hidden="false" customHeight="false" outlineLevel="0" collapsed="false"/>
    <row r="238" s="221" customFormat="true" ht="11.25" hidden="false" customHeight="false" outlineLevel="0" collapsed="false"/>
    <row r="239" s="221" customFormat="true" ht="11.25" hidden="false" customHeight="false" outlineLevel="0" collapsed="false"/>
    <row r="240" s="221" customFormat="true" ht="11.25" hidden="false" customHeight="false" outlineLevel="0" collapsed="false"/>
    <row r="241" s="221" customFormat="true" ht="11.25" hidden="false" customHeight="false" outlineLevel="0" collapsed="false"/>
    <row r="242" s="221" customFormat="true" ht="11.25" hidden="false" customHeight="false" outlineLevel="0" collapsed="false"/>
    <row r="243" s="221" customFormat="true" ht="11.25" hidden="false" customHeight="false" outlineLevel="0" collapsed="false"/>
    <row r="244" s="221" customFormat="true" ht="11.25" hidden="false" customHeight="false" outlineLevel="0" collapsed="false"/>
    <row r="245" s="221" customFormat="true" ht="11.25" hidden="false" customHeight="false" outlineLevel="0" collapsed="false"/>
    <row r="246" s="221" customFormat="true" ht="11.25" hidden="false" customHeight="false" outlineLevel="0" collapsed="false"/>
    <row r="247" s="221" customFormat="true" ht="11.25" hidden="false" customHeight="false" outlineLevel="0" collapsed="false"/>
    <row r="248" s="221" customFormat="true" ht="11.25" hidden="false" customHeight="false" outlineLevel="0" collapsed="false"/>
    <row r="249" s="221" customFormat="true" ht="11.25" hidden="false" customHeight="false" outlineLevel="0" collapsed="false"/>
    <row r="250" s="221" customFormat="true" ht="11.25" hidden="false" customHeight="false" outlineLevel="0" collapsed="false"/>
    <row r="251" s="221" customFormat="true" ht="11.25" hidden="false" customHeight="false" outlineLevel="0" collapsed="false"/>
    <row r="252" s="221" customFormat="true" ht="11.25" hidden="false" customHeight="false" outlineLevel="0" collapsed="false"/>
    <row r="253" s="221" customFormat="true" ht="11.25" hidden="false" customHeight="false" outlineLevel="0" collapsed="false"/>
    <row r="254" s="221" customFormat="true" ht="11.25" hidden="false" customHeight="false" outlineLevel="0" collapsed="false"/>
    <row r="255" s="221" customFormat="true" ht="11.25" hidden="false" customHeight="false" outlineLevel="0" collapsed="false"/>
    <row r="256" s="221" customFormat="true" ht="11.25" hidden="false" customHeight="false" outlineLevel="0" collapsed="false"/>
    <row r="257" s="221" customFormat="true" ht="11.25" hidden="false" customHeight="false" outlineLevel="0" collapsed="false"/>
    <row r="258" s="221" customFormat="true" ht="11.25" hidden="false" customHeight="false" outlineLevel="0" collapsed="false"/>
    <row r="259" s="221" customFormat="true" ht="11.25" hidden="false" customHeight="false" outlineLevel="0" collapsed="false"/>
    <row r="260" s="221" customFormat="true" ht="11.25" hidden="false" customHeight="false" outlineLevel="0" collapsed="false"/>
    <row r="261" s="221" customFormat="true" ht="11.25" hidden="false" customHeight="false" outlineLevel="0" collapsed="false"/>
    <row r="262" s="221" customFormat="true" ht="11.25" hidden="false" customHeight="false" outlineLevel="0" collapsed="false"/>
    <row r="263" s="221" customFormat="true" ht="11.25" hidden="false" customHeight="false" outlineLevel="0" collapsed="false"/>
    <row r="264" s="221" customFormat="true" ht="11.25" hidden="false" customHeight="false" outlineLevel="0" collapsed="false"/>
    <row r="265" s="221" customFormat="true" ht="11.25" hidden="false" customHeight="false" outlineLevel="0" collapsed="false"/>
    <row r="266" s="221" customFormat="true" ht="11.25" hidden="false" customHeight="false" outlineLevel="0" collapsed="false"/>
    <row r="267" s="221" customFormat="true" ht="11.25" hidden="false" customHeight="false" outlineLevel="0" collapsed="false"/>
    <row r="268" s="221" customFormat="true" ht="11.25" hidden="false" customHeight="false" outlineLevel="0" collapsed="false"/>
    <row r="269" s="221" customFormat="true" ht="11.25" hidden="false" customHeight="false" outlineLevel="0" collapsed="false"/>
    <row r="270" s="221" customFormat="true" ht="11.25" hidden="false" customHeight="false" outlineLevel="0" collapsed="false"/>
    <row r="271" s="221" customFormat="true" ht="11.25" hidden="false" customHeight="false" outlineLevel="0" collapsed="false"/>
    <row r="272" s="221" customFormat="true" ht="11.25" hidden="false" customHeight="false" outlineLevel="0" collapsed="false"/>
    <row r="273" s="221" customFormat="true" ht="11.25" hidden="false" customHeight="false" outlineLevel="0" collapsed="false"/>
    <row r="274" s="221" customFormat="true" ht="11.25" hidden="false" customHeight="false" outlineLevel="0" collapsed="false"/>
    <row r="275" s="221" customFormat="true" ht="11.25" hidden="false" customHeight="false" outlineLevel="0" collapsed="false"/>
    <row r="276" s="221" customFormat="true" ht="11.25" hidden="false" customHeight="false" outlineLevel="0" collapsed="false"/>
    <row r="277" s="221" customFormat="true" ht="11.25" hidden="false" customHeight="false" outlineLevel="0" collapsed="false"/>
    <row r="278" s="221" customFormat="true" ht="11.25" hidden="false" customHeight="false" outlineLevel="0" collapsed="false"/>
    <row r="279" s="221" customFormat="true" ht="11.25" hidden="false" customHeight="false" outlineLevel="0" collapsed="false"/>
    <row r="280" s="221" customFormat="true" ht="11.25" hidden="false" customHeight="false" outlineLevel="0" collapsed="false"/>
    <row r="281" s="221" customFormat="true" ht="11.25" hidden="false" customHeight="false" outlineLevel="0" collapsed="false"/>
    <row r="282" s="221" customFormat="true" ht="11.25" hidden="false" customHeight="false" outlineLevel="0" collapsed="false"/>
    <row r="283" s="221" customFormat="true" ht="11.25" hidden="false" customHeight="false" outlineLevel="0" collapsed="false"/>
    <row r="284" s="221" customFormat="true" ht="11.25" hidden="false" customHeight="false" outlineLevel="0" collapsed="false"/>
    <row r="285" s="221" customFormat="true" ht="11.25" hidden="false" customHeight="false" outlineLevel="0" collapsed="false"/>
    <row r="286" s="221" customFormat="true" ht="11.25" hidden="false" customHeight="false" outlineLevel="0" collapsed="false"/>
    <row r="287" s="221" customFormat="true" ht="11.25" hidden="false" customHeight="false" outlineLevel="0" collapsed="false"/>
    <row r="288" s="221" customFormat="true" ht="11.25" hidden="false" customHeight="false" outlineLevel="0" collapsed="false"/>
    <row r="289" s="221" customFormat="true" ht="11.25" hidden="false" customHeight="false" outlineLevel="0" collapsed="false"/>
    <row r="290" s="221" customFormat="true" ht="11.25" hidden="false" customHeight="false" outlineLevel="0" collapsed="false"/>
    <row r="291" s="221" customFormat="true" ht="11.25" hidden="false" customHeight="false" outlineLevel="0" collapsed="false"/>
    <row r="292" s="221" customFormat="true" ht="11.25" hidden="false" customHeight="false" outlineLevel="0" collapsed="false"/>
    <row r="293" s="221" customFormat="true" ht="11.25" hidden="false" customHeight="false" outlineLevel="0" collapsed="false"/>
    <row r="294" s="221" customFormat="true" ht="11.25" hidden="false" customHeight="false" outlineLevel="0" collapsed="false"/>
    <row r="295" s="221" customFormat="true" ht="11.25" hidden="false" customHeight="false" outlineLevel="0" collapsed="false"/>
    <row r="296" s="221" customFormat="true" ht="11.25" hidden="false" customHeight="false" outlineLevel="0" collapsed="false"/>
    <row r="297" s="221" customFormat="true" ht="11.25" hidden="false" customHeight="false" outlineLevel="0" collapsed="false"/>
    <row r="298" s="221" customFormat="true" ht="11.25" hidden="false" customHeight="false" outlineLevel="0" collapsed="false"/>
    <row r="299" s="221" customFormat="true" ht="11.25" hidden="false" customHeight="false" outlineLevel="0" collapsed="false"/>
    <row r="300" s="221" customFormat="true" ht="11.25" hidden="false" customHeight="false" outlineLevel="0" collapsed="false"/>
    <row r="301" s="221" customFormat="true" ht="11.25" hidden="false" customHeight="false" outlineLevel="0" collapsed="false"/>
    <row r="302" s="221" customFormat="true" ht="11.25" hidden="false" customHeight="false" outlineLevel="0" collapsed="false"/>
    <row r="303" s="221" customFormat="true" ht="11.25" hidden="false" customHeight="false" outlineLevel="0" collapsed="false"/>
    <row r="304" s="221" customFormat="true" ht="11.25" hidden="false" customHeight="false" outlineLevel="0" collapsed="false"/>
    <row r="305" s="221" customFormat="true" ht="11.25" hidden="false" customHeight="false" outlineLevel="0" collapsed="false"/>
    <row r="306" s="221" customFormat="true" ht="11.25" hidden="false" customHeight="false" outlineLevel="0" collapsed="false"/>
    <row r="307" s="221" customFormat="true" ht="11.25" hidden="false" customHeight="false" outlineLevel="0" collapsed="false"/>
    <row r="308" s="221" customFormat="true" ht="11.25" hidden="false" customHeight="false" outlineLevel="0" collapsed="false"/>
    <row r="309" s="221" customFormat="true" ht="11.25" hidden="false" customHeight="false" outlineLevel="0" collapsed="false"/>
    <row r="310" s="221" customFormat="true" ht="11.25" hidden="false" customHeight="false" outlineLevel="0" collapsed="false"/>
    <row r="311" s="221" customFormat="true" ht="11.25" hidden="false" customHeight="false" outlineLevel="0" collapsed="false"/>
    <row r="312" s="221" customFormat="true" ht="11.25" hidden="false" customHeight="false" outlineLevel="0" collapsed="false"/>
    <row r="313" s="221" customFormat="true" ht="11.25" hidden="false" customHeight="false" outlineLevel="0" collapsed="false"/>
    <row r="314" s="221" customFormat="true" ht="11.25" hidden="false" customHeight="false" outlineLevel="0" collapsed="false"/>
    <row r="315" s="221" customFormat="true" ht="11.25" hidden="false" customHeight="false" outlineLevel="0" collapsed="false"/>
    <row r="316" s="221" customFormat="true" ht="11.25" hidden="false" customHeight="false" outlineLevel="0" collapsed="false"/>
    <row r="317" s="221" customFormat="true" ht="11.25" hidden="false" customHeight="false" outlineLevel="0" collapsed="false"/>
    <row r="318" s="221" customFormat="true" ht="11.25" hidden="false" customHeight="false" outlineLevel="0" collapsed="false"/>
    <row r="319" s="221" customFormat="true" ht="11.25" hidden="false" customHeight="false" outlineLevel="0" collapsed="false"/>
    <row r="320" s="221" customFormat="true" ht="11.25" hidden="false" customHeight="false" outlineLevel="0" collapsed="false"/>
    <row r="321" s="221" customFormat="true" ht="11.25" hidden="false" customHeight="false" outlineLevel="0" collapsed="false"/>
    <row r="322" s="221" customFormat="true" ht="11.25" hidden="false" customHeight="false" outlineLevel="0" collapsed="false"/>
    <row r="323" s="221" customFormat="true" ht="11.25" hidden="false" customHeight="false" outlineLevel="0" collapsed="false"/>
    <row r="324" s="221" customFormat="true" ht="11.25" hidden="false" customHeight="false" outlineLevel="0" collapsed="false"/>
    <row r="325" s="221" customFormat="true" ht="11.25" hidden="false" customHeight="false" outlineLevel="0" collapsed="false"/>
    <row r="326" s="221" customFormat="true" ht="11.25" hidden="false" customHeight="false" outlineLevel="0" collapsed="false"/>
    <row r="327" s="221" customFormat="true" ht="11.25" hidden="false" customHeight="false" outlineLevel="0" collapsed="false"/>
    <row r="328" s="221" customFormat="true" ht="11.25" hidden="false" customHeight="false" outlineLevel="0" collapsed="false"/>
    <row r="329" s="221" customFormat="true" ht="11.25" hidden="false" customHeight="false" outlineLevel="0" collapsed="false"/>
    <row r="330" s="221" customFormat="true" ht="11.25" hidden="false" customHeight="false" outlineLevel="0" collapsed="false"/>
    <row r="331" s="221" customFormat="true" ht="11.25" hidden="false" customHeight="false" outlineLevel="0" collapsed="false"/>
    <row r="332" s="221" customFormat="true" ht="11.25" hidden="false" customHeight="false" outlineLevel="0" collapsed="false"/>
    <row r="333" s="221" customFormat="true" ht="11.25" hidden="false" customHeight="false" outlineLevel="0" collapsed="false"/>
    <row r="334" s="221" customFormat="true" ht="11.25" hidden="false" customHeight="false" outlineLevel="0" collapsed="false"/>
    <row r="335" s="221" customFormat="true" ht="11.25" hidden="false" customHeight="false" outlineLevel="0" collapsed="false"/>
    <row r="336" s="221" customFormat="true" ht="11.25" hidden="false" customHeight="false" outlineLevel="0" collapsed="false"/>
    <row r="337" s="221" customFormat="true" ht="11.25" hidden="false" customHeight="false" outlineLevel="0" collapsed="false"/>
    <row r="338" s="221" customFormat="true" ht="11.25" hidden="false" customHeight="false" outlineLevel="0" collapsed="false"/>
    <row r="339" s="221" customFormat="true" ht="11.25" hidden="false" customHeight="false" outlineLevel="0" collapsed="false"/>
    <row r="340" s="221" customFormat="true" ht="11.25" hidden="false" customHeight="false" outlineLevel="0" collapsed="false"/>
    <row r="341" s="221" customFormat="true" ht="11.25" hidden="false" customHeight="false" outlineLevel="0" collapsed="false"/>
    <row r="342" s="221" customFormat="true" ht="11.25" hidden="false" customHeight="false" outlineLevel="0" collapsed="false"/>
    <row r="343" s="221" customFormat="true" ht="11.25" hidden="false" customHeight="false" outlineLevel="0" collapsed="false"/>
    <row r="344" s="221" customFormat="true" ht="11.25" hidden="false" customHeight="false" outlineLevel="0" collapsed="false"/>
    <row r="345" s="221" customFormat="true" ht="11.25" hidden="false" customHeight="false" outlineLevel="0" collapsed="false"/>
    <row r="346" s="221" customFormat="true" ht="11.25" hidden="false" customHeight="false" outlineLevel="0" collapsed="false"/>
    <row r="347" s="221" customFormat="true" ht="11.25" hidden="false" customHeight="false" outlineLevel="0" collapsed="false"/>
    <row r="348" s="221" customFormat="true" ht="11.25" hidden="false" customHeight="false" outlineLevel="0" collapsed="false"/>
    <row r="349" s="221" customFormat="true" ht="11.25" hidden="false" customHeight="false" outlineLevel="0" collapsed="false"/>
    <row r="350" s="221" customFormat="true" ht="11.25" hidden="false" customHeight="false" outlineLevel="0" collapsed="false"/>
    <row r="351" s="221" customFormat="true" ht="11.25" hidden="false" customHeight="false" outlineLevel="0" collapsed="false"/>
    <row r="352" s="221" customFormat="true" ht="11.25" hidden="false" customHeight="false" outlineLevel="0" collapsed="false"/>
    <row r="353" s="221" customFormat="true" ht="11.25" hidden="false" customHeight="false" outlineLevel="0" collapsed="false"/>
    <row r="354" s="221" customFormat="true" ht="11.25" hidden="false" customHeight="false" outlineLevel="0" collapsed="false"/>
    <row r="355" s="221" customFormat="true" ht="11.25" hidden="false" customHeight="false" outlineLevel="0" collapsed="false"/>
    <row r="356" s="221" customFormat="true" ht="11.25" hidden="false" customHeight="false" outlineLevel="0" collapsed="false"/>
    <row r="357" s="221" customFormat="true" ht="11.25" hidden="false" customHeight="false" outlineLevel="0" collapsed="false"/>
    <row r="358" s="221" customFormat="true" ht="11.25" hidden="false" customHeight="false" outlineLevel="0" collapsed="false"/>
    <row r="359" s="221" customFormat="true" ht="11.25" hidden="false" customHeight="false" outlineLevel="0" collapsed="false"/>
    <row r="360" s="221" customFormat="true" ht="11.25" hidden="false" customHeight="false" outlineLevel="0" collapsed="false"/>
    <row r="361" s="221" customFormat="true" ht="11.25" hidden="false" customHeight="false" outlineLevel="0" collapsed="false"/>
    <row r="362" s="221" customFormat="true" ht="11.25" hidden="false" customHeight="false" outlineLevel="0" collapsed="false"/>
    <row r="363" s="221" customFormat="true" ht="11.25" hidden="false" customHeight="false" outlineLevel="0" collapsed="false"/>
    <row r="364" customFormat="false" ht="11.25" hidden="false" customHeight="false" outlineLevel="0" collapsed="false">
      <c r="A364" s="221"/>
      <c r="B364" s="221"/>
      <c r="C364" s="221"/>
      <c r="D364" s="221"/>
      <c r="E364" s="221"/>
      <c r="F364" s="221"/>
      <c r="G364" s="221"/>
      <c r="H364" s="221"/>
      <c r="I364" s="221"/>
      <c r="J364" s="221"/>
      <c r="K364" s="221"/>
      <c r="L364" s="221"/>
      <c r="M364" s="221"/>
      <c r="N364" s="221"/>
      <c r="O364" s="221"/>
      <c r="P364" s="221"/>
      <c r="Q364" s="221"/>
      <c r="R364" s="221"/>
      <c r="S364" s="221"/>
      <c r="T364" s="221"/>
      <c r="U364" s="221"/>
    </row>
  </sheetData>
  <mergeCells count="3">
    <mergeCell ref="A1:J1"/>
    <mergeCell ref="T1:U1"/>
    <mergeCell ref="T2:U2"/>
  </mergeCells>
  <printOptions headings="false" gridLines="false" gridLinesSet="true" horizontalCentered="false" verticalCentered="false"/>
  <pageMargins left="0.551388888888889" right="0.511805555555555" top="0.511805555555555" bottom="0.275694444444444" header="0.511805555555555" footer="0.14375"/>
  <pageSetup paperSize="1" scale="100" firstPageNumber="84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>&amp;C&amp;"Times New Roman,Regular"&amp;8&amp;P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Y8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1" ySplit="6" topLeftCell="B43" activePane="bottomRight" state="frozen"/>
      <selection pane="topLeft" activeCell="A1" activeCellId="0" sqref="A1"/>
      <selection pane="topRight" activeCell="B1" activeCellId="0" sqref="B1"/>
      <selection pane="bottomLeft" activeCell="A43" activeCellId="0" sqref="A43"/>
      <selection pane="bottomRight" activeCell="C60" activeCellId="0" sqref="C60"/>
    </sheetView>
  </sheetViews>
  <sheetFormatPr defaultColWidth="9.15625" defaultRowHeight="11.25" zeroHeight="false" outlineLevelRow="0" outlineLevelCol="0"/>
  <cols>
    <col collapsed="false" customWidth="true" hidden="false" outlineLevel="0" max="1" min="1" style="707" width="9.29"/>
    <col collapsed="false" customWidth="true" hidden="false" outlineLevel="0" max="2" min="2" style="221" width="9.85"/>
    <col collapsed="false" customWidth="true" hidden="false" outlineLevel="0" max="3" min="3" style="221" width="9.71"/>
    <col collapsed="false" customWidth="true" hidden="false" outlineLevel="0" max="4" min="4" style="221" width="10.14"/>
    <col collapsed="false" customWidth="true" hidden="false" outlineLevel="0" max="5" min="5" style="221" width="10.99"/>
    <col collapsed="false" customWidth="true" hidden="false" outlineLevel="0" max="6" min="6" style="221" width="11.29"/>
    <col collapsed="false" customWidth="true" hidden="false" outlineLevel="0" max="7" min="7" style="221" width="11.86"/>
    <col collapsed="false" customWidth="true" hidden="false" outlineLevel="0" max="8" min="8" style="221" width="9.85"/>
    <col collapsed="false" customWidth="true" hidden="false" outlineLevel="0" max="9" min="9" style="221" width="9.58"/>
    <col collapsed="false" customWidth="true" hidden="false" outlineLevel="0" max="10" min="10" style="221" width="9.29"/>
    <col collapsed="false" customWidth="true" hidden="false" outlineLevel="0" max="11" min="11" style="221" width="9.71"/>
    <col collapsed="false" customWidth="true" hidden="false" outlineLevel="0" max="12" min="12" style="221" width="9.42"/>
    <col collapsed="false" customWidth="true" hidden="false" outlineLevel="0" max="13" min="13" style="221" width="8"/>
    <col collapsed="false" customWidth="true" hidden="false" outlineLevel="0" max="14" min="14" style="221" width="8.71"/>
    <col collapsed="false" customWidth="true" hidden="false" outlineLevel="0" max="15" min="15" style="221" width="7.57"/>
    <col collapsed="false" customWidth="true" hidden="false" outlineLevel="0" max="16" min="16" style="707" width="11.42"/>
    <col collapsed="false" customWidth="true" hidden="false" outlineLevel="0" max="17" min="17" style="221" width="10.71"/>
    <col collapsed="false" customWidth="true" hidden="false" outlineLevel="0" max="18" min="18" style="221" width="10.58"/>
    <col collapsed="false" customWidth="true" hidden="false" outlineLevel="0" max="19" min="19" style="221" width="10.71"/>
    <col collapsed="false" customWidth="true" hidden="false" outlineLevel="0" max="20" min="20" style="221" width="10.85"/>
    <col collapsed="false" customWidth="true" hidden="false" outlineLevel="0" max="21" min="21" style="221" width="10.58"/>
    <col collapsed="false" customWidth="true" hidden="false" outlineLevel="0" max="22" min="22" style="221" width="10.71"/>
    <col collapsed="false" customWidth="true" hidden="false" outlineLevel="0" max="23" min="23" style="221" width="9.85"/>
    <col collapsed="false" customWidth="false" hidden="false" outlineLevel="0" max="24" min="24" style="221" width="9.14"/>
    <col collapsed="false" customWidth="true" hidden="false" outlineLevel="0" max="25" min="25" style="221" width="9.42"/>
    <col collapsed="false" customWidth="true" hidden="false" outlineLevel="0" max="26" min="26" style="221" width="9"/>
    <col collapsed="false" customWidth="true" hidden="false" outlineLevel="0" max="27" min="27" style="221" width="9.42"/>
    <col collapsed="false" customWidth="true" hidden="false" outlineLevel="0" max="29" min="28" style="221" width="9.71"/>
    <col collapsed="false" customWidth="true" hidden="false" outlineLevel="0" max="30" min="30" style="221" width="9.42"/>
    <col collapsed="false" customWidth="true" hidden="false" outlineLevel="0" max="31" min="31" style="707" width="10.42"/>
    <col collapsed="false" customWidth="true" hidden="false" outlineLevel="0" max="32" min="32" style="221" width="10.71"/>
    <col collapsed="false" customWidth="true" hidden="false" outlineLevel="0" max="34" min="33" style="221" width="10.85"/>
    <col collapsed="false" customWidth="true" hidden="false" outlineLevel="0" max="35" min="35" style="221" width="11.14"/>
    <col collapsed="false" customWidth="true" hidden="false" outlineLevel="0" max="36" min="36" style="221" width="11.42"/>
    <col collapsed="false" customWidth="true" hidden="false" outlineLevel="0" max="37" min="37" style="221" width="9"/>
    <col collapsed="false" customWidth="true" hidden="false" outlineLevel="0" max="38" min="38" style="221" width="9.71"/>
    <col collapsed="false" customWidth="true" hidden="false" outlineLevel="0" max="39" min="39" style="221" width="9.58"/>
    <col collapsed="false" customWidth="true" hidden="false" outlineLevel="0" max="40" min="40" style="221" width="9.29"/>
    <col collapsed="false" customWidth="true" hidden="false" outlineLevel="0" max="41" min="41" style="221" width="9.42"/>
    <col collapsed="false" customWidth="false" hidden="false" outlineLevel="0" max="42" min="42" style="221" width="9.14"/>
    <col collapsed="false" customWidth="true" hidden="false" outlineLevel="0" max="43" min="43" style="221" width="9.29"/>
    <col collapsed="false" customWidth="true" hidden="false" outlineLevel="0" max="44" min="44" style="221" width="10"/>
    <col collapsed="false" customWidth="false" hidden="false" outlineLevel="0" max="45" min="45" style="221" width="9.14"/>
    <col collapsed="false" customWidth="true" hidden="false" outlineLevel="0" max="46" min="46" style="707" width="10.71"/>
    <col collapsed="false" customWidth="true" hidden="false" outlineLevel="0" max="47" min="47" style="221" width="10.85"/>
    <col collapsed="false" customWidth="true" hidden="false" outlineLevel="0" max="48" min="48" style="221" width="10.58"/>
    <col collapsed="false" customWidth="true" hidden="false" outlineLevel="0" max="49" min="49" style="221" width="10.29"/>
    <col collapsed="false" customWidth="true" hidden="false" outlineLevel="0" max="50" min="50" style="221" width="10.58"/>
    <col collapsed="false" customWidth="true" hidden="false" outlineLevel="0" max="51" min="51" style="221" width="10.99"/>
    <col collapsed="false" customWidth="true" hidden="false" outlineLevel="0" max="52" min="52" style="221" width="11.42"/>
    <col collapsed="false" customWidth="true" hidden="false" outlineLevel="0" max="53" min="53" style="221" width="9.85"/>
    <col collapsed="false" customWidth="true" hidden="false" outlineLevel="0" max="54" min="54" style="221" width="9.29"/>
    <col collapsed="false" customWidth="true" hidden="false" outlineLevel="0" max="55" min="55" style="221" width="9.85"/>
    <col collapsed="false" customWidth="false" hidden="false" outlineLevel="0" max="56" min="56" style="221" width="9.14"/>
    <col collapsed="false" customWidth="true" hidden="false" outlineLevel="0" max="57" min="57" style="221" width="9.71"/>
    <col collapsed="false" customWidth="true" hidden="false" outlineLevel="0" max="58" min="58" style="221" width="8.71"/>
    <col collapsed="false" customWidth="true" hidden="false" outlineLevel="0" max="59" min="59" style="221" width="9"/>
    <col collapsed="false" customWidth="true" hidden="false" outlineLevel="0" max="60" min="60" style="221" width="9.29"/>
    <col collapsed="false" customWidth="true" hidden="false" outlineLevel="0" max="61" min="61" style="707" width="10"/>
    <col collapsed="false" customWidth="true" hidden="false" outlineLevel="0" max="62" min="62" style="221" width="10.29"/>
    <col collapsed="false" customWidth="true" hidden="false" outlineLevel="0" max="63" min="63" style="221" width="10.42"/>
    <col collapsed="false" customWidth="true" hidden="false" outlineLevel="0" max="64" min="64" style="221" width="10.14"/>
    <col collapsed="false" customWidth="true" hidden="false" outlineLevel="0" max="65" min="65" style="221" width="10.99"/>
    <col collapsed="false" customWidth="true" hidden="false" outlineLevel="0" max="66" min="66" style="221" width="10.71"/>
    <col collapsed="false" customWidth="true" hidden="false" outlineLevel="0" max="67" min="67" style="221" width="11.42"/>
    <col collapsed="false" customWidth="true" hidden="false" outlineLevel="0" max="68" min="68" style="221" width="10"/>
    <col collapsed="false" customWidth="true" hidden="false" outlineLevel="0" max="69" min="69" style="221" width="9.42"/>
    <col collapsed="false" customWidth="true" hidden="false" outlineLevel="0" max="70" min="70" style="221" width="9"/>
    <col collapsed="false" customWidth="true" hidden="false" outlineLevel="0" max="71" min="71" style="221" width="9.71"/>
    <col collapsed="false" customWidth="true" hidden="false" outlineLevel="0" max="72" min="72" style="221" width="9.29"/>
    <col collapsed="false" customWidth="true" hidden="false" outlineLevel="0" max="73" min="73" style="221" width="9.42"/>
    <col collapsed="false" customWidth="true" hidden="false" outlineLevel="0" max="74" min="74" style="221" width="9.58"/>
    <col collapsed="false" customWidth="false" hidden="false" outlineLevel="0" max="1024" min="75" style="221" width="9.14"/>
  </cols>
  <sheetData>
    <row r="1" s="1531" customFormat="true" ht="14.25" hidden="false" customHeight="true" outlineLevel="0" collapsed="false">
      <c r="C1" s="871"/>
      <c r="D1" s="871"/>
      <c r="F1" s="827" t="s">
        <v>2498</v>
      </c>
      <c r="G1" s="827"/>
      <c r="H1" s="1532" t="s">
        <v>2499</v>
      </c>
      <c r="M1" s="827" t="s">
        <v>2500</v>
      </c>
      <c r="N1" s="827"/>
      <c r="O1" s="827"/>
      <c r="U1" s="827" t="s">
        <v>2498</v>
      </c>
      <c r="V1" s="827"/>
      <c r="W1" s="1532" t="s">
        <v>2499</v>
      </c>
      <c r="AB1" s="827" t="s">
        <v>2500</v>
      </c>
      <c r="AC1" s="827"/>
      <c r="AD1" s="827"/>
      <c r="AJ1" s="827" t="s">
        <v>2498</v>
      </c>
      <c r="AK1" s="827"/>
      <c r="AL1" s="1532" t="s">
        <v>2499</v>
      </c>
      <c r="AQ1" s="827" t="s">
        <v>2500</v>
      </c>
      <c r="AR1" s="827"/>
      <c r="AS1" s="827"/>
      <c r="AY1" s="827" t="s">
        <v>2498</v>
      </c>
      <c r="AZ1" s="827"/>
      <c r="BA1" s="1532" t="s">
        <v>2499</v>
      </c>
      <c r="BF1" s="827" t="s">
        <v>2500</v>
      </c>
      <c r="BG1" s="827"/>
      <c r="BH1" s="827"/>
      <c r="BN1" s="827" t="s">
        <v>2498</v>
      </c>
      <c r="BO1" s="827"/>
      <c r="BP1" s="1532" t="s">
        <v>2499</v>
      </c>
      <c r="BU1" s="827" t="s">
        <v>2501</v>
      </c>
      <c r="BV1" s="827"/>
      <c r="BW1" s="827"/>
    </row>
    <row r="2" s="746" customFormat="true" ht="12.75" hidden="false" customHeight="true" outlineLevel="0" collapsed="false">
      <c r="G2" s="873" t="s">
        <v>2502</v>
      </c>
      <c r="H2" s="872" t="s">
        <v>2503</v>
      </c>
      <c r="I2" s="832"/>
      <c r="J2" s="832"/>
      <c r="K2" s="832"/>
      <c r="L2" s="832"/>
      <c r="M2" s="832"/>
      <c r="P2" s="832"/>
      <c r="Q2" s="832"/>
      <c r="R2" s="832"/>
      <c r="S2" s="832"/>
      <c r="T2" s="832"/>
      <c r="V2" s="873" t="s">
        <v>2502</v>
      </c>
      <c r="W2" s="872" t="s">
        <v>2503</v>
      </c>
      <c r="AC2" s="1396"/>
      <c r="AD2" s="1396"/>
      <c r="AK2" s="873" t="s">
        <v>2502</v>
      </c>
      <c r="AL2" s="872" t="s">
        <v>2503</v>
      </c>
      <c r="AZ2" s="873" t="s">
        <v>2502</v>
      </c>
      <c r="BA2" s="872" t="s">
        <v>2503</v>
      </c>
      <c r="BO2" s="873" t="s">
        <v>2502</v>
      </c>
      <c r="BP2" s="872" t="s">
        <v>2503</v>
      </c>
    </row>
    <row r="3" s="1431" customFormat="true" ht="11.25" hidden="false" customHeight="true" outlineLevel="0" collapsed="false">
      <c r="A3" s="749" t="s">
        <v>260</v>
      </c>
      <c r="B3" s="749" t="s">
        <v>2504</v>
      </c>
      <c r="C3" s="749"/>
      <c r="D3" s="749" t="s">
        <v>2505</v>
      </c>
      <c r="E3" s="749"/>
      <c r="F3" s="749" t="s">
        <v>2506</v>
      </c>
      <c r="G3" s="749"/>
      <c r="H3" s="749" t="s">
        <v>2507</v>
      </c>
      <c r="I3" s="749"/>
      <c r="J3" s="749" t="s">
        <v>2508</v>
      </c>
      <c r="K3" s="749"/>
      <c r="L3" s="749" t="s">
        <v>2509</v>
      </c>
      <c r="M3" s="749"/>
      <c r="N3" s="749" t="s">
        <v>2510</v>
      </c>
      <c r="O3" s="749"/>
      <c r="P3" s="749" t="s">
        <v>260</v>
      </c>
      <c r="Q3" s="451" t="s">
        <v>2511</v>
      </c>
      <c r="R3" s="451"/>
      <c r="S3" s="749" t="s">
        <v>2512</v>
      </c>
      <c r="T3" s="749"/>
      <c r="U3" s="749" t="s">
        <v>2513</v>
      </c>
      <c r="V3" s="749"/>
      <c r="W3" s="749" t="s">
        <v>2514</v>
      </c>
      <c r="X3" s="749"/>
      <c r="Y3" s="749" t="s">
        <v>2515</v>
      </c>
      <c r="Z3" s="749"/>
      <c r="AA3" s="749" t="s">
        <v>2516</v>
      </c>
      <c r="AB3" s="749"/>
      <c r="AC3" s="749" t="s">
        <v>2517</v>
      </c>
      <c r="AD3" s="749"/>
      <c r="AE3" s="749" t="s">
        <v>260</v>
      </c>
      <c r="AF3" s="749" t="s">
        <v>2518</v>
      </c>
      <c r="AG3" s="749"/>
      <c r="AH3" s="749" t="s">
        <v>2519</v>
      </c>
      <c r="AI3" s="749"/>
      <c r="AJ3" s="749" t="s">
        <v>2520</v>
      </c>
      <c r="AK3" s="749"/>
      <c r="AL3" s="749" t="s">
        <v>2521</v>
      </c>
      <c r="AM3" s="749"/>
      <c r="AN3" s="749" t="s">
        <v>2522</v>
      </c>
      <c r="AO3" s="749"/>
      <c r="AP3" s="749" t="s">
        <v>2523</v>
      </c>
      <c r="AQ3" s="749"/>
      <c r="AR3" s="749" t="s">
        <v>2524</v>
      </c>
      <c r="AS3" s="749"/>
      <c r="AT3" s="749" t="s">
        <v>260</v>
      </c>
      <c r="AU3" s="749" t="s">
        <v>2525</v>
      </c>
      <c r="AV3" s="749"/>
      <c r="AW3" s="749" t="s">
        <v>2526</v>
      </c>
      <c r="AX3" s="749"/>
      <c r="AY3" s="749" t="s">
        <v>2527</v>
      </c>
      <c r="AZ3" s="749"/>
      <c r="BA3" s="749" t="s">
        <v>2528</v>
      </c>
      <c r="BB3" s="749"/>
      <c r="BC3" s="749" t="s">
        <v>2529</v>
      </c>
      <c r="BD3" s="749"/>
      <c r="BE3" s="749" t="s">
        <v>2530</v>
      </c>
      <c r="BF3" s="749"/>
      <c r="BG3" s="749" t="s">
        <v>2531</v>
      </c>
      <c r="BH3" s="749"/>
      <c r="BI3" s="749" t="s">
        <v>260</v>
      </c>
      <c r="BJ3" s="749" t="s">
        <v>2532</v>
      </c>
      <c r="BK3" s="749"/>
      <c r="BL3" s="749" t="s">
        <v>2533</v>
      </c>
      <c r="BM3" s="749"/>
      <c r="BN3" s="749" t="s">
        <v>2534</v>
      </c>
      <c r="BO3" s="749"/>
      <c r="BP3" s="749" t="s">
        <v>2535</v>
      </c>
      <c r="BQ3" s="749"/>
      <c r="BR3" s="749" t="s">
        <v>2536</v>
      </c>
      <c r="BS3" s="749"/>
      <c r="BT3" s="749" t="s">
        <v>2408</v>
      </c>
      <c r="BU3" s="749"/>
      <c r="BV3" s="749" t="s">
        <v>2537</v>
      </c>
      <c r="BW3" s="749"/>
    </row>
    <row r="4" s="1239" customFormat="true" ht="20.25" hidden="false" customHeight="true" outlineLevel="0" collapsed="false">
      <c r="A4" s="749"/>
      <c r="B4" s="451" t="s">
        <v>2538</v>
      </c>
      <c r="C4" s="451" t="s">
        <v>2539</v>
      </c>
      <c r="D4" s="451" t="s">
        <v>2538</v>
      </c>
      <c r="E4" s="451" t="s">
        <v>2539</v>
      </c>
      <c r="F4" s="451" t="s">
        <v>2538</v>
      </c>
      <c r="G4" s="451" t="s">
        <v>2540</v>
      </c>
      <c r="H4" s="451" t="s">
        <v>2538</v>
      </c>
      <c r="I4" s="451" t="s">
        <v>2539</v>
      </c>
      <c r="J4" s="451" t="s">
        <v>2538</v>
      </c>
      <c r="K4" s="451" t="s">
        <v>2539</v>
      </c>
      <c r="L4" s="451" t="s">
        <v>2538</v>
      </c>
      <c r="M4" s="451" t="s">
        <v>2539</v>
      </c>
      <c r="N4" s="451" t="s">
        <v>2538</v>
      </c>
      <c r="O4" s="451" t="s">
        <v>2539</v>
      </c>
      <c r="P4" s="749"/>
      <c r="Q4" s="451" t="s">
        <v>2538</v>
      </c>
      <c r="R4" s="451" t="s">
        <v>2539</v>
      </c>
      <c r="S4" s="451" t="s">
        <v>2538</v>
      </c>
      <c r="T4" s="451" t="s">
        <v>2539</v>
      </c>
      <c r="U4" s="451" t="s">
        <v>2538</v>
      </c>
      <c r="V4" s="451" t="s">
        <v>2540</v>
      </c>
      <c r="W4" s="451" t="s">
        <v>2538</v>
      </c>
      <c r="X4" s="451" t="s">
        <v>2539</v>
      </c>
      <c r="Y4" s="451" t="s">
        <v>2538</v>
      </c>
      <c r="Z4" s="451" t="s">
        <v>2539</v>
      </c>
      <c r="AA4" s="451" t="s">
        <v>2538</v>
      </c>
      <c r="AB4" s="451" t="s">
        <v>2539</v>
      </c>
      <c r="AC4" s="451" t="s">
        <v>2538</v>
      </c>
      <c r="AD4" s="451" t="s">
        <v>2539</v>
      </c>
      <c r="AE4" s="749"/>
      <c r="AF4" s="451" t="s">
        <v>2538</v>
      </c>
      <c r="AG4" s="451" t="s">
        <v>2539</v>
      </c>
      <c r="AH4" s="451" t="s">
        <v>2538</v>
      </c>
      <c r="AI4" s="451" t="s">
        <v>2539</v>
      </c>
      <c r="AJ4" s="451" t="s">
        <v>2538</v>
      </c>
      <c r="AK4" s="451" t="s">
        <v>2540</v>
      </c>
      <c r="AL4" s="451" t="s">
        <v>2538</v>
      </c>
      <c r="AM4" s="451" t="s">
        <v>2539</v>
      </c>
      <c r="AN4" s="451" t="s">
        <v>2538</v>
      </c>
      <c r="AO4" s="451" t="s">
        <v>2539</v>
      </c>
      <c r="AP4" s="451" t="s">
        <v>2538</v>
      </c>
      <c r="AQ4" s="451" t="s">
        <v>2539</v>
      </c>
      <c r="AR4" s="451" t="s">
        <v>2538</v>
      </c>
      <c r="AS4" s="451" t="s">
        <v>2539</v>
      </c>
      <c r="AT4" s="749"/>
      <c r="AU4" s="451" t="s">
        <v>2538</v>
      </c>
      <c r="AV4" s="451" t="s">
        <v>2539</v>
      </c>
      <c r="AW4" s="451" t="s">
        <v>2538</v>
      </c>
      <c r="AX4" s="451" t="s">
        <v>2539</v>
      </c>
      <c r="AY4" s="451" t="s">
        <v>2538</v>
      </c>
      <c r="AZ4" s="451" t="s">
        <v>2540</v>
      </c>
      <c r="BA4" s="451" t="s">
        <v>2538</v>
      </c>
      <c r="BB4" s="451" t="s">
        <v>2539</v>
      </c>
      <c r="BC4" s="451" t="s">
        <v>2538</v>
      </c>
      <c r="BD4" s="451" t="s">
        <v>2539</v>
      </c>
      <c r="BE4" s="451" t="s">
        <v>2538</v>
      </c>
      <c r="BF4" s="451" t="s">
        <v>2539</v>
      </c>
      <c r="BG4" s="451" t="s">
        <v>2538</v>
      </c>
      <c r="BH4" s="451" t="s">
        <v>2539</v>
      </c>
      <c r="BI4" s="749"/>
      <c r="BJ4" s="451" t="s">
        <v>2538</v>
      </c>
      <c r="BK4" s="451" t="s">
        <v>2539</v>
      </c>
      <c r="BL4" s="451" t="s">
        <v>2538</v>
      </c>
      <c r="BM4" s="451" t="s">
        <v>2539</v>
      </c>
      <c r="BN4" s="451" t="s">
        <v>2538</v>
      </c>
      <c r="BO4" s="451" t="s">
        <v>2540</v>
      </c>
      <c r="BP4" s="451" t="s">
        <v>2538</v>
      </c>
      <c r="BQ4" s="451" t="s">
        <v>2539</v>
      </c>
      <c r="BR4" s="451" t="s">
        <v>2538</v>
      </c>
      <c r="BS4" s="451" t="s">
        <v>2539</v>
      </c>
      <c r="BT4" s="451" t="s">
        <v>2538</v>
      </c>
      <c r="BU4" s="451" t="s">
        <v>2539</v>
      </c>
      <c r="BV4" s="451" t="s">
        <v>2538</v>
      </c>
      <c r="BW4" s="451" t="s">
        <v>2539</v>
      </c>
    </row>
    <row r="5" s="1239" customFormat="true" ht="15.75" hidden="false" customHeight="true" outlineLevel="0" collapsed="false">
      <c r="A5" s="749"/>
      <c r="B5" s="451"/>
      <c r="C5" s="451"/>
      <c r="D5" s="451"/>
      <c r="E5" s="451"/>
      <c r="F5" s="451"/>
      <c r="G5" s="451"/>
      <c r="H5" s="451"/>
      <c r="I5" s="451"/>
      <c r="J5" s="451"/>
      <c r="K5" s="451"/>
      <c r="L5" s="451"/>
      <c r="M5" s="451"/>
      <c r="N5" s="451"/>
      <c r="O5" s="451"/>
      <c r="P5" s="749"/>
      <c r="Q5" s="451"/>
      <c r="R5" s="451"/>
      <c r="S5" s="451"/>
      <c r="T5" s="451"/>
      <c r="U5" s="451"/>
      <c r="V5" s="451"/>
      <c r="W5" s="451"/>
      <c r="X5" s="451"/>
      <c r="Y5" s="451"/>
      <c r="Z5" s="451"/>
      <c r="AA5" s="451"/>
      <c r="AB5" s="451"/>
      <c r="AC5" s="451"/>
      <c r="AD5" s="451"/>
      <c r="AE5" s="749"/>
      <c r="AF5" s="451"/>
      <c r="AG5" s="451"/>
      <c r="AH5" s="451"/>
      <c r="AI5" s="451"/>
      <c r="AJ5" s="451"/>
      <c r="AK5" s="451"/>
      <c r="AL5" s="451"/>
      <c r="AM5" s="451"/>
      <c r="AN5" s="451"/>
      <c r="AO5" s="451"/>
      <c r="AP5" s="451"/>
      <c r="AQ5" s="451"/>
      <c r="AR5" s="451"/>
      <c r="AS5" s="451"/>
      <c r="AT5" s="749"/>
      <c r="AU5" s="451"/>
      <c r="AV5" s="451"/>
      <c r="AW5" s="451"/>
      <c r="AX5" s="451"/>
      <c r="AY5" s="451"/>
      <c r="AZ5" s="451"/>
      <c r="BA5" s="451"/>
      <c r="BB5" s="451"/>
      <c r="BC5" s="451"/>
      <c r="BD5" s="451"/>
      <c r="BE5" s="451"/>
      <c r="BF5" s="451"/>
      <c r="BG5" s="451"/>
      <c r="BH5" s="451"/>
      <c r="BI5" s="749"/>
      <c r="BJ5" s="451"/>
      <c r="BK5" s="451"/>
      <c r="BL5" s="451"/>
      <c r="BM5" s="451"/>
      <c r="BN5" s="451"/>
      <c r="BO5" s="451"/>
      <c r="BP5" s="451"/>
      <c r="BQ5" s="451"/>
      <c r="BR5" s="451"/>
      <c r="BS5" s="451"/>
      <c r="BT5" s="451"/>
      <c r="BU5" s="451"/>
      <c r="BV5" s="451"/>
      <c r="BW5" s="451"/>
    </row>
    <row r="6" s="1533" customFormat="true" ht="12" hidden="false" customHeight="false" outlineLevel="0" collapsed="false">
      <c r="A6" s="749"/>
      <c r="B6" s="835" t="n">
        <v>1</v>
      </c>
      <c r="C6" s="835" t="n">
        <v>2</v>
      </c>
      <c r="D6" s="835" t="n">
        <v>3</v>
      </c>
      <c r="E6" s="835" t="n">
        <v>4</v>
      </c>
      <c r="F6" s="835" t="n">
        <v>5</v>
      </c>
      <c r="G6" s="835" t="n">
        <v>6</v>
      </c>
      <c r="H6" s="835" t="n">
        <v>7</v>
      </c>
      <c r="I6" s="835" t="n">
        <v>8</v>
      </c>
      <c r="J6" s="835" t="n">
        <v>9</v>
      </c>
      <c r="K6" s="835" t="n">
        <v>10</v>
      </c>
      <c r="L6" s="835" t="n">
        <v>11</v>
      </c>
      <c r="M6" s="835" t="n">
        <v>12</v>
      </c>
      <c r="N6" s="835" t="n">
        <v>13</v>
      </c>
      <c r="O6" s="835" t="n">
        <v>14</v>
      </c>
      <c r="P6" s="749"/>
      <c r="Q6" s="835" t="n">
        <v>15</v>
      </c>
      <c r="R6" s="835" t="n">
        <v>16</v>
      </c>
      <c r="S6" s="835" t="n">
        <v>17</v>
      </c>
      <c r="T6" s="835" t="n">
        <v>18</v>
      </c>
      <c r="U6" s="835" t="n">
        <v>19</v>
      </c>
      <c r="V6" s="835" t="n">
        <v>20</v>
      </c>
      <c r="W6" s="835" t="n">
        <v>21</v>
      </c>
      <c r="X6" s="835" t="n">
        <v>22</v>
      </c>
      <c r="Y6" s="835" t="n">
        <v>23</v>
      </c>
      <c r="Z6" s="835" t="n">
        <v>24</v>
      </c>
      <c r="AA6" s="835" t="n">
        <v>25</v>
      </c>
      <c r="AB6" s="835" t="n">
        <v>26</v>
      </c>
      <c r="AC6" s="835" t="n">
        <v>27</v>
      </c>
      <c r="AD6" s="835" t="n">
        <v>28</v>
      </c>
      <c r="AE6" s="749"/>
      <c r="AF6" s="835" t="n">
        <v>29</v>
      </c>
      <c r="AG6" s="835" t="n">
        <v>30</v>
      </c>
      <c r="AH6" s="835" t="n">
        <v>31</v>
      </c>
      <c r="AI6" s="835" t="n">
        <v>32</v>
      </c>
      <c r="AJ6" s="835" t="n">
        <v>33</v>
      </c>
      <c r="AK6" s="835" t="n">
        <v>34</v>
      </c>
      <c r="AL6" s="835" t="n">
        <v>35</v>
      </c>
      <c r="AM6" s="835" t="n">
        <v>36</v>
      </c>
      <c r="AN6" s="835" t="n">
        <v>37</v>
      </c>
      <c r="AO6" s="835" t="n">
        <v>38</v>
      </c>
      <c r="AP6" s="835" t="n">
        <v>39</v>
      </c>
      <c r="AQ6" s="835" t="n">
        <v>40</v>
      </c>
      <c r="AR6" s="835" t="n">
        <v>41</v>
      </c>
      <c r="AS6" s="835" t="n">
        <v>42</v>
      </c>
      <c r="AT6" s="749"/>
      <c r="AU6" s="835" t="n">
        <v>43</v>
      </c>
      <c r="AV6" s="835" t="n">
        <v>44</v>
      </c>
      <c r="AW6" s="835" t="n">
        <v>45</v>
      </c>
      <c r="AX6" s="835" t="n">
        <v>46</v>
      </c>
      <c r="AY6" s="835" t="n">
        <v>47</v>
      </c>
      <c r="AZ6" s="835" t="n">
        <v>48</v>
      </c>
      <c r="BA6" s="835" t="n">
        <v>49</v>
      </c>
      <c r="BB6" s="835" t="n">
        <v>50</v>
      </c>
      <c r="BC6" s="835" t="n">
        <v>51</v>
      </c>
      <c r="BD6" s="835" t="n">
        <v>52</v>
      </c>
      <c r="BE6" s="835" t="n">
        <v>53</v>
      </c>
      <c r="BF6" s="835" t="n">
        <v>54</v>
      </c>
      <c r="BG6" s="835" t="n">
        <v>55</v>
      </c>
      <c r="BH6" s="835" t="n">
        <v>56</v>
      </c>
      <c r="BI6" s="749"/>
      <c r="BJ6" s="835" t="n">
        <v>57</v>
      </c>
      <c r="BK6" s="835" t="n">
        <v>58</v>
      </c>
      <c r="BL6" s="835" t="n">
        <v>59</v>
      </c>
      <c r="BM6" s="835" t="n">
        <v>60</v>
      </c>
      <c r="BN6" s="835" t="n">
        <v>61</v>
      </c>
      <c r="BO6" s="835" t="n">
        <v>62</v>
      </c>
      <c r="BP6" s="835" t="n">
        <v>63</v>
      </c>
      <c r="BQ6" s="835" t="n">
        <v>64</v>
      </c>
      <c r="BR6" s="835" t="n">
        <v>65</v>
      </c>
      <c r="BS6" s="835" t="n">
        <v>66</v>
      </c>
      <c r="BT6" s="835" t="n">
        <v>67</v>
      </c>
      <c r="BU6" s="835" t="n">
        <v>68</v>
      </c>
      <c r="BV6" s="835" t="n">
        <v>69</v>
      </c>
      <c r="BW6" s="835" t="n">
        <v>70</v>
      </c>
    </row>
    <row r="7" customFormat="false" ht="11.85" hidden="false" customHeight="true" outlineLevel="0" collapsed="false">
      <c r="A7" s="1534" t="s">
        <v>203</v>
      </c>
      <c r="B7" s="159" t="n">
        <v>61.05</v>
      </c>
      <c r="C7" s="159" t="n">
        <v>58.93</v>
      </c>
      <c r="D7" s="159" t="n">
        <v>69.18</v>
      </c>
      <c r="E7" s="159" t="n">
        <v>69.45</v>
      </c>
      <c r="F7" s="159" t="n">
        <v>183.54</v>
      </c>
      <c r="G7" s="159" t="n">
        <v>184.2</v>
      </c>
      <c r="H7" s="159" t="n">
        <v>65.57</v>
      </c>
      <c r="I7" s="159" t="n">
        <v>65.67</v>
      </c>
      <c r="J7" s="159" t="n">
        <v>10.13</v>
      </c>
      <c r="K7" s="159" t="n">
        <v>10.23</v>
      </c>
      <c r="L7" s="159" t="n">
        <v>12.93</v>
      </c>
      <c r="M7" s="159" t="n">
        <v>11.37</v>
      </c>
      <c r="N7" s="159" t="n">
        <v>96.24</v>
      </c>
      <c r="O7" s="159" t="n">
        <v>84.66</v>
      </c>
      <c r="P7" s="1534" t="s">
        <v>203</v>
      </c>
      <c r="Q7" s="159" t="n">
        <v>8.92</v>
      </c>
      <c r="R7" s="159" t="n">
        <v>8.92</v>
      </c>
      <c r="S7" s="159" t="n">
        <v>1.49</v>
      </c>
      <c r="T7" s="159" t="n">
        <v>1.5</v>
      </c>
      <c r="U7" s="159" t="n">
        <v>0.01</v>
      </c>
      <c r="V7" s="159" t="n">
        <v>0.01</v>
      </c>
      <c r="W7" s="159" t="n">
        <v>0.01</v>
      </c>
      <c r="X7" s="159" t="n">
        <v>0.01</v>
      </c>
      <c r="Y7" s="159" t="n">
        <v>0.76</v>
      </c>
      <c r="Z7" s="159" t="n">
        <v>0.78</v>
      </c>
      <c r="AA7" s="159" t="n">
        <v>253.28</v>
      </c>
      <c r="AB7" s="159" t="n">
        <v>238.89</v>
      </c>
      <c r="AC7" s="159" t="n">
        <v>20.47</v>
      </c>
      <c r="AD7" s="159" t="n">
        <v>21.33</v>
      </c>
      <c r="AE7" s="1534" t="s">
        <v>203</v>
      </c>
      <c r="AF7" s="159" t="n">
        <v>10.78</v>
      </c>
      <c r="AG7" s="159" t="n">
        <v>10.82</v>
      </c>
      <c r="AH7" s="159" t="n">
        <v>0.93</v>
      </c>
      <c r="AI7" s="159" t="n">
        <v>0.93</v>
      </c>
      <c r="AJ7" s="159" t="n">
        <v>48.64</v>
      </c>
      <c r="AK7" s="159" t="n">
        <v>48.06</v>
      </c>
      <c r="AL7" s="159" t="n">
        <v>11.61</v>
      </c>
      <c r="AM7" s="159" t="n">
        <v>10.67</v>
      </c>
      <c r="AN7" s="159" t="n">
        <v>179.7</v>
      </c>
      <c r="AO7" s="159" t="n">
        <v>180.38</v>
      </c>
      <c r="AP7" s="159" t="n">
        <v>0.83</v>
      </c>
      <c r="AQ7" s="159" t="n">
        <v>0.81</v>
      </c>
      <c r="AR7" s="159" t="n">
        <v>1.49</v>
      </c>
      <c r="AS7" s="159" t="n">
        <v>1.5</v>
      </c>
      <c r="AT7" s="1534" t="s">
        <v>203</v>
      </c>
      <c r="AU7" s="159" t="n">
        <v>19.01</v>
      </c>
      <c r="AV7" s="159" t="n">
        <v>19.08</v>
      </c>
      <c r="AW7" s="159" t="n">
        <v>2.29</v>
      </c>
      <c r="AX7" s="159" t="n">
        <v>2.22</v>
      </c>
      <c r="AY7" s="159" t="n">
        <v>18.63</v>
      </c>
      <c r="AZ7" s="159" t="n">
        <v>18.52</v>
      </c>
      <c r="BA7" s="159" t="n">
        <v>0.06</v>
      </c>
      <c r="BB7" s="159" t="n">
        <v>0.06</v>
      </c>
      <c r="BC7" s="159" t="n">
        <v>49.19</v>
      </c>
      <c r="BD7" s="159" t="n">
        <v>49.51</v>
      </c>
      <c r="BE7" s="159" t="n">
        <v>9.54</v>
      </c>
      <c r="BF7" s="159" t="n">
        <v>8.94</v>
      </c>
      <c r="BG7" s="159" t="n">
        <v>0.61</v>
      </c>
      <c r="BH7" s="159" t="n">
        <v>0.61</v>
      </c>
      <c r="BI7" s="1534" t="s">
        <v>203</v>
      </c>
      <c r="BJ7" s="159" t="n">
        <v>65.19</v>
      </c>
      <c r="BK7" s="159" t="n">
        <v>64.18</v>
      </c>
      <c r="BL7" s="159" t="n">
        <v>1.5</v>
      </c>
      <c r="BM7" s="159" t="n">
        <v>1.48</v>
      </c>
      <c r="BN7" s="159" t="n">
        <v>106.99</v>
      </c>
      <c r="BO7" s="159" t="n">
        <v>184.2</v>
      </c>
      <c r="BP7" s="159" t="n">
        <v>2.09</v>
      </c>
      <c r="BQ7" s="159" t="n">
        <v>2.14</v>
      </c>
      <c r="BR7" s="159" t="n">
        <v>18.84</v>
      </c>
      <c r="BS7" s="159" t="n">
        <v>18.91</v>
      </c>
      <c r="BT7" s="159" t="n">
        <v>69.18</v>
      </c>
      <c r="BU7" s="159" t="n">
        <v>69.45</v>
      </c>
      <c r="BV7" s="159" t="n">
        <v>109.42</v>
      </c>
      <c r="BW7" s="159" t="n">
        <v>104.62</v>
      </c>
    </row>
    <row r="8" customFormat="false" ht="9.75" hidden="false" customHeight="true" outlineLevel="0" collapsed="false">
      <c r="A8" s="1535" t="s">
        <v>205</v>
      </c>
      <c r="B8" s="172" t="n">
        <v>70.51</v>
      </c>
      <c r="C8" s="172" t="n">
        <v>79.22</v>
      </c>
      <c r="D8" s="172" t="n">
        <v>71.17</v>
      </c>
      <c r="E8" s="172" t="n">
        <v>74.15</v>
      </c>
      <c r="F8" s="172" t="n">
        <v>188.78</v>
      </c>
      <c r="G8" s="172" t="n">
        <v>196.65</v>
      </c>
      <c r="H8" s="172" t="n">
        <v>71.12</v>
      </c>
      <c r="I8" s="172" t="n">
        <v>76.41</v>
      </c>
      <c r="J8" s="172" t="n">
        <v>10.74</v>
      </c>
      <c r="K8" s="172" t="n">
        <v>11.46</v>
      </c>
      <c r="L8" s="172" t="n">
        <v>13.03</v>
      </c>
      <c r="M8" s="172" t="n">
        <v>14.35</v>
      </c>
      <c r="N8" s="172" t="n">
        <v>97.14</v>
      </c>
      <c r="O8" s="172" t="n">
        <v>107.02</v>
      </c>
      <c r="P8" s="1535" t="s">
        <v>205</v>
      </c>
      <c r="Q8" s="172" t="n">
        <v>9.15</v>
      </c>
      <c r="R8" s="172" t="n">
        <v>9.53</v>
      </c>
      <c r="S8" s="172" t="n">
        <v>1.57</v>
      </c>
      <c r="T8" s="172" t="n">
        <v>1.66</v>
      </c>
      <c r="U8" s="172" t="n">
        <v>0.01</v>
      </c>
      <c r="V8" s="172" t="n">
        <v>0.01</v>
      </c>
      <c r="W8" s="172" t="n">
        <v>0.01</v>
      </c>
      <c r="X8" s="172" t="n">
        <v>0.01</v>
      </c>
      <c r="Y8" s="172" t="n">
        <v>0.86</v>
      </c>
      <c r="Z8" s="172" t="n">
        <v>0.92</v>
      </c>
      <c r="AA8" s="172" t="n">
        <v>253.51</v>
      </c>
      <c r="AB8" s="172" t="n">
        <v>270.16</v>
      </c>
      <c r="AC8" s="172" t="n">
        <v>23.09</v>
      </c>
      <c r="AD8" s="172" t="n">
        <v>24.56</v>
      </c>
      <c r="AE8" s="1535" t="s">
        <v>205</v>
      </c>
      <c r="AF8" s="172" t="n">
        <v>11.09</v>
      </c>
      <c r="AG8" s="172" t="n">
        <v>11.55</v>
      </c>
      <c r="AH8" s="172" t="n">
        <v>0.98</v>
      </c>
      <c r="AI8" s="172" t="n">
        <v>1.03</v>
      </c>
      <c r="AJ8" s="172" t="n">
        <v>53.99</v>
      </c>
      <c r="AK8" s="172" t="n">
        <v>61.19</v>
      </c>
      <c r="AL8" s="172" t="n">
        <v>12.28</v>
      </c>
      <c r="AM8" s="172" t="n">
        <v>13.78</v>
      </c>
      <c r="AN8" s="172" t="n">
        <v>184.85</v>
      </c>
      <c r="AO8" s="172" t="n">
        <v>192.58</v>
      </c>
      <c r="AP8" s="172" t="n">
        <v>0.83</v>
      </c>
      <c r="AQ8" s="172" t="n">
        <v>0.86</v>
      </c>
      <c r="AR8" s="172" t="n">
        <v>1.62</v>
      </c>
      <c r="AS8" s="172" t="n">
        <v>1.71</v>
      </c>
      <c r="AT8" s="1535" t="s">
        <v>205</v>
      </c>
      <c r="AU8" s="172" t="n">
        <v>19.55</v>
      </c>
      <c r="AV8" s="172" t="n">
        <v>20.36</v>
      </c>
      <c r="AW8" s="172" t="n">
        <v>2.41</v>
      </c>
      <c r="AX8" s="172" t="n">
        <v>2.65</v>
      </c>
      <c r="AY8" s="172" t="n">
        <v>18.98</v>
      </c>
      <c r="AZ8" s="172" t="n">
        <v>19.77</v>
      </c>
      <c r="BA8" s="172" t="n">
        <v>0.06</v>
      </c>
      <c r="BB8" s="172" t="n">
        <v>0.07</v>
      </c>
      <c r="BC8" s="172" t="n">
        <v>55.09</v>
      </c>
      <c r="BD8" s="172" t="n">
        <v>60.14</v>
      </c>
      <c r="BE8" s="172" t="n">
        <v>10.67</v>
      </c>
      <c r="BF8" s="172" t="n">
        <v>11.75</v>
      </c>
      <c r="BG8" s="172" t="n">
        <v>0.64</v>
      </c>
      <c r="BH8" s="172" t="n">
        <v>0.68</v>
      </c>
      <c r="BI8" s="1535" t="s">
        <v>205</v>
      </c>
      <c r="BJ8" s="172" t="n">
        <v>74.92</v>
      </c>
      <c r="BK8" s="172" t="n">
        <v>88.84</v>
      </c>
      <c r="BL8" s="172" t="n">
        <v>1.52</v>
      </c>
      <c r="BM8" s="172" t="n">
        <v>1.56</v>
      </c>
      <c r="BN8" s="172" t="n">
        <v>110.89</v>
      </c>
      <c r="BO8" s="172" t="n">
        <v>118.42</v>
      </c>
      <c r="BP8" s="172" t="n">
        <v>2.33</v>
      </c>
      <c r="BQ8" s="172" t="n">
        <v>2.41</v>
      </c>
      <c r="BR8" s="172" t="n">
        <v>19.38</v>
      </c>
      <c r="BS8" s="172" t="n">
        <v>20.19</v>
      </c>
      <c r="BT8" s="172" t="n">
        <v>71.17</v>
      </c>
      <c r="BU8" s="172" t="n">
        <v>74.15</v>
      </c>
      <c r="BV8" s="172" t="n">
        <v>113.26</v>
      </c>
      <c r="BW8" s="172" t="n">
        <v>119.13</v>
      </c>
    </row>
    <row r="9" customFormat="false" ht="9" hidden="false" customHeight="true" outlineLevel="0" collapsed="false">
      <c r="A9" s="1534" t="s">
        <v>282</v>
      </c>
      <c r="B9" s="159" t="n">
        <v>81.65</v>
      </c>
      <c r="C9" s="159" t="n">
        <v>83.78</v>
      </c>
      <c r="D9" s="159" t="n">
        <v>79.1</v>
      </c>
      <c r="E9" s="159" t="n">
        <v>81.82</v>
      </c>
      <c r="F9" s="159" t="n">
        <v>209.8</v>
      </c>
      <c r="G9" s="159" t="n">
        <v>217.03</v>
      </c>
      <c r="H9" s="159" t="n">
        <v>78.84</v>
      </c>
      <c r="I9" s="159" t="n">
        <v>80.45</v>
      </c>
      <c r="J9" s="159" t="n">
        <v>12.47</v>
      </c>
      <c r="K9" s="159" t="n">
        <v>12.94</v>
      </c>
      <c r="L9" s="159" t="n">
        <v>14.22</v>
      </c>
      <c r="M9" s="159" t="n">
        <v>13.91</v>
      </c>
      <c r="N9" s="159" t="n">
        <v>105.78</v>
      </c>
      <c r="O9" s="159" t="n">
        <v>103.45</v>
      </c>
      <c r="P9" s="1534" t="s">
        <v>282</v>
      </c>
      <c r="Q9" s="159" t="n">
        <v>10.18</v>
      </c>
      <c r="R9" s="159" t="n">
        <v>10.55</v>
      </c>
      <c r="S9" s="159" t="n">
        <v>1.58</v>
      </c>
      <c r="T9" s="159" t="n">
        <v>1.47</v>
      </c>
      <c r="U9" s="159" t="n">
        <v>0.01</v>
      </c>
      <c r="V9" s="159" t="n">
        <v>0.01</v>
      </c>
      <c r="W9" s="159" t="n">
        <v>0.01</v>
      </c>
      <c r="X9" s="159" t="n">
        <v>0.01</v>
      </c>
      <c r="Y9" s="159" t="n">
        <v>1.01</v>
      </c>
      <c r="Z9" s="159" t="n">
        <v>1.02</v>
      </c>
      <c r="AA9" s="159" t="n">
        <v>285.58</v>
      </c>
      <c r="AB9" s="159" t="n">
        <v>292.27</v>
      </c>
      <c r="AC9" s="159" t="n">
        <v>25.63</v>
      </c>
      <c r="AD9" s="159" t="n">
        <v>25.81</v>
      </c>
      <c r="AE9" s="1534" t="s">
        <v>282</v>
      </c>
      <c r="AF9" s="159" t="n">
        <v>12.32</v>
      </c>
      <c r="AG9" s="159" t="n">
        <v>12.74</v>
      </c>
      <c r="AH9" s="159" t="n">
        <v>0.99</v>
      </c>
      <c r="AI9" s="159" t="n">
        <v>0.9</v>
      </c>
      <c r="AJ9" s="159" t="n">
        <v>63.62</v>
      </c>
      <c r="AK9" s="159" t="n">
        <v>65.52</v>
      </c>
      <c r="AL9" s="159" t="n">
        <v>13.79</v>
      </c>
      <c r="AM9" s="159" t="n">
        <v>13.72</v>
      </c>
      <c r="AN9" s="159" t="n">
        <v>205.3</v>
      </c>
      <c r="AO9" s="159" t="n">
        <v>212.52</v>
      </c>
      <c r="AP9" s="159" t="n">
        <v>0.89</v>
      </c>
      <c r="AQ9" s="159" t="n">
        <v>0.87</v>
      </c>
      <c r="AR9" s="159" t="n">
        <v>1.84</v>
      </c>
      <c r="AS9" s="159" t="n">
        <v>1.94</v>
      </c>
      <c r="AT9" s="1534" t="s">
        <v>282</v>
      </c>
      <c r="AU9" s="159" t="n">
        <v>21.72</v>
      </c>
      <c r="AV9" s="159" t="n">
        <v>22.47</v>
      </c>
      <c r="AW9" s="159" t="n">
        <v>2.61</v>
      </c>
      <c r="AX9" s="159" t="n">
        <v>2.49</v>
      </c>
      <c r="AY9" s="159" t="n">
        <v>21.09</v>
      </c>
      <c r="AZ9" s="159" t="n">
        <v>21.82</v>
      </c>
      <c r="BA9" s="159" t="n">
        <v>0.07</v>
      </c>
      <c r="BB9" s="159" t="n">
        <v>0.07</v>
      </c>
      <c r="BC9" s="159" t="n">
        <v>62.78</v>
      </c>
      <c r="BD9" s="159" t="n">
        <v>64.65</v>
      </c>
      <c r="BE9" s="159" t="n">
        <v>11.76</v>
      </c>
      <c r="BF9" s="159" t="n">
        <v>11.82</v>
      </c>
      <c r="BG9" s="159" t="n">
        <v>0.68</v>
      </c>
      <c r="BH9" s="159" t="n">
        <v>0.61</v>
      </c>
      <c r="BI9" s="1534" t="s">
        <v>282</v>
      </c>
      <c r="BJ9" s="159" t="n">
        <v>88.18</v>
      </c>
      <c r="BK9" s="159" t="n">
        <v>86.11</v>
      </c>
      <c r="BL9" s="159" t="n">
        <v>1.47</v>
      </c>
      <c r="BM9" s="159" t="n">
        <v>1.28</v>
      </c>
      <c r="BN9" s="159" t="n">
        <v>123.03</v>
      </c>
      <c r="BO9" s="159" t="n">
        <v>124.16</v>
      </c>
      <c r="BP9" s="159" t="n">
        <v>2.56</v>
      </c>
      <c r="BQ9" s="159" t="n">
        <v>2.59</v>
      </c>
      <c r="BR9" s="159" t="n">
        <v>21.53</v>
      </c>
      <c r="BS9" s="159" t="n">
        <v>22.28</v>
      </c>
      <c r="BT9" s="159" t="n">
        <v>79.1</v>
      </c>
      <c r="BU9" s="159" t="n">
        <v>81.82</v>
      </c>
      <c r="BV9" s="159" t="n">
        <v>125.28</v>
      </c>
      <c r="BW9" s="159" t="n">
        <v>128.2</v>
      </c>
    </row>
    <row r="10" customFormat="false" ht="9.75" hidden="false" customHeight="true" outlineLevel="0" collapsed="false">
      <c r="A10" s="1535" t="s">
        <v>207</v>
      </c>
      <c r="B10" s="172" t="n">
        <v>82.13</v>
      </c>
      <c r="C10" s="172" t="n">
        <v>71.1</v>
      </c>
      <c r="D10" s="172" t="n">
        <v>79.93</v>
      </c>
      <c r="E10" s="172" t="n">
        <v>77.77</v>
      </c>
      <c r="F10" s="172" t="n">
        <v>212.02</v>
      </c>
      <c r="G10" s="172" t="n">
        <v>206.27</v>
      </c>
      <c r="H10" s="172" t="n">
        <v>79.62</v>
      </c>
      <c r="I10" s="172" t="n">
        <v>73.9</v>
      </c>
      <c r="J10" s="172" t="n">
        <v>12.72</v>
      </c>
      <c r="K10" s="172" t="n">
        <v>12.59</v>
      </c>
      <c r="L10" s="172" t="n">
        <v>13.87</v>
      </c>
      <c r="M10" s="172" t="n">
        <v>13.57</v>
      </c>
      <c r="N10" s="172" t="n">
        <v>103.37</v>
      </c>
      <c r="O10" s="172" t="n">
        <v>101.19</v>
      </c>
      <c r="P10" s="1535" t="s">
        <v>207</v>
      </c>
      <c r="Q10" s="172" t="n">
        <v>10.31</v>
      </c>
      <c r="R10" s="172" t="n">
        <v>10.03</v>
      </c>
      <c r="S10" s="172" t="n">
        <v>1.46</v>
      </c>
      <c r="T10" s="172" t="n">
        <v>1.31</v>
      </c>
      <c r="U10" s="172" t="n">
        <v>0.01</v>
      </c>
      <c r="V10" s="172" t="n">
        <v>0.01</v>
      </c>
      <c r="W10" s="172" t="n">
        <v>0.01</v>
      </c>
      <c r="X10" s="172" t="n">
        <v>0.01</v>
      </c>
      <c r="Y10" s="172" t="n">
        <v>0.92</v>
      </c>
      <c r="Z10" s="172" t="n">
        <v>0.78</v>
      </c>
      <c r="AA10" s="172" t="n">
        <v>282.78</v>
      </c>
      <c r="AB10" s="172" t="n">
        <v>272.62</v>
      </c>
      <c r="AC10" s="172" t="n">
        <v>25.93</v>
      </c>
      <c r="AD10" s="172" t="n">
        <v>24.61</v>
      </c>
      <c r="AE10" s="1535" t="s">
        <v>207</v>
      </c>
      <c r="AF10" s="172" t="n">
        <v>12.45</v>
      </c>
      <c r="AG10" s="172" t="n">
        <v>12.11</v>
      </c>
      <c r="AH10" s="172" t="n">
        <v>0.91</v>
      </c>
      <c r="AI10" s="172" t="n">
        <v>0.81</v>
      </c>
      <c r="AJ10" s="172" t="n">
        <v>65.7</v>
      </c>
      <c r="AK10" s="172" t="n">
        <v>60.24</v>
      </c>
      <c r="AL10" s="172" t="n">
        <v>13.88</v>
      </c>
      <c r="AM10" s="172" t="n">
        <v>12.81</v>
      </c>
      <c r="AN10" s="172" t="n">
        <v>207.59</v>
      </c>
      <c r="AO10" s="172" t="n">
        <v>201.99</v>
      </c>
      <c r="AP10" s="172" t="n">
        <v>0.83</v>
      </c>
      <c r="AQ10" s="172" t="n">
        <v>0.78</v>
      </c>
      <c r="AR10" s="172" t="n">
        <v>1.93</v>
      </c>
      <c r="AS10" s="172" t="n">
        <v>1.8</v>
      </c>
      <c r="AT10" s="1535" t="s">
        <v>207</v>
      </c>
      <c r="AU10" s="172" t="n">
        <v>21.95</v>
      </c>
      <c r="AV10" s="172" t="n">
        <v>21.36</v>
      </c>
      <c r="AW10" s="172" t="n">
        <v>2.56</v>
      </c>
      <c r="AX10" s="172" t="n">
        <v>2.36</v>
      </c>
      <c r="AY10" s="172" t="n">
        <v>21.31</v>
      </c>
      <c r="AZ10" s="172" t="n">
        <v>20.74</v>
      </c>
      <c r="BA10" s="172" t="n">
        <v>0.07</v>
      </c>
      <c r="BB10" s="172" t="n">
        <v>0.07</v>
      </c>
      <c r="BC10" s="172" t="n">
        <v>64.54</v>
      </c>
      <c r="BD10" s="172" t="n">
        <v>61.36</v>
      </c>
      <c r="BE10" s="172" t="n">
        <v>12.12</v>
      </c>
      <c r="BF10" s="172" t="n">
        <v>11.6</v>
      </c>
      <c r="BG10" s="172" t="n">
        <v>0.62</v>
      </c>
      <c r="BH10" s="172" t="n">
        <v>0.6</v>
      </c>
      <c r="BI10" s="1535" t="s">
        <v>207</v>
      </c>
      <c r="BJ10" s="172" t="n">
        <v>84.91</v>
      </c>
      <c r="BK10" s="172" t="n">
        <v>82.32</v>
      </c>
      <c r="BL10" s="172" t="n">
        <v>1.12</v>
      </c>
      <c r="BM10" s="172" t="n">
        <v>0.77</v>
      </c>
      <c r="BN10" s="172" t="n">
        <v>121.56</v>
      </c>
      <c r="BO10" s="172" t="n">
        <v>116.96</v>
      </c>
      <c r="BP10" s="172" t="n">
        <v>2.63</v>
      </c>
      <c r="BQ10" s="172" t="n">
        <v>2.5</v>
      </c>
      <c r="BR10" s="172" t="n">
        <v>21.76</v>
      </c>
      <c r="BS10" s="172" t="n">
        <v>21.17</v>
      </c>
      <c r="BT10" s="172" t="n">
        <v>79.93</v>
      </c>
      <c r="BU10" s="172" t="n">
        <v>77.77</v>
      </c>
      <c r="BV10" s="172" t="n">
        <v>125.45</v>
      </c>
      <c r="BW10" s="172" t="n">
        <v>118.24</v>
      </c>
    </row>
    <row r="11" s="886" customFormat="true" ht="9.75" hidden="false" customHeight="true" outlineLevel="0" collapsed="false">
      <c r="A11" s="1536" t="s">
        <v>208</v>
      </c>
      <c r="B11" s="883" t="n">
        <v>71.3665</v>
      </c>
      <c r="C11" s="883" t="n">
        <v>73.17</v>
      </c>
      <c r="D11" s="883" t="n">
        <v>77.7218</v>
      </c>
      <c r="E11" s="883" t="n">
        <v>77.63</v>
      </c>
      <c r="F11" s="883" t="n">
        <v>206.1584</v>
      </c>
      <c r="G11" s="883" t="n">
        <v>205.92</v>
      </c>
      <c r="H11" s="883" t="n">
        <v>72.6881</v>
      </c>
      <c r="I11" s="883" t="n">
        <v>72.81</v>
      </c>
      <c r="J11" s="883" t="n">
        <v>12.6509</v>
      </c>
      <c r="K11" s="883" t="n">
        <v>12.62</v>
      </c>
      <c r="L11" s="883" t="n">
        <v>14.1352</v>
      </c>
      <c r="M11" s="883" t="n">
        <v>14.21</v>
      </c>
      <c r="N11" s="883" t="n">
        <v>105.4555</v>
      </c>
      <c r="O11" s="883" t="n">
        <v>105.96</v>
      </c>
      <c r="P11" s="1536" t="s">
        <v>208</v>
      </c>
      <c r="Q11" s="883" t="n">
        <v>10.0218</v>
      </c>
      <c r="R11" s="883" t="n">
        <v>10.02</v>
      </c>
      <c r="S11" s="883" t="n">
        <v>1.2667</v>
      </c>
      <c r="T11" s="883" t="n">
        <v>1.29</v>
      </c>
      <c r="U11" s="883" t="n">
        <v>0.0068</v>
      </c>
      <c r="V11" s="883" t="n">
        <v>0.01</v>
      </c>
      <c r="W11" s="883" t="n">
        <v>0.0031</v>
      </c>
      <c r="X11" s="883" t="n">
        <v>0</v>
      </c>
      <c r="Y11" s="883" t="n">
        <v>0.7695</v>
      </c>
      <c r="Z11" s="883" t="n">
        <v>0.77</v>
      </c>
      <c r="AA11" s="883" t="n">
        <v>274.8117</v>
      </c>
      <c r="AB11" s="883" t="n">
        <v>275.48</v>
      </c>
      <c r="AC11" s="883" t="n">
        <v>23.9519</v>
      </c>
      <c r="AD11" s="883" t="n">
        <v>24.19</v>
      </c>
      <c r="AE11" s="1536" t="s">
        <v>208</v>
      </c>
      <c r="AF11" s="883" t="n">
        <v>12.1062</v>
      </c>
      <c r="AG11" s="883" t="n">
        <v>12.09</v>
      </c>
      <c r="AH11" s="883" t="n">
        <v>0.7912</v>
      </c>
      <c r="AI11" s="883" t="n">
        <v>0.81</v>
      </c>
      <c r="AJ11" s="883" t="n">
        <v>64.5422</v>
      </c>
      <c r="AK11" s="883" t="n">
        <v>68.16</v>
      </c>
      <c r="AL11" s="883" t="n">
        <v>12.8983</v>
      </c>
      <c r="AM11" s="883" t="n">
        <v>12.68</v>
      </c>
      <c r="AN11" s="883" t="n">
        <v>201.8765</v>
      </c>
      <c r="AO11" s="883" t="n">
        <v>201.64</v>
      </c>
      <c r="AP11" s="883" t="n">
        <v>0.7562</v>
      </c>
      <c r="AQ11" s="883" t="n">
        <v>0.79</v>
      </c>
      <c r="AR11" s="883" t="n">
        <v>1.7891</v>
      </c>
      <c r="AS11" s="883" t="n">
        <v>1.78</v>
      </c>
      <c r="AT11" s="1536" t="s">
        <v>208</v>
      </c>
      <c r="AU11" s="883" t="n">
        <v>21.3458</v>
      </c>
      <c r="AV11" s="883" t="n">
        <v>21.32</v>
      </c>
      <c r="AW11" s="883" t="n">
        <v>2.3018</v>
      </c>
      <c r="AX11" s="883" t="n">
        <v>2.3</v>
      </c>
      <c r="AY11" s="883" t="n">
        <v>20.7235</v>
      </c>
      <c r="AZ11" s="883" t="n">
        <v>20.7</v>
      </c>
      <c r="BA11" s="883" t="n">
        <v>0.0731</v>
      </c>
      <c r="BB11" s="883" t="n">
        <v>0.08</v>
      </c>
      <c r="BC11" s="883" t="n">
        <v>61.7036</v>
      </c>
      <c r="BD11" s="883" t="n">
        <v>62.12</v>
      </c>
      <c r="BE11" s="883" t="n">
        <v>11.9012</v>
      </c>
      <c r="BF11" s="883" t="n">
        <v>11.52</v>
      </c>
      <c r="BG11" s="883" t="n">
        <v>0.5927</v>
      </c>
      <c r="BH11" s="883" t="n">
        <v>0.6</v>
      </c>
      <c r="BI11" s="1536" t="s">
        <v>208</v>
      </c>
      <c r="BJ11" s="883" t="n">
        <v>85.9859</v>
      </c>
      <c r="BK11" s="883" t="n">
        <v>87.15</v>
      </c>
      <c r="BL11" s="883" t="n">
        <v>0.5777</v>
      </c>
      <c r="BM11" s="883" t="n">
        <v>0.52</v>
      </c>
      <c r="BN11" s="883" t="n">
        <v>119.228</v>
      </c>
      <c r="BO11" s="883" t="n">
        <v>119.87</v>
      </c>
      <c r="BP11" s="883" t="n">
        <v>2.4632</v>
      </c>
      <c r="BQ11" s="883" t="n">
        <v>2.39</v>
      </c>
      <c r="BR11" s="883" t="n">
        <v>21.1603</v>
      </c>
      <c r="BS11" s="883" t="n">
        <v>21.14</v>
      </c>
      <c r="BT11" s="883" t="n">
        <v>77.7218</v>
      </c>
      <c r="BU11" s="883" t="n">
        <v>77.63</v>
      </c>
      <c r="BV11" s="883" t="n">
        <v>126.401</v>
      </c>
      <c r="BW11" s="883" t="n">
        <v>132.24</v>
      </c>
    </row>
    <row r="12" s="160" customFormat="true" ht="10.5" hidden="false" customHeight="true" outlineLevel="0" collapsed="false">
      <c r="A12" s="840" t="s">
        <v>209</v>
      </c>
      <c r="B12" s="1243" t="n">
        <v>65.0142</v>
      </c>
      <c r="C12" s="1243" t="n">
        <v>59.81</v>
      </c>
      <c r="D12" s="1243" t="n">
        <v>77.6746</v>
      </c>
      <c r="E12" s="1243" t="n">
        <v>77.81</v>
      </c>
      <c r="F12" s="1243" t="n">
        <v>206.0292</v>
      </c>
      <c r="G12" s="1243" t="n">
        <v>206.35</v>
      </c>
      <c r="H12" s="1243" t="n">
        <v>66.4587</v>
      </c>
      <c r="I12" s="1243" t="n">
        <v>62.78</v>
      </c>
      <c r="J12" s="1243" t="n">
        <v>12.6549</v>
      </c>
      <c r="K12" s="1243" t="n">
        <v>12.73</v>
      </c>
      <c r="L12" s="1243" t="n">
        <v>12.5419</v>
      </c>
      <c r="M12" s="1243" t="n">
        <v>11.72</v>
      </c>
      <c r="N12" s="1243" t="n">
        <v>93.4594</v>
      </c>
      <c r="O12" s="1243" t="n">
        <v>87.43</v>
      </c>
      <c r="P12" s="840" t="s">
        <v>209</v>
      </c>
      <c r="Q12" s="1243" t="n">
        <v>10.0178</v>
      </c>
      <c r="R12" s="1243" t="n">
        <v>10.04</v>
      </c>
      <c r="S12" s="1243" t="n">
        <v>1.2529</v>
      </c>
      <c r="T12" s="1243" t="n">
        <v>1.22</v>
      </c>
      <c r="U12" s="1243" t="n">
        <v>0.0062</v>
      </c>
      <c r="V12" s="1243" t="n">
        <v>0.01</v>
      </c>
      <c r="W12" s="1243" t="n">
        <v>0.0028</v>
      </c>
      <c r="X12" s="1243" t="n">
        <v>0</v>
      </c>
      <c r="Y12" s="1243" t="n">
        <v>0.6804</v>
      </c>
      <c r="Z12" s="1243" t="n">
        <v>0.63</v>
      </c>
      <c r="AA12" s="1243" t="n">
        <v>265.0548</v>
      </c>
      <c r="AB12" s="1243" t="n">
        <v>257.42</v>
      </c>
      <c r="AC12" s="1243" t="n">
        <v>22.5436</v>
      </c>
      <c r="AD12" s="1243" t="n">
        <v>20.55</v>
      </c>
      <c r="AE12" s="840" t="s">
        <v>209</v>
      </c>
      <c r="AF12" s="1243" t="n">
        <v>0.0758</v>
      </c>
      <c r="AG12" s="1243" t="n">
        <v>0.07</v>
      </c>
      <c r="AH12" s="1243" t="n">
        <v>0.783</v>
      </c>
      <c r="AI12" s="1243" t="n">
        <v>0.76</v>
      </c>
      <c r="AJ12" s="1243" t="n">
        <v>60.4381</v>
      </c>
      <c r="AK12" s="1243" t="n">
        <v>53.34</v>
      </c>
      <c r="AL12" s="1243" t="n">
        <v>10.9593</v>
      </c>
      <c r="AM12" s="1243" t="n">
        <v>9.9</v>
      </c>
      <c r="AN12" s="1243" t="n">
        <v>201.7544</v>
      </c>
      <c r="AO12" s="1243" t="n">
        <v>202.12</v>
      </c>
      <c r="AP12" s="1243" t="n">
        <v>0.7664</v>
      </c>
      <c r="AQ12" s="1243" t="n">
        <v>0.76</v>
      </c>
      <c r="AR12" s="1243" t="n">
        <v>1.7483</v>
      </c>
      <c r="AS12" s="1243" t="n">
        <v>1.72</v>
      </c>
      <c r="AT12" s="840" t="s">
        <v>209</v>
      </c>
      <c r="AU12" s="1243" t="n">
        <v>21.3327</v>
      </c>
      <c r="AV12" s="1243" t="n">
        <v>21.37</v>
      </c>
      <c r="AW12" s="1243" t="n">
        <v>1.6351</v>
      </c>
      <c r="AX12" s="1243" t="n">
        <v>1.4</v>
      </c>
      <c r="AY12" s="1243" t="n">
        <v>20.7053</v>
      </c>
      <c r="AZ12" s="1243" t="n">
        <v>20.74</v>
      </c>
      <c r="BA12" s="1243" t="n">
        <v>0.0721</v>
      </c>
      <c r="BB12" s="1243" t="n">
        <v>0.07</v>
      </c>
      <c r="BC12" s="1243" t="n">
        <v>59.3171</v>
      </c>
      <c r="BD12" s="1243" t="n">
        <v>57.8</v>
      </c>
      <c r="BE12" s="1243" t="n">
        <v>10.0584</v>
      </c>
      <c r="BF12" s="1243" t="n">
        <v>9.44</v>
      </c>
      <c r="BG12" s="1243" t="n">
        <v>0.5894</v>
      </c>
      <c r="BH12" s="1243" t="n">
        <v>0.58</v>
      </c>
      <c r="BI12" s="840" t="s">
        <v>209</v>
      </c>
      <c r="BJ12" s="1243" t="n">
        <v>82.443</v>
      </c>
      <c r="BK12" s="1243" t="n">
        <v>84.03</v>
      </c>
      <c r="BL12" s="1243" t="n">
        <v>0.4311</v>
      </c>
      <c r="BM12" s="1243" t="n">
        <v>0.36</v>
      </c>
      <c r="BN12" s="1243" t="n">
        <v>112.6466</v>
      </c>
      <c r="BO12" s="1243" t="n">
        <v>109.18</v>
      </c>
      <c r="BP12" s="1243" t="n">
        <v>2.3779</v>
      </c>
      <c r="BQ12" s="1243" t="n">
        <v>2.3</v>
      </c>
      <c r="BR12" s="1243" t="n">
        <v>21.1474</v>
      </c>
      <c r="BS12" s="1243" t="n">
        <v>21.18</v>
      </c>
      <c r="BT12" s="1243" t="n">
        <v>77.6746</v>
      </c>
      <c r="BU12" s="1243" t="n">
        <v>77.81</v>
      </c>
      <c r="BV12" s="1243" t="n">
        <v>122.4104</v>
      </c>
      <c r="BW12" s="1243" t="n">
        <v>122.42</v>
      </c>
    </row>
    <row r="13" s="187" customFormat="true" ht="9.75" hidden="false" customHeight="true" outlineLevel="0" collapsed="false">
      <c r="A13" s="842" t="s">
        <v>211</v>
      </c>
      <c r="B13" s="198" t="n">
        <v>57.0235</v>
      </c>
      <c r="C13" s="198" t="n">
        <v>58.42</v>
      </c>
      <c r="D13" s="198" t="n">
        <v>78.2637</v>
      </c>
      <c r="E13" s="198" t="n">
        <v>78.4</v>
      </c>
      <c r="F13" s="198" t="n">
        <v>207.5662</v>
      </c>
      <c r="G13" s="198" t="n">
        <v>207.76</v>
      </c>
      <c r="H13" s="198" t="n">
        <v>59.0802</v>
      </c>
      <c r="I13" s="198" t="n">
        <v>60.63</v>
      </c>
      <c r="J13" s="198" t="n">
        <v>12.1837</v>
      </c>
      <c r="K13" s="198" t="n">
        <v>11.82</v>
      </c>
      <c r="L13" s="198" t="n">
        <v>11.6536</v>
      </c>
      <c r="M13" s="198" t="n">
        <v>11.73</v>
      </c>
      <c r="N13" s="198" t="n">
        <v>86.8829</v>
      </c>
      <c r="O13" s="198" t="n">
        <v>87.21</v>
      </c>
      <c r="P13" s="842" t="s">
        <v>211</v>
      </c>
      <c r="Q13" s="198" t="n">
        <v>10.0863</v>
      </c>
      <c r="R13" s="198" t="n">
        <v>10.1</v>
      </c>
      <c r="S13" s="198" t="n">
        <v>1.1812</v>
      </c>
      <c r="T13" s="198" t="n">
        <v>1.16</v>
      </c>
      <c r="U13" s="198" t="n">
        <v>0.0058</v>
      </c>
      <c r="V13" s="198" t="n">
        <v>0.01</v>
      </c>
      <c r="W13" s="198" t="n">
        <v>0.0026</v>
      </c>
      <c r="X13" s="198" t="n">
        <v>0</v>
      </c>
      <c r="Y13" s="198" t="n">
        <v>0.672</v>
      </c>
      <c r="Z13" s="198" t="n">
        <v>0.76</v>
      </c>
      <c r="AA13" s="198" t="n">
        <v>258.9429</v>
      </c>
      <c r="AB13" s="198" t="n">
        <v>259.52</v>
      </c>
      <c r="AC13" s="198" t="n">
        <v>18.9552</v>
      </c>
      <c r="AD13" s="198" t="n">
        <v>19.5</v>
      </c>
      <c r="AE13" s="842" t="s">
        <v>211</v>
      </c>
      <c r="AF13" s="198" t="n">
        <v>0.0631</v>
      </c>
      <c r="AG13" s="198" t="n">
        <v>0.07</v>
      </c>
      <c r="AH13" s="198" t="n">
        <v>0.7385</v>
      </c>
      <c r="AI13" s="198" t="n">
        <v>0.72</v>
      </c>
      <c r="AJ13" s="198" t="n">
        <v>52.3</v>
      </c>
      <c r="AK13" s="198" t="n">
        <v>55.76</v>
      </c>
      <c r="AL13" s="198" t="n">
        <v>9.3177</v>
      </c>
      <c r="AM13" s="198" t="n">
        <v>9.34</v>
      </c>
      <c r="AN13" s="198" t="n">
        <v>203.2773</v>
      </c>
      <c r="AO13" s="198" t="n">
        <v>203.63</v>
      </c>
      <c r="AP13" s="198" t="n">
        <v>0.7503</v>
      </c>
      <c r="AQ13" s="198" t="n">
        <v>0.75</v>
      </c>
      <c r="AR13" s="198" t="n">
        <v>1.6767</v>
      </c>
      <c r="AS13" s="198" t="n">
        <v>1.67</v>
      </c>
      <c r="AT13" s="842" t="s">
        <v>211</v>
      </c>
      <c r="AU13" s="198" t="n">
        <v>21.4949</v>
      </c>
      <c r="AV13" s="198" t="n">
        <v>21.53</v>
      </c>
      <c r="AW13" s="198" t="n">
        <v>1.1691</v>
      </c>
      <c r="AX13" s="198" t="n">
        <v>1.22</v>
      </c>
      <c r="AY13" s="198" t="n">
        <v>20.8674</v>
      </c>
      <c r="AZ13" s="198" t="n">
        <v>20.9</v>
      </c>
      <c r="BA13" s="198" t="n">
        <v>0.0667</v>
      </c>
      <c r="BB13" s="198" t="n">
        <v>0.07</v>
      </c>
      <c r="BC13" s="198" t="n">
        <v>56.3347</v>
      </c>
      <c r="BD13" s="198" t="n">
        <v>58.16</v>
      </c>
      <c r="BE13" s="198" t="n">
        <v>9.3074</v>
      </c>
      <c r="BF13" s="198" t="n">
        <v>9.25</v>
      </c>
      <c r="BG13" s="198" t="n">
        <v>0.5511</v>
      </c>
      <c r="BH13" s="198" t="n">
        <v>0.54</v>
      </c>
      <c r="BI13" s="842" t="s">
        <v>211</v>
      </c>
      <c r="BJ13" s="198" t="n">
        <v>79.9081</v>
      </c>
      <c r="BK13" s="198" t="n">
        <v>80.02</v>
      </c>
      <c r="BL13" s="198" t="n">
        <v>0.3563</v>
      </c>
      <c r="BM13" s="198" t="n">
        <v>0.36</v>
      </c>
      <c r="BN13" s="198" t="n">
        <v>109.4175</v>
      </c>
      <c r="BO13" s="198" t="n">
        <v>109.44</v>
      </c>
      <c r="BP13" s="198" t="n">
        <v>2.2055</v>
      </c>
      <c r="BQ13" s="198" t="n">
        <v>2.22</v>
      </c>
      <c r="BR13" s="198" t="n">
        <v>21.3082</v>
      </c>
      <c r="BS13" s="198" t="n">
        <v>21.35</v>
      </c>
      <c r="BT13" s="198" t="n">
        <v>78.2637</v>
      </c>
      <c r="BU13" s="198" t="n">
        <v>78.4</v>
      </c>
      <c r="BV13" s="198" t="n">
        <v>116.156</v>
      </c>
      <c r="BW13" s="198" t="n">
        <v>105.25</v>
      </c>
    </row>
    <row r="14" s="187" customFormat="true" ht="9.75" hidden="false" customHeight="true" outlineLevel="0" collapsed="false">
      <c r="A14" s="1123" t="s">
        <v>212</v>
      </c>
      <c r="B14" s="203" t="n">
        <v>59.6589</v>
      </c>
      <c r="C14" s="203" t="n">
        <v>61.93</v>
      </c>
      <c r="D14" s="203" t="n">
        <v>79.1192</v>
      </c>
      <c r="E14" s="203" t="n">
        <v>80.6</v>
      </c>
      <c r="F14" s="203" t="n">
        <v>209.8298</v>
      </c>
      <c r="G14" s="203" t="n">
        <v>213.64</v>
      </c>
      <c r="H14" s="203" t="n">
        <v>59.6456</v>
      </c>
      <c r="I14" s="203" t="n">
        <v>61.98</v>
      </c>
      <c r="J14" s="203" t="n">
        <v>11.6242</v>
      </c>
      <c r="K14" s="203" t="n">
        <v>11.9</v>
      </c>
      <c r="L14" s="203" t="n">
        <v>11.596</v>
      </c>
      <c r="M14" s="203" t="n">
        <v>12.4</v>
      </c>
      <c r="N14" s="203" t="n">
        <v>86.2637</v>
      </c>
      <c r="O14" s="203" t="n">
        <v>92.21</v>
      </c>
      <c r="P14" s="1123" t="s">
        <v>212</v>
      </c>
      <c r="Q14" s="203" t="n">
        <v>10.189</v>
      </c>
      <c r="R14" s="203" t="n">
        <v>10.33</v>
      </c>
      <c r="S14" s="203" t="n">
        <v>1.1911</v>
      </c>
      <c r="T14" s="203" t="n">
        <v>1.25</v>
      </c>
      <c r="U14" s="203" t="n">
        <v>0.006</v>
      </c>
      <c r="V14" s="203" t="n">
        <v>0.01</v>
      </c>
      <c r="W14" s="203" t="n">
        <v>0.0025</v>
      </c>
      <c r="X14" s="203" t="n">
        <v>0</v>
      </c>
      <c r="Y14" s="203" t="n">
        <v>0.7268</v>
      </c>
      <c r="Z14" s="203" t="n">
        <v>0.72</v>
      </c>
      <c r="AA14" s="203" t="n">
        <v>260.4546</v>
      </c>
      <c r="AB14" s="203" t="n">
        <v>265.73</v>
      </c>
      <c r="AC14" s="203" t="n">
        <v>18.4786</v>
      </c>
      <c r="AD14" s="203" t="n">
        <v>18.77</v>
      </c>
      <c r="AE14" s="1123" t="s">
        <v>212</v>
      </c>
      <c r="AF14" s="203" t="n">
        <v>0.0607</v>
      </c>
      <c r="AG14" s="203" t="n">
        <v>0.06</v>
      </c>
      <c r="AH14" s="203" t="n">
        <v>0.744</v>
      </c>
      <c r="AI14" s="203" t="n">
        <v>0.78</v>
      </c>
      <c r="AJ14" s="203" t="n">
        <v>56.3782</v>
      </c>
      <c r="AK14" s="203" t="n">
        <v>58.84</v>
      </c>
      <c r="AL14" s="203" t="n">
        <v>9.4036</v>
      </c>
      <c r="AM14" s="203" t="n">
        <v>9.61</v>
      </c>
      <c r="AN14" s="203" t="n">
        <v>205.4922</v>
      </c>
      <c r="AO14" s="203" t="n">
        <v>209.23</v>
      </c>
      <c r="AP14" s="203" t="n">
        <v>0.7553</v>
      </c>
      <c r="AQ14" s="203" t="n">
        <v>0.77</v>
      </c>
      <c r="AR14" s="203" t="n">
        <v>1.6156</v>
      </c>
      <c r="AS14" s="203" t="n">
        <v>1.6</v>
      </c>
      <c r="AT14" s="1123" t="s">
        <v>212</v>
      </c>
      <c r="AU14" s="203" t="n">
        <v>21.7138</v>
      </c>
      <c r="AV14" s="203" t="n">
        <v>21.58</v>
      </c>
      <c r="AW14" s="203" t="n">
        <v>1.3027</v>
      </c>
      <c r="AX14" s="203" t="n">
        <v>1.36</v>
      </c>
      <c r="AY14" s="203" t="n">
        <v>21.0954</v>
      </c>
      <c r="AZ14" s="203" t="n">
        <v>21.49</v>
      </c>
      <c r="BA14" s="203" t="n">
        <v>0.0694</v>
      </c>
      <c r="BB14" s="203" t="n">
        <v>0.07</v>
      </c>
      <c r="BC14" s="203" t="n">
        <v>56.839</v>
      </c>
      <c r="BD14" s="203" t="n">
        <v>58.43</v>
      </c>
      <c r="BE14" s="203" t="n">
        <v>8.9744</v>
      </c>
      <c r="BF14" s="203" t="n">
        <v>9.52</v>
      </c>
      <c r="BG14" s="203" t="n">
        <v>0.53</v>
      </c>
      <c r="BH14" s="203" t="n">
        <v>0.52</v>
      </c>
      <c r="BI14" s="1123" t="s">
        <v>212</v>
      </c>
      <c r="BJ14" s="203" t="n">
        <v>79.8297</v>
      </c>
      <c r="BK14" s="203" t="n">
        <v>84.32</v>
      </c>
      <c r="BL14" s="203" t="n">
        <v>0.2079</v>
      </c>
      <c r="BM14" s="203" t="n">
        <v>0.16</v>
      </c>
      <c r="BN14" s="203" t="n">
        <v>108.5568</v>
      </c>
      <c r="BO14" s="203" t="n">
        <v>112.08</v>
      </c>
      <c r="BP14" s="203" t="n">
        <v>2.2667</v>
      </c>
      <c r="BQ14" s="203" t="n">
        <v>2.37</v>
      </c>
      <c r="BR14" s="203" t="n">
        <v>21.5409</v>
      </c>
      <c r="BS14" s="203" t="n">
        <v>21.94</v>
      </c>
      <c r="BT14" s="203" t="n">
        <v>79.1192</v>
      </c>
      <c r="BU14" s="203" t="n">
        <v>80.6</v>
      </c>
      <c r="BV14" s="203" t="n">
        <v>100.3793</v>
      </c>
      <c r="BW14" s="203" t="n">
        <v>104.82</v>
      </c>
    </row>
    <row r="15" s="187" customFormat="true" ht="9.75" hidden="false" customHeight="true" outlineLevel="0" collapsed="false">
      <c r="A15" s="1122" t="s">
        <v>213</v>
      </c>
      <c r="B15" s="211" t="n">
        <v>63.65863</v>
      </c>
      <c r="C15" s="211" t="n">
        <f aca="false">C27</f>
        <v>61.58</v>
      </c>
      <c r="D15" s="211" t="n">
        <v>82.100874</v>
      </c>
      <c r="E15" s="211" t="n">
        <f aca="false">E27</f>
        <v>83.73</v>
      </c>
      <c r="F15" s="211" t="n">
        <v>217.646711</v>
      </c>
      <c r="G15" s="211" t="n">
        <f aca="false">G27</f>
        <v>221.47</v>
      </c>
      <c r="H15" s="211" t="n">
        <v>64.688146</v>
      </c>
      <c r="I15" s="211" t="n">
        <f aca="false">I27</f>
        <v>63.21</v>
      </c>
      <c r="J15" s="211" t="n">
        <v>12.660601</v>
      </c>
      <c r="K15" s="211" t="n">
        <f aca="false">K27</f>
        <v>12.65</v>
      </c>
      <c r="L15" s="211" t="n">
        <v>13.163303</v>
      </c>
      <c r="M15" s="211" t="n">
        <f aca="false">M27</f>
        <v>13</v>
      </c>
      <c r="N15" s="211" t="n">
        <v>97.992005</v>
      </c>
      <c r="O15" s="211" t="n">
        <f aca="false">O27</f>
        <v>96.86</v>
      </c>
      <c r="P15" s="1122" t="s">
        <v>213</v>
      </c>
      <c r="Q15" s="211" t="n">
        <v>10.493054</v>
      </c>
      <c r="R15" s="211" t="n">
        <f aca="false">R27</f>
        <v>10.67</v>
      </c>
      <c r="S15" s="211" t="n">
        <v>1.262272</v>
      </c>
      <c r="T15" s="211" t="n">
        <f aca="false">T27</f>
        <v>1.22</v>
      </c>
      <c r="U15" s="211" t="n">
        <v>0.006039</v>
      </c>
      <c r="V15" s="211" t="n">
        <f aca="false">V27</f>
        <v>0.01</v>
      </c>
      <c r="W15" s="211" t="n">
        <v>0.002258</v>
      </c>
      <c r="X15" s="211" t="n">
        <f aca="false">X27</f>
        <v>0</v>
      </c>
      <c r="Y15" s="211" t="n">
        <v>0.744426</v>
      </c>
      <c r="Z15" s="211" t="n">
        <f aca="false">Z27</f>
        <v>0.76</v>
      </c>
      <c r="AA15" s="211" t="n">
        <v>272.381113</v>
      </c>
      <c r="AB15" s="211" t="n">
        <f aca="false">AB27</f>
        <v>276.82</v>
      </c>
      <c r="AC15" s="211" t="n">
        <v>20.178185</v>
      </c>
      <c r="AD15" s="211" t="n">
        <f aca="false">AD27</f>
        <v>20.74</v>
      </c>
      <c r="AE15" s="1122" t="s">
        <v>213</v>
      </c>
      <c r="AF15" s="211" t="n">
        <v>0.060658</v>
      </c>
      <c r="AG15" s="211" t="n">
        <f aca="false">AG27</f>
        <v>0.06</v>
      </c>
      <c r="AH15" s="211" t="n">
        <v>0.789283</v>
      </c>
      <c r="AI15" s="211" t="n">
        <f aca="false">AI27</f>
        <v>0.77</v>
      </c>
      <c r="AJ15" s="211" t="n">
        <v>58.730639</v>
      </c>
      <c r="AK15" s="211" t="n">
        <f aca="false">AK27</f>
        <v>56.56</v>
      </c>
      <c r="AL15" s="211" t="n">
        <v>10.272456</v>
      </c>
      <c r="AM15" s="211" t="n">
        <f aca="false">AM27</f>
        <v>10.22</v>
      </c>
      <c r="AN15" s="211" t="n">
        <v>213.226247</v>
      </c>
      <c r="AO15" s="211" t="n">
        <f aca="false">AO27</f>
        <v>217.47</v>
      </c>
      <c r="AP15" s="211" t="n">
        <v>0.748372</v>
      </c>
      <c r="AQ15" s="211" t="n">
        <f aca="false">AQ27</f>
        <v>0.69</v>
      </c>
      <c r="AR15" s="211" t="n">
        <v>1.597353</v>
      </c>
      <c r="AS15" s="211" t="n">
        <f aca="false">AS27</f>
        <v>1.57</v>
      </c>
      <c r="AT15" s="1122" t="s">
        <v>213</v>
      </c>
      <c r="AU15" s="211" t="n">
        <v>22.433156</v>
      </c>
      <c r="AV15" s="211" t="n">
        <f aca="false">AV27</f>
        <v>23</v>
      </c>
      <c r="AW15" s="211" t="n">
        <v>1.392849</v>
      </c>
      <c r="AX15" s="211" t="n">
        <f aca="false">AX27</f>
        <v>1.33</v>
      </c>
      <c r="AY15" s="211" t="n">
        <v>21.892281</v>
      </c>
      <c r="AZ15" s="211" t="n">
        <f aca="false">AZ27</f>
        <v>22.32</v>
      </c>
      <c r="BA15" s="211" t="n">
        <v>0.074848</v>
      </c>
      <c r="BB15" s="211" t="n">
        <f aca="false">BB27</f>
        <v>0.08</v>
      </c>
      <c r="BC15" s="211" t="n">
        <v>61.194586</v>
      </c>
      <c r="BD15" s="211" t="n">
        <f aca="false">BD27</f>
        <v>61.21</v>
      </c>
      <c r="BE15" s="211" t="n">
        <v>9.896687</v>
      </c>
      <c r="BF15" s="211" t="n">
        <f aca="false">BF27</f>
        <v>9.34</v>
      </c>
      <c r="BG15" s="211" t="n">
        <v>0.530533</v>
      </c>
      <c r="BH15" s="211" t="n">
        <f aca="false">BH27</f>
        <v>0.53</v>
      </c>
      <c r="BI15" s="1122" t="s">
        <v>213</v>
      </c>
      <c r="BJ15" s="211" t="n">
        <v>84.626541</v>
      </c>
      <c r="BK15" s="211" t="n">
        <f aca="false">BK27</f>
        <v>83.94</v>
      </c>
      <c r="BL15" s="211" t="n">
        <v>0.159326</v>
      </c>
      <c r="BM15" s="211" t="n">
        <f aca="false">BM27</f>
        <v>0.16</v>
      </c>
      <c r="BN15" s="211" t="n">
        <v>116.904573</v>
      </c>
      <c r="BO15" s="211" t="n">
        <f aca="false">BO27</f>
        <v>117.62</v>
      </c>
      <c r="BP15" s="211" t="n">
        <v>2.532383</v>
      </c>
      <c r="BQ15" s="211" t="n">
        <f aca="false">BQ27</f>
        <v>2.53</v>
      </c>
      <c r="BR15" s="211" t="n">
        <v>22.35247</v>
      </c>
      <c r="BS15" s="211" t="n">
        <f aca="false">BS27</f>
        <v>22.79</v>
      </c>
      <c r="BT15" s="211" t="n">
        <v>82.100874</v>
      </c>
      <c r="BU15" s="211" t="n">
        <f aca="false">BU27</f>
        <v>83.73</v>
      </c>
      <c r="BV15" s="211" t="n">
        <v>110.612995</v>
      </c>
      <c r="BW15" s="211" t="n">
        <f aca="false">BW27</f>
        <v>109.5</v>
      </c>
    </row>
    <row r="16" s="187" customFormat="true" ht="10.5" hidden="false" customHeight="true" outlineLevel="0" collapsed="false">
      <c r="A16" s="840" t="s">
        <v>214</v>
      </c>
      <c r="B16" s="1243" t="n">
        <v>62.84</v>
      </c>
      <c r="C16" s="1243" t="n">
        <v>64.42</v>
      </c>
      <c r="D16" s="1243" t="n">
        <v>80.63</v>
      </c>
      <c r="E16" s="1243" t="n">
        <v>80.66</v>
      </c>
      <c r="F16" s="1243" t="n">
        <v>213.77</v>
      </c>
      <c r="G16" s="1243" t="n">
        <v>213.9</v>
      </c>
      <c r="H16" s="1243" t="n">
        <v>63.44</v>
      </c>
      <c r="I16" s="1243" t="n">
        <v>64.87</v>
      </c>
      <c r="J16" s="1243" t="n">
        <v>11.92</v>
      </c>
      <c r="K16" s="1243" t="n">
        <v>11.99</v>
      </c>
      <c r="L16" s="1243" t="n">
        <v>12.48</v>
      </c>
      <c r="M16" s="1243" t="n">
        <v>12.75</v>
      </c>
      <c r="N16" s="1243" t="n">
        <v>92.83</v>
      </c>
      <c r="O16" s="1243" t="n">
        <v>94.79</v>
      </c>
      <c r="P16" s="840" t="s">
        <v>214</v>
      </c>
      <c r="Q16" s="1243" t="n">
        <v>10.33</v>
      </c>
      <c r="R16" s="1243" t="n">
        <v>10.33</v>
      </c>
      <c r="S16" s="1243" t="n">
        <v>1.25</v>
      </c>
      <c r="T16" s="1243" t="n">
        <v>1.26</v>
      </c>
      <c r="U16" s="1243" t="n">
        <v>0.01</v>
      </c>
      <c r="V16" s="1243" t="n">
        <v>0.01</v>
      </c>
      <c r="W16" s="1243" t="n">
        <v>0</v>
      </c>
      <c r="X16" s="1243" t="n">
        <v>0</v>
      </c>
      <c r="Y16" s="1243" t="n">
        <v>0.72</v>
      </c>
      <c r="Z16" s="1243" t="n">
        <v>0.73</v>
      </c>
      <c r="AA16" s="1243" t="n">
        <v>266.28</v>
      </c>
      <c r="AB16" s="1243" t="n">
        <v>267.04</v>
      </c>
      <c r="AC16" s="1243" t="n">
        <v>18.8</v>
      </c>
      <c r="AD16" s="1243" t="n">
        <v>18.85</v>
      </c>
      <c r="AE16" s="840" t="s">
        <v>214</v>
      </c>
      <c r="AF16" s="1243" t="n">
        <v>0.06</v>
      </c>
      <c r="AG16" s="1243" t="n">
        <v>0.06</v>
      </c>
      <c r="AH16" s="1243" t="n">
        <v>0.78</v>
      </c>
      <c r="AI16" s="1243" t="n">
        <v>0.79</v>
      </c>
      <c r="AJ16" s="1243" t="n">
        <v>59.33</v>
      </c>
      <c r="AK16" s="1243" t="n">
        <v>60.6</v>
      </c>
      <c r="AL16" s="1243" t="n">
        <v>9.87</v>
      </c>
      <c r="AM16" s="1243" t="n">
        <v>10.19</v>
      </c>
      <c r="AN16" s="1243" t="n">
        <v>209.32</v>
      </c>
      <c r="AO16" s="1243" t="n">
        <v>209.51</v>
      </c>
      <c r="AP16" s="1243" t="n">
        <v>0.76</v>
      </c>
      <c r="AQ16" s="1243" t="n">
        <v>0.77</v>
      </c>
      <c r="AR16" s="1243" t="n">
        <v>1.59</v>
      </c>
      <c r="AS16" s="1243" t="n">
        <v>1.6</v>
      </c>
      <c r="AT16" s="840" t="s">
        <v>214</v>
      </c>
      <c r="AU16" s="191" t="n">
        <v>21.96</v>
      </c>
      <c r="AV16" s="1243" t="n">
        <v>22.15</v>
      </c>
      <c r="AW16" s="1243" t="n">
        <v>1.35</v>
      </c>
      <c r="AX16" s="1243" t="n">
        <v>1.35</v>
      </c>
      <c r="AY16" s="1243" t="n">
        <v>21.5</v>
      </c>
      <c r="AZ16" s="1243" t="n">
        <v>21.51</v>
      </c>
      <c r="BA16" s="1243" t="n">
        <v>0.07</v>
      </c>
      <c r="BB16" s="1243" t="n">
        <v>0.07</v>
      </c>
      <c r="BC16" s="1243" t="n">
        <v>58.79</v>
      </c>
      <c r="BD16" s="1243" t="n">
        <v>59.46</v>
      </c>
      <c r="BE16" s="1243" t="n">
        <v>9.68</v>
      </c>
      <c r="BF16" s="1243" t="n">
        <v>9.93</v>
      </c>
      <c r="BG16" s="1243" t="n">
        <v>0.52</v>
      </c>
      <c r="BH16" s="1243" t="n">
        <v>0.52</v>
      </c>
      <c r="BI16" s="840" t="s">
        <v>214</v>
      </c>
      <c r="BJ16" s="1243" t="n">
        <v>84.03</v>
      </c>
      <c r="BK16" s="1243" t="n">
        <v>83.26</v>
      </c>
      <c r="BL16" s="1243" t="n">
        <v>0.16</v>
      </c>
      <c r="BM16" s="1243" t="n">
        <v>0.16</v>
      </c>
      <c r="BN16" s="1243" t="n">
        <v>112.45</v>
      </c>
      <c r="BO16" s="1243" t="n">
        <v>113.37</v>
      </c>
      <c r="BP16" s="1243" t="n">
        <v>2.39</v>
      </c>
      <c r="BQ16" s="1243" t="n">
        <v>2.42</v>
      </c>
      <c r="BR16" s="1243" t="n">
        <v>21.95</v>
      </c>
      <c r="BS16" s="1243" t="n">
        <v>21.96</v>
      </c>
      <c r="BT16" s="1243" t="n">
        <v>80.63</v>
      </c>
      <c r="BU16" s="1243" t="n">
        <v>80.66</v>
      </c>
      <c r="BV16" s="1243" t="n">
        <v>104.8</v>
      </c>
      <c r="BW16" s="1243" t="n">
        <v>105.95</v>
      </c>
    </row>
    <row r="17" s="187" customFormat="true" ht="10.5" hidden="false" customHeight="true" outlineLevel="0" collapsed="false">
      <c r="A17" s="842" t="s">
        <v>215</v>
      </c>
      <c r="B17" s="198" t="n">
        <v>63.94</v>
      </c>
      <c r="C17" s="198" t="n">
        <v>63.79</v>
      </c>
      <c r="D17" s="198" t="n">
        <v>80.69</v>
      </c>
      <c r="E17" s="198" t="n">
        <v>80.7</v>
      </c>
      <c r="F17" s="198" t="n">
        <v>213.99</v>
      </c>
      <c r="G17" s="198" t="n">
        <v>214.03</v>
      </c>
      <c r="H17" s="198" t="n">
        <v>64.04</v>
      </c>
      <c r="I17" s="198" t="n">
        <v>63.94</v>
      </c>
      <c r="J17" s="198" t="n">
        <v>12.09</v>
      </c>
      <c r="K17" s="198" t="n">
        <v>12.23</v>
      </c>
      <c r="L17" s="198" t="n">
        <v>12.82</v>
      </c>
      <c r="M17" s="198" t="n">
        <v>12.89</v>
      </c>
      <c r="N17" s="198" t="n">
        <v>95.37</v>
      </c>
      <c r="O17" s="198" t="n">
        <v>95.9</v>
      </c>
      <c r="P17" s="842" t="s">
        <v>215</v>
      </c>
      <c r="Q17" s="198" t="n">
        <v>10.32</v>
      </c>
      <c r="R17" s="198" t="n">
        <v>10.31</v>
      </c>
      <c r="S17" s="198" t="n">
        <v>1.26</v>
      </c>
      <c r="T17" s="198" t="n">
        <v>1.26</v>
      </c>
      <c r="U17" s="198" t="n">
        <v>0.01</v>
      </c>
      <c r="V17" s="198" t="n">
        <v>0.01</v>
      </c>
      <c r="W17" s="198" t="n">
        <v>0</v>
      </c>
      <c r="X17" s="198" t="n">
        <v>0</v>
      </c>
      <c r="Y17" s="198" t="n">
        <v>0.73</v>
      </c>
      <c r="Z17" s="198" t="n">
        <v>0.73</v>
      </c>
      <c r="AA17" s="198" t="n">
        <v>267.31</v>
      </c>
      <c r="AB17" s="198" t="n">
        <v>267.71</v>
      </c>
      <c r="AC17" s="198" t="n">
        <v>18.84</v>
      </c>
      <c r="AD17" s="198" t="n">
        <v>18.9</v>
      </c>
      <c r="AE17" s="842" t="s">
        <v>215</v>
      </c>
      <c r="AF17" s="198" t="n">
        <v>0.06</v>
      </c>
      <c r="AG17" s="198" t="n">
        <v>0.06</v>
      </c>
      <c r="AH17" s="198" t="n">
        <v>0.79</v>
      </c>
      <c r="AI17" s="198" t="n">
        <v>0.79</v>
      </c>
      <c r="AJ17" s="198" t="n">
        <v>59.1</v>
      </c>
      <c r="AK17" s="198" t="n">
        <v>58.13</v>
      </c>
      <c r="AL17" s="198" t="n">
        <v>10.23</v>
      </c>
      <c r="AM17" s="198" t="n">
        <v>10.33</v>
      </c>
      <c r="AN17" s="198" t="n">
        <v>209.55</v>
      </c>
      <c r="AO17" s="198" t="n">
        <v>209.61</v>
      </c>
      <c r="AP17" s="198" t="n">
        <v>0.77</v>
      </c>
      <c r="AQ17" s="198" t="n">
        <v>0.77</v>
      </c>
      <c r="AR17" s="198" t="n">
        <v>1.59</v>
      </c>
      <c r="AS17" s="198" t="n">
        <v>1.58</v>
      </c>
      <c r="AT17" s="842" t="s">
        <v>215</v>
      </c>
      <c r="AU17" s="197" t="n">
        <v>22.04</v>
      </c>
      <c r="AV17" s="198" t="n">
        <v>21.94</v>
      </c>
      <c r="AW17" s="198" t="n">
        <v>1.36</v>
      </c>
      <c r="AX17" s="198" t="n">
        <v>1.38</v>
      </c>
      <c r="AY17" s="198" t="n">
        <v>21.52</v>
      </c>
      <c r="AZ17" s="198" t="n">
        <v>21.52</v>
      </c>
      <c r="BA17" s="198" t="n">
        <v>0.07</v>
      </c>
      <c r="BB17" s="198" t="n">
        <v>0.07</v>
      </c>
      <c r="BC17" s="198" t="n">
        <v>59.32</v>
      </c>
      <c r="BD17" s="198" t="n">
        <v>59.4</v>
      </c>
      <c r="BE17" s="198" t="n">
        <v>9.98</v>
      </c>
      <c r="BF17" s="198" t="n">
        <v>10.11</v>
      </c>
      <c r="BG17" s="198" t="n">
        <v>0.53</v>
      </c>
      <c r="BH17" s="198" t="n">
        <v>0.53</v>
      </c>
      <c r="BI17" s="842" t="s">
        <v>215</v>
      </c>
      <c r="BJ17" s="198" t="n">
        <v>83.6</v>
      </c>
      <c r="BK17" s="198" t="n">
        <v>83.75</v>
      </c>
      <c r="BL17" s="198" t="n">
        <v>0.16</v>
      </c>
      <c r="BM17" s="198" t="n">
        <v>0.16</v>
      </c>
      <c r="BN17" s="198" t="n">
        <v>113.86</v>
      </c>
      <c r="BO17" s="198" t="n">
        <v>114.45</v>
      </c>
      <c r="BP17" s="198" t="n">
        <v>2.43</v>
      </c>
      <c r="BQ17" s="198" t="n">
        <v>2.43</v>
      </c>
      <c r="BR17" s="198" t="n">
        <v>21.97</v>
      </c>
      <c r="BS17" s="198" t="n">
        <v>21.97</v>
      </c>
      <c r="BT17" s="198" t="n">
        <v>80.69</v>
      </c>
      <c r="BU17" s="198" t="n">
        <v>80.7</v>
      </c>
      <c r="BV17" s="198" t="n">
        <v>104.69</v>
      </c>
      <c r="BW17" s="198" t="n">
        <v>104.31</v>
      </c>
    </row>
    <row r="18" s="187" customFormat="true" ht="11.85" hidden="false" customHeight="true" outlineLevel="0" collapsed="false">
      <c r="A18" s="840" t="s">
        <v>216</v>
      </c>
      <c r="B18" s="1243" t="n">
        <v>64.38</v>
      </c>
      <c r="C18" s="1243" t="n">
        <v>63.42</v>
      </c>
      <c r="D18" s="1243" t="n">
        <v>80.74</v>
      </c>
      <c r="E18" s="1243" t="n">
        <v>80.8</v>
      </c>
      <c r="F18" s="1243" t="n">
        <v>214.09</v>
      </c>
      <c r="G18" s="1243" t="n">
        <v>214.24</v>
      </c>
      <c r="H18" s="1243" t="n">
        <v>65.59</v>
      </c>
      <c r="I18" s="1243" t="n">
        <v>64.77</v>
      </c>
      <c r="J18" s="1243" t="n">
        <v>12.3</v>
      </c>
      <c r="K18" s="1243" t="n">
        <v>12.19</v>
      </c>
      <c r="L18" s="1243" t="n">
        <v>12.92</v>
      </c>
      <c r="M18" s="1243" t="n">
        <v>12.75</v>
      </c>
      <c r="N18" s="1243" t="n">
        <v>96.14</v>
      </c>
      <c r="O18" s="1243" t="n">
        <v>94.9</v>
      </c>
      <c r="P18" s="840" t="s">
        <v>216</v>
      </c>
      <c r="Q18" s="1243" t="n">
        <v>10.33</v>
      </c>
      <c r="R18" s="1243" t="n">
        <v>10.35</v>
      </c>
      <c r="S18" s="1243" t="n">
        <v>1.25</v>
      </c>
      <c r="T18" s="1243" t="n">
        <v>1.23</v>
      </c>
      <c r="U18" s="1243" t="n">
        <v>0.01</v>
      </c>
      <c r="V18" s="1243" t="n">
        <v>0.01</v>
      </c>
      <c r="W18" s="1243" t="n">
        <v>0</v>
      </c>
      <c r="X18" s="1243" t="n">
        <v>0</v>
      </c>
      <c r="Y18" s="1243" t="n">
        <v>0.73</v>
      </c>
      <c r="Z18" s="1243" t="n">
        <v>0.72</v>
      </c>
      <c r="AA18" s="1243" t="n">
        <v>267.86</v>
      </c>
      <c r="AB18" s="1243" t="n">
        <v>268.13</v>
      </c>
      <c r="AC18" s="1243" t="n">
        <v>19.15</v>
      </c>
      <c r="AD18" s="1243" t="n">
        <v>19.09</v>
      </c>
      <c r="AE18" s="840" t="s">
        <v>216</v>
      </c>
      <c r="AF18" s="1243" t="n">
        <v>0.06</v>
      </c>
      <c r="AG18" s="1243" t="n">
        <v>0.06</v>
      </c>
      <c r="AH18" s="1243" t="n">
        <v>0.79</v>
      </c>
      <c r="AI18" s="1243" t="n">
        <v>0.78</v>
      </c>
      <c r="AJ18" s="1243" t="n">
        <v>58.56</v>
      </c>
      <c r="AK18" s="1243" t="n">
        <v>58.18</v>
      </c>
      <c r="AL18" s="1243" t="n">
        <v>10.31</v>
      </c>
      <c r="AM18" s="1243" t="n">
        <v>10.16</v>
      </c>
      <c r="AN18" s="1243" t="n">
        <v>209.69</v>
      </c>
      <c r="AO18" s="1243" t="n">
        <v>209.87</v>
      </c>
      <c r="AP18" s="1243" t="n">
        <v>0.77</v>
      </c>
      <c r="AQ18" s="1243" t="n">
        <v>0.77</v>
      </c>
      <c r="AR18" s="1243" t="n">
        <v>1.58</v>
      </c>
      <c r="AS18" s="1243" t="n">
        <v>1.58</v>
      </c>
      <c r="AT18" s="840" t="s">
        <v>216</v>
      </c>
      <c r="AU18" s="191" t="n">
        <v>21.99</v>
      </c>
      <c r="AV18" s="1243" t="n">
        <v>21.75</v>
      </c>
      <c r="AW18" s="1243" t="n">
        <v>1.4</v>
      </c>
      <c r="AX18" s="1243" t="n">
        <v>1.39</v>
      </c>
      <c r="AY18" s="1243" t="n">
        <v>21.53</v>
      </c>
      <c r="AZ18" s="1243" t="n">
        <v>21.55</v>
      </c>
      <c r="BA18" s="1243" t="n">
        <v>0.07</v>
      </c>
      <c r="BB18" s="1243" t="n">
        <v>0.07</v>
      </c>
      <c r="BC18" s="1243" t="n">
        <v>59.78</v>
      </c>
      <c r="BD18" s="1243" t="n">
        <v>59.42</v>
      </c>
      <c r="BE18" s="1243" t="n">
        <v>10.09</v>
      </c>
      <c r="BF18" s="1243" t="n">
        <v>9.9</v>
      </c>
      <c r="BG18" s="1243" t="n">
        <v>0.53</v>
      </c>
      <c r="BH18" s="1243" t="n">
        <v>0.53</v>
      </c>
      <c r="BI18" s="840" t="s">
        <v>216</v>
      </c>
      <c r="BJ18" s="1243" t="n">
        <v>83.92</v>
      </c>
      <c r="BK18" s="1243" t="n">
        <v>83.11</v>
      </c>
      <c r="BL18" s="1243" t="n">
        <v>0.16</v>
      </c>
      <c r="BM18" s="1243" t="n">
        <v>0.16</v>
      </c>
      <c r="BN18" s="1243" t="n">
        <v>114.7</v>
      </c>
      <c r="BO18" s="1243" t="n">
        <v>114.06</v>
      </c>
      <c r="BP18" s="1243" t="n">
        <v>2.43</v>
      </c>
      <c r="BQ18" s="1243" t="n">
        <v>2.41</v>
      </c>
      <c r="BR18" s="1243" t="n">
        <v>21.98</v>
      </c>
      <c r="BS18" s="1243" t="n">
        <v>22</v>
      </c>
      <c r="BT18" s="1243" t="n">
        <v>80.74</v>
      </c>
      <c r="BU18" s="1243" t="n">
        <v>80.8</v>
      </c>
      <c r="BV18" s="1243" t="n">
        <v>107.21</v>
      </c>
      <c r="BW18" s="1243" t="n">
        <v>108.17</v>
      </c>
    </row>
    <row r="19" s="187" customFormat="true" ht="9.75" hidden="false" customHeight="true" outlineLevel="0" collapsed="false">
      <c r="A19" s="842" t="s">
        <v>217</v>
      </c>
      <c r="B19" s="198" t="n">
        <v>63.02</v>
      </c>
      <c r="C19" s="198" t="n">
        <v>62.17</v>
      </c>
      <c r="D19" s="198" t="n">
        <v>80.82</v>
      </c>
      <c r="E19" s="198" t="n">
        <v>80.86</v>
      </c>
      <c r="F19" s="198" t="n">
        <v>214.28</v>
      </c>
      <c r="G19" s="198" t="n">
        <v>214.34</v>
      </c>
      <c r="H19" s="198" t="n">
        <v>64.29</v>
      </c>
      <c r="I19" s="198" t="n">
        <v>63.02</v>
      </c>
      <c r="J19" s="198" t="n">
        <v>12.21</v>
      </c>
      <c r="K19" s="198" t="n">
        <v>12.18</v>
      </c>
      <c r="L19" s="198" t="n">
        <v>12.78</v>
      </c>
      <c r="M19" s="198" t="n">
        <v>12.66</v>
      </c>
      <c r="N19" s="198" t="n">
        <v>95.1</v>
      </c>
      <c r="O19" s="198" t="n">
        <v>94.21</v>
      </c>
      <c r="P19" s="842" t="s">
        <v>217</v>
      </c>
      <c r="Q19" s="198" t="n">
        <v>10.35</v>
      </c>
      <c r="R19" s="198" t="n">
        <v>10.37</v>
      </c>
      <c r="S19" s="198" t="n">
        <v>1.24</v>
      </c>
      <c r="T19" s="198" t="n">
        <v>1.25</v>
      </c>
      <c r="U19" s="198" t="n">
        <v>0.01</v>
      </c>
      <c r="V19" s="198" t="n">
        <v>0.01</v>
      </c>
      <c r="W19" s="198" t="n">
        <v>0</v>
      </c>
      <c r="X19" s="198" t="n">
        <v>0</v>
      </c>
      <c r="Y19" s="198" t="n">
        <v>0.72</v>
      </c>
      <c r="Z19" s="198" t="n">
        <v>0.71</v>
      </c>
      <c r="AA19" s="198" t="n">
        <v>267.49</v>
      </c>
      <c r="AB19" s="198" t="n">
        <v>267.53</v>
      </c>
      <c r="AC19" s="198" t="n">
        <v>19.11</v>
      </c>
      <c r="AD19" s="198" t="n">
        <v>19.11</v>
      </c>
      <c r="AE19" s="842" t="s">
        <v>217</v>
      </c>
      <c r="AF19" s="198" t="n">
        <v>0.06</v>
      </c>
      <c r="AG19" s="198" t="n">
        <v>0.06</v>
      </c>
      <c r="AH19" s="198" t="n">
        <v>0.78</v>
      </c>
      <c r="AI19" s="198" t="n">
        <v>0.78</v>
      </c>
      <c r="AJ19" s="198" t="n">
        <v>57.11</v>
      </c>
      <c r="AK19" s="198" t="n">
        <v>55.61</v>
      </c>
      <c r="AL19" s="198" t="n">
        <v>10.12</v>
      </c>
      <c r="AM19" s="198" t="n">
        <v>9.92</v>
      </c>
      <c r="AN19" s="198" t="n">
        <v>209.96</v>
      </c>
      <c r="AO19" s="198" t="n">
        <v>210.03</v>
      </c>
      <c r="AP19" s="198" t="n">
        <v>0.77</v>
      </c>
      <c r="AQ19" s="198" t="n">
        <v>0.77</v>
      </c>
      <c r="AR19" s="198" t="n">
        <v>1.57</v>
      </c>
      <c r="AS19" s="198" t="n">
        <v>1.57</v>
      </c>
      <c r="AT19" s="842" t="s">
        <v>217</v>
      </c>
      <c r="AU19" s="197" t="n">
        <v>21.78</v>
      </c>
      <c r="AV19" s="198" t="n">
        <v>21.06</v>
      </c>
      <c r="AW19" s="198" t="n">
        <v>1.4</v>
      </c>
      <c r="AX19" s="198" t="n">
        <v>1.39</v>
      </c>
      <c r="AY19" s="198" t="n">
        <v>21.55</v>
      </c>
      <c r="AZ19" s="198" t="n">
        <v>21.56</v>
      </c>
      <c r="BA19" s="198" t="n">
        <v>0.07</v>
      </c>
      <c r="BB19" s="198" t="n">
        <v>0.07</v>
      </c>
      <c r="BC19" s="198" t="n">
        <v>59.46</v>
      </c>
      <c r="BD19" s="198" t="n">
        <v>59.42</v>
      </c>
      <c r="BE19" s="198" t="n">
        <v>9.9</v>
      </c>
      <c r="BF19" s="198" t="n">
        <v>9.67</v>
      </c>
      <c r="BG19" s="198" t="n">
        <v>0.53</v>
      </c>
      <c r="BH19" s="198" t="n">
        <v>0.53</v>
      </c>
      <c r="BI19" s="842" t="s">
        <v>217</v>
      </c>
      <c r="BJ19" s="198" t="n">
        <v>82.44</v>
      </c>
      <c r="BK19" s="198" t="n">
        <v>81.32</v>
      </c>
      <c r="BL19" s="198" t="n">
        <v>0.16</v>
      </c>
      <c r="BM19" s="198" t="n">
        <v>0.16</v>
      </c>
      <c r="BN19" s="198" t="n">
        <v>113.94</v>
      </c>
      <c r="BO19" s="198" t="n">
        <v>113.49</v>
      </c>
      <c r="BP19" s="198" t="n">
        <v>2.43</v>
      </c>
      <c r="BQ19" s="198" t="n">
        <v>2.43</v>
      </c>
      <c r="BR19" s="198" t="n">
        <v>22</v>
      </c>
      <c r="BS19" s="198" t="n">
        <v>22.01</v>
      </c>
      <c r="BT19" s="198" t="n">
        <v>80.82</v>
      </c>
      <c r="BU19" s="198" t="n">
        <v>80.86</v>
      </c>
      <c r="BV19" s="198" t="n">
        <v>106.82</v>
      </c>
      <c r="BW19" s="198" t="n">
        <v>106.8</v>
      </c>
    </row>
    <row r="20" s="187" customFormat="true" ht="9.75" hidden="false" customHeight="true" outlineLevel="0" collapsed="false">
      <c r="A20" s="840" t="s">
        <v>218</v>
      </c>
      <c r="B20" s="1243" t="n">
        <v>61.96</v>
      </c>
      <c r="C20" s="1243" t="n">
        <v>62.31</v>
      </c>
      <c r="D20" s="1243" t="n">
        <v>81.26</v>
      </c>
      <c r="E20" s="1243" t="n">
        <v>82.3</v>
      </c>
      <c r="F20" s="1243" t="n">
        <v>215.33</v>
      </c>
      <c r="G20" s="1243" t="n">
        <v>218.16</v>
      </c>
      <c r="H20" s="1243" t="n">
        <v>63.67</v>
      </c>
      <c r="I20" s="1243" t="n">
        <v>63.97</v>
      </c>
      <c r="J20" s="1243" t="n">
        <v>12.28</v>
      </c>
      <c r="K20" s="1243" t="n">
        <v>12.46</v>
      </c>
      <c r="L20" s="1243" t="n">
        <v>12.81</v>
      </c>
      <c r="M20" s="1243" t="n">
        <v>13.1</v>
      </c>
      <c r="N20" s="1243" t="n">
        <v>95.33</v>
      </c>
      <c r="O20" s="1243" t="n">
        <v>97.5</v>
      </c>
      <c r="P20" s="840" t="s">
        <v>218</v>
      </c>
      <c r="Q20" s="1243" t="n">
        <v>10.41</v>
      </c>
      <c r="R20" s="1243" t="n">
        <v>10.54</v>
      </c>
      <c r="S20" s="1243" t="n">
        <v>1.25</v>
      </c>
      <c r="T20" s="1243" t="n">
        <v>1.28</v>
      </c>
      <c r="U20" s="1243" t="n">
        <v>0.01</v>
      </c>
      <c r="V20" s="1243" t="n">
        <v>0.01</v>
      </c>
      <c r="W20" s="1243" t="n">
        <v>0</v>
      </c>
      <c r="X20" s="1243" t="n">
        <v>0</v>
      </c>
      <c r="Y20" s="1243" t="n">
        <v>0.72</v>
      </c>
      <c r="Z20" s="1243" t="n">
        <v>0.74</v>
      </c>
      <c r="AA20" s="1243" t="n">
        <v>268.88</v>
      </c>
      <c r="AB20" s="1243" t="n">
        <v>272.79</v>
      </c>
      <c r="AC20" s="1243" t="n">
        <v>19.47</v>
      </c>
      <c r="AD20" s="1243" t="n">
        <v>20.14</v>
      </c>
      <c r="AE20" s="840" t="s">
        <v>218</v>
      </c>
      <c r="AF20" s="1243" t="n">
        <v>0.06</v>
      </c>
      <c r="AG20" s="1243" t="n">
        <v>0.06</v>
      </c>
      <c r="AH20" s="1243" t="n">
        <v>0.78</v>
      </c>
      <c r="AI20" s="1243" t="n">
        <v>0.8</v>
      </c>
      <c r="AJ20" s="1243" t="n">
        <v>55.97</v>
      </c>
      <c r="AK20" s="1243" t="n">
        <v>56.63</v>
      </c>
      <c r="AL20" s="1243" t="n">
        <v>9.93</v>
      </c>
      <c r="AM20" s="1243" t="n">
        <v>9.97</v>
      </c>
      <c r="AN20" s="1243" t="n">
        <v>211.05</v>
      </c>
      <c r="AO20" s="1243" t="n">
        <v>213.77</v>
      </c>
      <c r="AP20" s="1243" t="n">
        <v>0.77</v>
      </c>
      <c r="AQ20" s="1243" t="n">
        <v>0.78</v>
      </c>
      <c r="AR20" s="1243" t="n">
        <v>1.59</v>
      </c>
      <c r="AS20" s="1243" t="n">
        <v>1.63</v>
      </c>
      <c r="AT20" s="840" t="s">
        <v>218</v>
      </c>
      <c r="AU20" s="1243" t="n">
        <v>21.9</v>
      </c>
      <c r="AV20" s="1243" t="n">
        <v>22.61</v>
      </c>
      <c r="AW20" s="1243" t="n">
        <v>1.38</v>
      </c>
      <c r="AX20" s="1243" t="n">
        <v>1.41</v>
      </c>
      <c r="AY20" s="1243" t="n">
        <v>21.67</v>
      </c>
      <c r="AZ20" s="1243" t="n">
        <v>21.95</v>
      </c>
      <c r="BA20" s="1243" t="n">
        <v>0.07</v>
      </c>
      <c r="BB20" s="1243" t="n">
        <v>0.08</v>
      </c>
      <c r="BC20" s="1243" t="n">
        <v>59.91</v>
      </c>
      <c r="BD20" s="1243" t="n">
        <v>61.09</v>
      </c>
      <c r="BE20" s="1243" t="n">
        <v>9.69</v>
      </c>
      <c r="BF20" s="1243" t="n">
        <v>9.84</v>
      </c>
      <c r="BG20" s="1243" t="n">
        <v>0.53</v>
      </c>
      <c r="BH20" s="1243" t="n">
        <v>0.54</v>
      </c>
      <c r="BI20" s="840" t="s">
        <v>218</v>
      </c>
      <c r="BJ20" s="1243" t="n">
        <v>81.91</v>
      </c>
      <c r="BK20" s="1243" t="n">
        <v>83.59</v>
      </c>
      <c r="BL20" s="1243" t="n">
        <v>0.16</v>
      </c>
      <c r="BM20" s="1243" t="n">
        <v>0.16</v>
      </c>
      <c r="BN20" s="1243" t="n">
        <v>114.4</v>
      </c>
      <c r="BO20" s="1243" t="n">
        <v>116.57</v>
      </c>
      <c r="BP20" s="1243" t="n">
        <v>2.47</v>
      </c>
      <c r="BQ20" s="1243" t="n">
        <v>2.52</v>
      </c>
      <c r="BR20" s="1243" t="n">
        <v>22.12</v>
      </c>
      <c r="BS20" s="1243" t="n">
        <v>22.41</v>
      </c>
      <c r="BT20" s="1243" t="n">
        <v>81.26</v>
      </c>
      <c r="BU20" s="1243" t="n">
        <v>82.3</v>
      </c>
      <c r="BV20" s="1243" t="n">
        <v>107.45</v>
      </c>
      <c r="BW20" s="1243" t="n">
        <v>110.35</v>
      </c>
    </row>
    <row r="21" s="187" customFormat="true" ht="10.5" hidden="false" customHeight="true" outlineLevel="0" collapsed="false">
      <c r="A21" s="842" t="s">
        <v>219</v>
      </c>
      <c r="B21" s="198" t="n">
        <v>63.05</v>
      </c>
      <c r="C21" s="198" t="n">
        <v>64.52</v>
      </c>
      <c r="D21" s="198" t="n">
        <v>82.55</v>
      </c>
      <c r="E21" s="198" t="n">
        <v>82.7</v>
      </c>
      <c r="F21" s="198" t="n">
        <v>218.87</v>
      </c>
      <c r="G21" s="198" t="n">
        <v>219.31</v>
      </c>
      <c r="H21" s="198" t="n">
        <v>64.62</v>
      </c>
      <c r="I21" s="198" t="n">
        <v>65.74</v>
      </c>
      <c r="J21" s="198" t="n">
        <v>12.52</v>
      </c>
      <c r="K21" s="198" t="n">
        <v>12.66</v>
      </c>
      <c r="L21" s="198" t="n">
        <v>13.12</v>
      </c>
      <c r="M21" s="198" t="n">
        <v>13.33</v>
      </c>
      <c r="N21" s="198" t="n">
        <v>97.69</v>
      </c>
      <c r="O21" s="198" t="n">
        <v>99.22</v>
      </c>
      <c r="P21" s="842" t="s">
        <v>219</v>
      </c>
      <c r="Q21" s="198" t="n">
        <v>10.57</v>
      </c>
      <c r="R21" s="198" t="n">
        <v>10.59</v>
      </c>
      <c r="S21" s="198" t="n">
        <v>1.28</v>
      </c>
      <c r="T21" s="198" t="n">
        <v>1.3</v>
      </c>
      <c r="U21" s="198" t="n">
        <v>0.01</v>
      </c>
      <c r="V21" s="198" t="n">
        <v>0.01</v>
      </c>
      <c r="W21" s="198" t="n">
        <v>0</v>
      </c>
      <c r="X21" s="198" t="n">
        <v>0</v>
      </c>
      <c r="Y21" s="198" t="n">
        <v>0.73</v>
      </c>
      <c r="Z21" s="198" t="n">
        <v>0.73</v>
      </c>
      <c r="AA21" s="198" t="n">
        <v>273.31</v>
      </c>
      <c r="AB21" s="198" t="n">
        <v>274.3</v>
      </c>
      <c r="AC21" s="198" t="n">
        <v>20.24</v>
      </c>
      <c r="AD21" s="198" t="n">
        <v>20.43</v>
      </c>
      <c r="AE21" s="842" t="s">
        <v>219</v>
      </c>
      <c r="AF21" s="198" t="n">
        <v>0.06</v>
      </c>
      <c r="AG21" s="198" t="n">
        <v>0.06</v>
      </c>
      <c r="AH21" s="198" t="n">
        <v>0.8</v>
      </c>
      <c r="AI21" s="198" t="n">
        <v>0.81</v>
      </c>
      <c r="AJ21" s="198" t="n">
        <v>57.45</v>
      </c>
      <c r="AK21" s="198" t="n">
        <v>58.61</v>
      </c>
      <c r="AL21" s="198" t="n">
        <v>9.93</v>
      </c>
      <c r="AM21" s="198" t="n">
        <v>10.07</v>
      </c>
      <c r="AN21" s="198" t="n">
        <v>214.42</v>
      </c>
      <c r="AO21" s="198" t="n">
        <v>214.78</v>
      </c>
      <c r="AP21" s="198" t="n">
        <v>0.76</v>
      </c>
      <c r="AQ21" s="198" t="n">
        <v>0.75</v>
      </c>
      <c r="AR21" s="198" t="n">
        <v>1.64</v>
      </c>
      <c r="AS21" s="198" t="n">
        <v>1.65</v>
      </c>
      <c r="AT21" s="842" t="s">
        <v>219</v>
      </c>
      <c r="AU21" s="198" t="n">
        <v>22.67</v>
      </c>
      <c r="AV21" s="198" t="n">
        <v>22.71</v>
      </c>
      <c r="AW21" s="198" t="n">
        <v>1.41</v>
      </c>
      <c r="AX21" s="198" t="n">
        <v>1.43</v>
      </c>
      <c r="AY21" s="198" t="n">
        <v>22.01</v>
      </c>
      <c r="AZ21" s="198" t="n">
        <v>22.05</v>
      </c>
      <c r="BA21" s="198" t="n">
        <v>0.08</v>
      </c>
      <c r="BB21" s="198" t="n">
        <v>0.08</v>
      </c>
      <c r="BC21" s="198" t="n">
        <v>61.31</v>
      </c>
      <c r="BD21" s="198" t="n">
        <v>61.83</v>
      </c>
      <c r="BE21" s="198" t="n">
        <v>9.84</v>
      </c>
      <c r="BF21" s="198" t="n">
        <v>10.08</v>
      </c>
      <c r="BG21" s="198" t="n">
        <v>0.54</v>
      </c>
      <c r="BH21" s="198" t="n">
        <v>0.54</v>
      </c>
      <c r="BI21" s="842" t="s">
        <v>219</v>
      </c>
      <c r="BJ21" s="198" t="n">
        <v>83.66</v>
      </c>
      <c r="BK21" s="198" t="n">
        <v>84.88</v>
      </c>
      <c r="BL21" s="198" t="n">
        <v>0.16</v>
      </c>
      <c r="BM21" s="198" t="n">
        <v>0.16</v>
      </c>
      <c r="BN21" s="198" t="n">
        <v>116.82</v>
      </c>
      <c r="BO21" s="198" t="n">
        <v>117.77</v>
      </c>
      <c r="BP21" s="198" t="n">
        <v>2.53</v>
      </c>
      <c r="BQ21" s="198" t="n">
        <v>2.54</v>
      </c>
      <c r="BR21" s="198" t="n">
        <v>22.48</v>
      </c>
      <c r="BS21" s="198" t="n">
        <v>22.52</v>
      </c>
      <c r="BT21" s="198" t="n">
        <v>82.55</v>
      </c>
      <c r="BU21" s="198" t="n">
        <v>82.7</v>
      </c>
      <c r="BV21" s="198" t="n">
        <v>110.59</v>
      </c>
      <c r="BW21" s="198" t="n">
        <v>111.76</v>
      </c>
    </row>
    <row r="22" s="187" customFormat="true" ht="10.5" hidden="false" customHeight="true" outlineLevel="0" collapsed="false">
      <c r="A22" s="840" t="s">
        <v>220</v>
      </c>
      <c r="B22" s="1243" t="n">
        <v>65.51</v>
      </c>
      <c r="C22" s="1243" t="n">
        <v>67.01</v>
      </c>
      <c r="D22" s="1243" t="n">
        <v>82.82</v>
      </c>
      <c r="E22" s="1243" t="n">
        <v>82.9</v>
      </c>
      <c r="F22" s="1243" t="n">
        <v>219.63</v>
      </c>
      <c r="G22" s="1243" t="n">
        <v>219.89</v>
      </c>
      <c r="H22" s="1243" t="n">
        <v>66.55</v>
      </c>
      <c r="I22" s="1243" t="n">
        <v>67.21</v>
      </c>
      <c r="J22" s="1243" t="n">
        <v>13.21</v>
      </c>
      <c r="K22" s="1243" t="n">
        <v>13.09</v>
      </c>
      <c r="L22" s="1243" t="n">
        <v>13.54</v>
      </c>
      <c r="M22" s="1243" t="n">
        <v>13.81</v>
      </c>
      <c r="N22" s="1243" t="n">
        <v>100.81</v>
      </c>
      <c r="O22" s="1243" t="n">
        <v>102.81</v>
      </c>
      <c r="P22" s="840" t="s">
        <v>220</v>
      </c>
      <c r="Q22" s="1243" t="n">
        <v>10.59</v>
      </c>
      <c r="R22" s="1243" t="n">
        <v>10.6</v>
      </c>
      <c r="S22" s="1243" t="n">
        <v>1.3</v>
      </c>
      <c r="T22" s="1243" t="n">
        <v>1.3</v>
      </c>
      <c r="U22" s="1243" t="n">
        <v>0.01</v>
      </c>
      <c r="V22" s="1243" t="n">
        <v>0.01</v>
      </c>
      <c r="W22" s="1243" t="n">
        <v>0</v>
      </c>
      <c r="X22" s="1243" t="n">
        <v>0</v>
      </c>
      <c r="Y22" s="1243" t="n">
        <v>0.75</v>
      </c>
      <c r="Z22" s="1243" t="n">
        <v>0.76</v>
      </c>
      <c r="AA22" s="1243" t="n">
        <v>275.28</v>
      </c>
      <c r="AB22" s="1243" t="n">
        <v>276.66</v>
      </c>
      <c r="AC22" s="1243" t="n">
        <v>20.91</v>
      </c>
      <c r="AD22" s="1243" t="n">
        <v>21.25</v>
      </c>
      <c r="AE22" s="840" t="s">
        <v>220</v>
      </c>
      <c r="AF22" s="1243" t="n">
        <v>0.06</v>
      </c>
      <c r="AG22" s="1243" t="n">
        <v>0.06</v>
      </c>
      <c r="AH22" s="1243" t="n">
        <v>0.81</v>
      </c>
      <c r="AI22" s="1243" t="n">
        <v>0.82</v>
      </c>
      <c r="AJ22" s="1243" t="n">
        <v>60.17</v>
      </c>
      <c r="AK22" s="1243" t="n">
        <v>60.77</v>
      </c>
      <c r="AL22" s="1243" t="n">
        <v>10.44</v>
      </c>
      <c r="AM22" s="1243" t="n">
        <v>10.74</v>
      </c>
      <c r="AN22" s="1243" t="n">
        <v>215.1</v>
      </c>
      <c r="AO22" s="1243" t="n">
        <v>215.32</v>
      </c>
      <c r="AP22" s="1243" t="n">
        <v>0.75</v>
      </c>
      <c r="AQ22" s="1243" t="n">
        <v>0.75</v>
      </c>
      <c r="AR22" s="1243" t="n">
        <v>1.64</v>
      </c>
      <c r="AS22" s="1243" t="n">
        <v>1.62</v>
      </c>
      <c r="AT22" s="840" t="s">
        <v>220</v>
      </c>
      <c r="AU22" s="1243" t="n">
        <v>22.73</v>
      </c>
      <c r="AV22" s="1243" t="n">
        <v>22.77</v>
      </c>
      <c r="AW22" s="1243" t="n">
        <v>1.46</v>
      </c>
      <c r="AX22" s="1243" t="n">
        <v>1.47</v>
      </c>
      <c r="AY22" s="1243" t="n">
        <v>22.08</v>
      </c>
      <c r="AZ22" s="1243" t="n">
        <v>22.11</v>
      </c>
      <c r="BA22" s="1243" t="n">
        <v>0.08</v>
      </c>
      <c r="BB22" s="1243" t="n">
        <v>0.08</v>
      </c>
      <c r="BC22" s="1243" t="n">
        <v>62.59</v>
      </c>
      <c r="BD22" s="1243" t="n">
        <v>63.21</v>
      </c>
      <c r="BE22" s="1243" t="n">
        <v>10.28</v>
      </c>
      <c r="BF22" s="1243" t="n">
        <v>10.53</v>
      </c>
      <c r="BG22" s="1243" t="n">
        <v>0.54</v>
      </c>
      <c r="BH22" s="1243" t="n">
        <v>0.54</v>
      </c>
      <c r="BI22" s="840" t="s">
        <v>220</v>
      </c>
      <c r="BJ22" s="1243" t="n">
        <v>86</v>
      </c>
      <c r="BK22" s="1243" t="n">
        <v>88.73</v>
      </c>
      <c r="BL22" s="1243" t="n">
        <v>0.16</v>
      </c>
      <c r="BM22" s="1243" t="n">
        <v>0.16</v>
      </c>
      <c r="BN22" s="1243" t="n">
        <v>118.98</v>
      </c>
      <c r="BO22" s="1243" t="n">
        <v>120.63</v>
      </c>
      <c r="BP22" s="1243" t="n">
        <v>2.59</v>
      </c>
      <c r="BQ22" s="1243" t="n">
        <v>2.64</v>
      </c>
      <c r="BR22" s="1243" t="n">
        <v>22.55</v>
      </c>
      <c r="BS22" s="1243" t="n">
        <v>22.57</v>
      </c>
      <c r="BT22" s="1243" t="n">
        <v>82.82</v>
      </c>
      <c r="BU22" s="1243" t="n">
        <v>82.9</v>
      </c>
      <c r="BV22" s="1243" t="n">
        <v>114.21</v>
      </c>
      <c r="BW22" s="1243" t="n">
        <v>117.27</v>
      </c>
    </row>
    <row r="23" s="187" customFormat="true" ht="11.25" hidden="false" customHeight="true" outlineLevel="0" collapsed="false">
      <c r="A23" s="842" t="s">
        <v>221</v>
      </c>
      <c r="B23" s="198" t="n">
        <v>65.36</v>
      </c>
      <c r="C23" s="198" t="n">
        <v>64.62</v>
      </c>
      <c r="D23" s="198" t="n">
        <v>82.92</v>
      </c>
      <c r="E23" s="198" t="n">
        <v>82.96</v>
      </c>
      <c r="F23" s="198" t="n">
        <v>219.94</v>
      </c>
      <c r="G23" s="198" t="n">
        <v>220.05</v>
      </c>
      <c r="H23" s="198" t="n">
        <v>66.05</v>
      </c>
      <c r="I23" s="198" t="n">
        <v>64.93</v>
      </c>
      <c r="J23" s="198" t="n">
        <v>13.12</v>
      </c>
      <c r="K23" s="198" t="n">
        <v>13.11</v>
      </c>
      <c r="L23" s="198" t="n">
        <v>13.75</v>
      </c>
      <c r="M23" s="198" t="n">
        <v>13.63</v>
      </c>
      <c r="N23" s="198" t="n">
        <v>102.4</v>
      </c>
      <c r="O23" s="198" t="n">
        <v>101.48</v>
      </c>
      <c r="P23" s="842" t="s">
        <v>221</v>
      </c>
      <c r="Q23" s="198" t="n">
        <v>10.6</v>
      </c>
      <c r="R23" s="198" t="n">
        <v>10.6</v>
      </c>
      <c r="S23" s="198" t="n">
        <v>1.29</v>
      </c>
      <c r="T23" s="198" t="n">
        <v>1.28</v>
      </c>
      <c r="U23" s="198" t="n">
        <v>0.01</v>
      </c>
      <c r="V23" s="198" t="n">
        <v>0.01</v>
      </c>
      <c r="W23" s="198" t="n">
        <v>0</v>
      </c>
      <c r="X23" s="198" t="n">
        <v>0</v>
      </c>
      <c r="Y23" s="198" t="n">
        <v>0.77</v>
      </c>
      <c r="Z23" s="198" t="n">
        <v>0.77</v>
      </c>
      <c r="AA23" s="198" t="n">
        <v>276.57</v>
      </c>
      <c r="AB23" s="198" t="n">
        <v>276.86</v>
      </c>
      <c r="AC23" s="198" t="n">
        <v>21.21</v>
      </c>
      <c r="AD23" s="198" t="n">
        <v>21.13</v>
      </c>
      <c r="AE23" s="842" t="s">
        <v>221</v>
      </c>
      <c r="AF23" s="198" t="n">
        <v>0.06</v>
      </c>
      <c r="AG23" s="198" t="n">
        <v>0.06</v>
      </c>
      <c r="AH23" s="198" t="n">
        <v>0.81</v>
      </c>
      <c r="AI23" s="198" t="n">
        <v>0.8</v>
      </c>
      <c r="AJ23" s="198" t="n">
        <v>60.62</v>
      </c>
      <c r="AK23" s="198" t="n">
        <v>60.03</v>
      </c>
      <c r="AL23" s="198" t="n">
        <v>10.59</v>
      </c>
      <c r="AM23" s="198" t="n">
        <v>10.54</v>
      </c>
      <c r="AN23" s="198" t="n">
        <v>215.38</v>
      </c>
      <c r="AO23" s="198" t="n">
        <v>215.48</v>
      </c>
      <c r="AP23" s="198" t="n">
        <v>0.75</v>
      </c>
      <c r="AQ23" s="198" t="n">
        <v>0.75</v>
      </c>
      <c r="AR23" s="198" t="n">
        <v>1.6</v>
      </c>
      <c r="AS23" s="198" t="n">
        <v>1.59</v>
      </c>
      <c r="AT23" s="842" t="s">
        <v>221</v>
      </c>
      <c r="AU23" s="198" t="n">
        <v>22.76</v>
      </c>
      <c r="AV23" s="198" t="n">
        <v>22.78</v>
      </c>
      <c r="AW23" s="198" t="n">
        <v>1.46</v>
      </c>
      <c r="AX23" s="198" t="n">
        <v>1.47</v>
      </c>
      <c r="AY23" s="198" t="n">
        <v>22.11</v>
      </c>
      <c r="AZ23" s="198" t="n">
        <v>22.12</v>
      </c>
      <c r="BA23" s="198" t="n">
        <v>0.08</v>
      </c>
      <c r="BB23" s="198" t="n">
        <v>0.08</v>
      </c>
      <c r="BC23" s="198" t="n">
        <v>62.85</v>
      </c>
      <c r="BD23" s="198" t="n">
        <v>62.64</v>
      </c>
      <c r="BE23" s="198" t="n">
        <v>10.33</v>
      </c>
      <c r="BF23" s="198" t="n">
        <v>10.08</v>
      </c>
      <c r="BG23" s="198" t="n">
        <v>0.54</v>
      </c>
      <c r="BH23" s="198" t="n">
        <v>0.54</v>
      </c>
      <c r="BI23" s="842" t="s">
        <v>221</v>
      </c>
      <c r="BJ23" s="198" t="n">
        <v>88.71</v>
      </c>
      <c r="BK23" s="198" t="n">
        <v>88.35</v>
      </c>
      <c r="BL23" s="198" t="n">
        <v>0.16</v>
      </c>
      <c r="BM23" s="198" t="n">
        <v>0.16</v>
      </c>
      <c r="BN23" s="198" t="n">
        <v>120.45</v>
      </c>
      <c r="BO23" s="198" t="n">
        <v>120.41</v>
      </c>
      <c r="BP23" s="198" t="n">
        <v>2.63</v>
      </c>
      <c r="BQ23" s="198" t="n">
        <v>2.64</v>
      </c>
      <c r="BR23" s="198" t="n">
        <v>22.58</v>
      </c>
      <c r="BS23" s="198" t="n">
        <v>22.59</v>
      </c>
      <c r="BT23" s="198" t="n">
        <v>82.92</v>
      </c>
      <c r="BU23" s="198" t="n">
        <v>82.96</v>
      </c>
      <c r="BV23" s="198" t="n">
        <v>115.89</v>
      </c>
      <c r="BW23" s="198" t="n">
        <v>115.39</v>
      </c>
    </row>
    <row r="24" s="187" customFormat="true" ht="9.75" hidden="false" customHeight="true" outlineLevel="0" collapsed="false">
      <c r="A24" s="840" t="s">
        <v>222</v>
      </c>
      <c r="B24" s="1243" t="n">
        <v>64.45</v>
      </c>
      <c r="C24" s="1243" t="n">
        <v>63.56</v>
      </c>
      <c r="D24" s="1243" t="n">
        <v>82.96</v>
      </c>
      <c r="E24" s="1243" t="n">
        <v>82.96</v>
      </c>
      <c r="F24" s="1243" t="n">
        <v>220.03</v>
      </c>
      <c r="G24" s="1243" t="n">
        <v>219.99</v>
      </c>
      <c r="H24" s="1243" t="n">
        <v>64.21</v>
      </c>
      <c r="I24" s="1243" t="n">
        <v>64.2</v>
      </c>
      <c r="J24" s="1243" t="n">
        <v>13.12</v>
      </c>
      <c r="K24" s="1243" t="n">
        <v>13.16</v>
      </c>
      <c r="L24" s="1243" t="n">
        <v>13.74</v>
      </c>
      <c r="M24" s="1243" t="n">
        <v>13.7</v>
      </c>
      <c r="N24" s="1243" t="n">
        <v>102.32</v>
      </c>
      <c r="O24" s="1243" t="n">
        <v>102.11</v>
      </c>
      <c r="P24" s="840" t="s">
        <v>222</v>
      </c>
      <c r="Q24" s="1243" t="n">
        <v>10.58</v>
      </c>
      <c r="R24" s="1243" t="n">
        <v>10.57</v>
      </c>
      <c r="S24" s="1243" t="n">
        <v>1.28</v>
      </c>
      <c r="T24" s="1243" t="n">
        <v>1.27</v>
      </c>
      <c r="U24" s="1243" t="n">
        <v>0.01</v>
      </c>
      <c r="V24" s="1243" t="n">
        <v>0.01</v>
      </c>
      <c r="W24" s="1243" t="n">
        <v>0</v>
      </c>
      <c r="X24" s="1243" t="n">
        <v>0</v>
      </c>
      <c r="Y24" s="1243" t="n">
        <v>0.78</v>
      </c>
      <c r="Z24" s="1243" t="n">
        <v>0.78</v>
      </c>
      <c r="AA24" s="1243" t="n">
        <v>276.73</v>
      </c>
      <c r="AB24" s="1243" t="n">
        <v>277.13</v>
      </c>
      <c r="AC24" s="1243" t="n">
        <v>21.25</v>
      </c>
      <c r="AD24" s="1243" t="n">
        <v>21.45</v>
      </c>
      <c r="AE24" s="840" t="s">
        <v>222</v>
      </c>
      <c r="AF24" s="1243" t="n">
        <v>0.06</v>
      </c>
      <c r="AG24" s="1243" t="n">
        <v>0.06</v>
      </c>
      <c r="AH24" s="1243" t="n">
        <v>0.8</v>
      </c>
      <c r="AI24" s="1243" t="n">
        <v>0.8</v>
      </c>
      <c r="AJ24" s="1243" t="n">
        <v>60.19</v>
      </c>
      <c r="AK24" s="1243" t="n">
        <v>59.83</v>
      </c>
      <c r="AL24" s="1243" t="n">
        <v>10.68</v>
      </c>
      <c r="AM24" s="1243" t="n">
        <v>10.55</v>
      </c>
      <c r="AN24" s="1243" t="n">
        <v>215.48</v>
      </c>
      <c r="AO24" s="1243" t="n">
        <v>215.48</v>
      </c>
      <c r="AP24" s="1243" t="n">
        <v>0.74</v>
      </c>
      <c r="AQ24" s="1243" t="n">
        <v>0.72</v>
      </c>
      <c r="AR24" s="1243" t="n">
        <v>1.59</v>
      </c>
      <c r="AS24" s="1243" t="n">
        <v>1.59</v>
      </c>
      <c r="AT24" s="840" t="s">
        <v>222</v>
      </c>
      <c r="AU24" s="1243" t="n">
        <v>22.77</v>
      </c>
      <c r="AV24" s="1243" t="n">
        <v>22.78</v>
      </c>
      <c r="AW24" s="1243" t="n">
        <v>1.46</v>
      </c>
      <c r="AX24" s="1243" t="n">
        <v>1.44</v>
      </c>
      <c r="AY24" s="1243" t="n">
        <v>22.12</v>
      </c>
      <c r="AZ24" s="1243" t="n">
        <v>22.12</v>
      </c>
      <c r="BA24" s="1243" t="n">
        <v>0.08</v>
      </c>
      <c r="BB24" s="1243" t="n">
        <v>0.08</v>
      </c>
      <c r="BC24" s="1243" t="n">
        <v>63.07</v>
      </c>
      <c r="BD24" s="1243" t="n">
        <v>63.24</v>
      </c>
      <c r="BE24" s="1243" t="n">
        <v>10.08</v>
      </c>
      <c r="BF24" s="1243" t="n">
        <v>9.94</v>
      </c>
      <c r="BG24" s="1243" t="n">
        <v>0.53</v>
      </c>
      <c r="BH24" s="1243" t="n">
        <v>0.53</v>
      </c>
      <c r="BI24" s="840" t="s">
        <v>222</v>
      </c>
      <c r="BJ24" s="1243" t="n">
        <v>87.58</v>
      </c>
      <c r="BK24" s="1243" t="n">
        <v>86.71</v>
      </c>
      <c r="BL24" s="1243" t="n">
        <v>0.16</v>
      </c>
      <c r="BM24" s="1243" t="n">
        <v>0.16</v>
      </c>
      <c r="BN24" s="1243" t="n">
        <v>120.49</v>
      </c>
      <c r="BO24" s="1243" t="n">
        <v>120.6</v>
      </c>
      <c r="BP24" s="1243" t="n">
        <v>2.65</v>
      </c>
      <c r="BQ24" s="1243" t="n">
        <v>2.65</v>
      </c>
      <c r="BR24" s="1243" t="n">
        <v>22.59</v>
      </c>
      <c r="BS24" s="1243" t="n">
        <v>22.59</v>
      </c>
      <c r="BT24" s="1243" t="n">
        <v>82.96</v>
      </c>
      <c r="BU24" s="1243" t="n">
        <v>82.96</v>
      </c>
      <c r="BV24" s="1243" t="n">
        <v>115.87</v>
      </c>
      <c r="BW24" s="1243" t="n">
        <v>116.79</v>
      </c>
    </row>
    <row r="25" s="187" customFormat="true" ht="9.75" hidden="false" customHeight="true" outlineLevel="0" collapsed="false">
      <c r="A25" s="842" t="s">
        <v>223</v>
      </c>
      <c r="B25" s="198" t="n">
        <v>63.81</v>
      </c>
      <c r="C25" s="198" t="n">
        <v>62.92</v>
      </c>
      <c r="D25" s="198" t="n">
        <v>82.97</v>
      </c>
      <c r="E25" s="198" t="n">
        <v>82.98</v>
      </c>
      <c r="F25" s="198" t="n">
        <v>220.06</v>
      </c>
      <c r="G25" s="198" t="n">
        <v>220.08</v>
      </c>
      <c r="H25" s="198" t="n">
        <v>65.14</v>
      </c>
      <c r="I25" s="198" t="n">
        <v>64.69</v>
      </c>
      <c r="J25" s="198" t="n">
        <v>13.17</v>
      </c>
      <c r="K25" s="198" t="n">
        <v>13.09</v>
      </c>
      <c r="L25" s="198" t="n">
        <v>13.69</v>
      </c>
      <c r="M25" s="198" t="n">
        <v>13.51</v>
      </c>
      <c r="N25" s="198" t="n">
        <v>101.97</v>
      </c>
      <c r="O25" s="198" t="n">
        <v>100.65</v>
      </c>
      <c r="P25" s="842" t="s">
        <v>223</v>
      </c>
      <c r="Q25" s="198" t="n">
        <v>10.57</v>
      </c>
      <c r="R25" s="198" t="n">
        <v>10.57</v>
      </c>
      <c r="S25" s="198" t="n">
        <v>1.26</v>
      </c>
      <c r="T25" s="198" t="n">
        <v>1.25</v>
      </c>
      <c r="U25" s="198" t="n">
        <v>0.01</v>
      </c>
      <c r="V25" s="198" t="n">
        <v>0.01</v>
      </c>
      <c r="W25" s="198" t="n">
        <v>0</v>
      </c>
      <c r="X25" s="198" t="n">
        <v>0</v>
      </c>
      <c r="Y25" s="198" t="n">
        <v>0.77</v>
      </c>
      <c r="Z25" s="198" t="n">
        <v>0.76</v>
      </c>
      <c r="AA25" s="198" t="n">
        <v>276.52</v>
      </c>
      <c r="AB25" s="198" t="n">
        <v>275.68</v>
      </c>
      <c r="AC25" s="198" t="n">
        <v>21.35</v>
      </c>
      <c r="AD25" s="198" t="n">
        <v>21.17</v>
      </c>
      <c r="AE25" s="842" t="s">
        <v>223</v>
      </c>
      <c r="AF25" s="198" t="n">
        <v>0.06</v>
      </c>
      <c r="AG25" s="198" t="n">
        <v>0.06</v>
      </c>
      <c r="AH25" s="198" t="n">
        <v>0.79</v>
      </c>
      <c r="AI25" s="198" t="n">
        <v>0.78</v>
      </c>
      <c r="AJ25" s="198" t="n">
        <v>60.17</v>
      </c>
      <c r="AK25" s="198" t="n">
        <v>58.79</v>
      </c>
      <c r="AL25" s="198" t="n">
        <v>10.59</v>
      </c>
      <c r="AM25" s="198" t="n">
        <v>10.43</v>
      </c>
      <c r="AN25" s="198" t="n">
        <v>215.52</v>
      </c>
      <c r="AO25" s="198" t="n">
        <v>215.53</v>
      </c>
      <c r="AP25" s="198" t="n">
        <v>0.72</v>
      </c>
      <c r="AQ25" s="198" t="n">
        <v>0.72</v>
      </c>
      <c r="AR25" s="198" t="n">
        <v>1.59</v>
      </c>
      <c r="AS25" s="198" t="n">
        <v>1.6</v>
      </c>
      <c r="AT25" s="842" t="s">
        <v>223</v>
      </c>
      <c r="AU25" s="198" t="n">
        <v>22.79</v>
      </c>
      <c r="AV25" s="198" t="n">
        <v>22.79</v>
      </c>
      <c r="AW25" s="198" t="n">
        <v>1.37</v>
      </c>
      <c r="AX25" s="198" t="n">
        <v>1.33</v>
      </c>
      <c r="AY25" s="198" t="n">
        <v>22.13</v>
      </c>
      <c r="AZ25" s="198" t="n">
        <v>22.13</v>
      </c>
      <c r="BA25" s="198" t="n">
        <v>0.08</v>
      </c>
      <c r="BB25" s="198" t="n">
        <v>0.08</v>
      </c>
      <c r="BC25" s="198" t="n">
        <v>63.1</v>
      </c>
      <c r="BD25" s="198" t="n">
        <v>62.69</v>
      </c>
      <c r="BE25" s="198" t="n">
        <v>9.84</v>
      </c>
      <c r="BF25" s="198" t="n">
        <v>9.57</v>
      </c>
      <c r="BG25" s="198" t="n">
        <v>0.53</v>
      </c>
      <c r="BH25" s="198" t="n">
        <v>0.53</v>
      </c>
      <c r="BI25" s="842" t="s">
        <v>223</v>
      </c>
      <c r="BJ25" s="198" t="n">
        <v>85.86</v>
      </c>
      <c r="BK25" s="198" t="n">
        <v>84</v>
      </c>
      <c r="BL25" s="198" t="n">
        <v>0.16</v>
      </c>
      <c r="BM25" s="198" t="n">
        <v>0.16</v>
      </c>
      <c r="BN25" s="198" t="n">
        <v>120.41</v>
      </c>
      <c r="BO25" s="198" t="n">
        <v>119.31</v>
      </c>
      <c r="BP25" s="198" t="n">
        <v>2.65</v>
      </c>
      <c r="BQ25" s="198" t="n">
        <v>2.63</v>
      </c>
      <c r="BR25" s="198" t="n">
        <v>22.59</v>
      </c>
      <c r="BS25" s="198" t="n">
        <v>22.59</v>
      </c>
      <c r="BT25" s="198" t="n">
        <v>82.97</v>
      </c>
      <c r="BU25" s="198" t="n">
        <v>82.98</v>
      </c>
      <c r="BV25" s="198" t="n">
        <v>116.81</v>
      </c>
      <c r="BW25" s="198" t="n">
        <v>114.35</v>
      </c>
    </row>
    <row r="26" s="187" customFormat="true" ht="11.85" hidden="false" customHeight="true" outlineLevel="0" collapsed="false">
      <c r="A26" s="840" t="s">
        <v>224</v>
      </c>
      <c r="B26" s="1243" t="n">
        <v>62.74</v>
      </c>
      <c r="C26" s="1243" t="n">
        <v>63.42</v>
      </c>
      <c r="D26" s="1243" t="n">
        <v>83.38</v>
      </c>
      <c r="E26" s="1243" t="n">
        <v>83.7</v>
      </c>
      <c r="F26" s="1243" t="n">
        <v>220.98</v>
      </c>
      <c r="G26" s="1243" t="n">
        <v>221.66</v>
      </c>
      <c r="H26" s="1243" t="n">
        <v>64.8</v>
      </c>
      <c r="I26" s="1243" t="n">
        <v>65.02</v>
      </c>
      <c r="J26" s="1243" t="n">
        <v>13.08</v>
      </c>
      <c r="K26" s="1243" t="n">
        <v>13.05</v>
      </c>
      <c r="L26" s="1243" t="n">
        <v>13.23</v>
      </c>
      <c r="M26" s="1243" t="n">
        <v>13.12</v>
      </c>
      <c r="N26" s="1243" t="n">
        <v>98.51</v>
      </c>
      <c r="O26" s="1243" t="n">
        <v>97.62</v>
      </c>
      <c r="P26" s="840" t="s">
        <v>224</v>
      </c>
      <c r="Q26" s="1243" t="n">
        <v>10.62</v>
      </c>
      <c r="R26" s="1243" t="n">
        <v>10.67</v>
      </c>
      <c r="S26" s="1243" t="n">
        <v>1.23</v>
      </c>
      <c r="T26" s="1243" t="n">
        <v>1.24</v>
      </c>
      <c r="U26" s="1243" t="n">
        <v>0.01</v>
      </c>
      <c r="V26" s="1243" t="n">
        <v>0.01</v>
      </c>
      <c r="W26" s="1243" t="n">
        <v>0</v>
      </c>
      <c r="X26" s="1243" t="n">
        <v>0</v>
      </c>
      <c r="Y26" s="1243" t="n">
        <v>0.76</v>
      </c>
      <c r="Z26" s="1243" t="n">
        <v>0.77</v>
      </c>
      <c r="AA26" s="1243" t="n">
        <v>276.32</v>
      </c>
      <c r="AB26" s="1243" t="n">
        <v>276.74</v>
      </c>
      <c r="AC26" s="1243" t="n">
        <v>21.04</v>
      </c>
      <c r="AD26" s="1243" t="n">
        <v>21.04</v>
      </c>
      <c r="AE26" s="840" t="s">
        <v>224</v>
      </c>
      <c r="AF26" s="1243" t="n">
        <v>0.06</v>
      </c>
      <c r="AG26" s="1243" t="n">
        <v>0.06</v>
      </c>
      <c r="AH26" s="1243" t="n">
        <v>0.77</v>
      </c>
      <c r="AI26" s="1243" t="n">
        <v>0.78</v>
      </c>
      <c r="AJ26" s="1243" t="n">
        <v>57.92</v>
      </c>
      <c r="AK26" s="1243" t="n">
        <v>58.49</v>
      </c>
      <c r="AL26" s="1243" t="n">
        <v>10.29</v>
      </c>
      <c r="AM26" s="1243" t="n">
        <v>10.23</v>
      </c>
      <c r="AN26" s="1243" t="n">
        <v>216.44</v>
      </c>
      <c r="AO26" s="1243" t="n">
        <v>217.4</v>
      </c>
      <c r="AP26" s="1243" t="n">
        <v>0.72</v>
      </c>
      <c r="AQ26" s="1243" t="n">
        <v>0.72</v>
      </c>
      <c r="AR26" s="1243" t="n">
        <v>1.6</v>
      </c>
      <c r="AS26" s="1243" t="n">
        <v>1.59</v>
      </c>
      <c r="AT26" s="840" t="s">
        <v>224</v>
      </c>
      <c r="AU26" s="1243" t="n">
        <v>22.9</v>
      </c>
      <c r="AV26" s="1243" t="n">
        <v>22.99</v>
      </c>
      <c r="AW26" s="1243" t="n">
        <v>1.34</v>
      </c>
      <c r="AX26" s="1243" t="n">
        <v>1.35</v>
      </c>
      <c r="AY26" s="1243" t="n">
        <v>22.23</v>
      </c>
      <c r="AZ26" s="1243" t="n">
        <v>22.32</v>
      </c>
      <c r="BA26" s="1243" t="n">
        <v>0.08</v>
      </c>
      <c r="BB26" s="1243" t="n">
        <v>0.08</v>
      </c>
      <c r="BC26" s="1243" t="n">
        <v>62.22</v>
      </c>
      <c r="BD26" s="1243" t="n">
        <v>62.5</v>
      </c>
      <c r="BE26" s="1243" t="n">
        <v>9.52</v>
      </c>
      <c r="BF26" s="1243" t="n">
        <v>9.5</v>
      </c>
      <c r="BG26" s="1243" t="n">
        <v>0.53</v>
      </c>
      <c r="BH26" s="1243" t="n">
        <v>0.53</v>
      </c>
      <c r="BI26" s="840" t="s">
        <v>224</v>
      </c>
      <c r="BJ26" s="1243" t="n">
        <v>83.55</v>
      </c>
      <c r="BK26" s="1243" t="n">
        <v>84.61</v>
      </c>
      <c r="BL26" s="1243" t="n">
        <v>0.16</v>
      </c>
      <c r="BM26" s="1243" t="n">
        <v>0.16</v>
      </c>
      <c r="BN26" s="1243" t="n">
        <v>118.41</v>
      </c>
      <c r="BO26" s="1243" t="n">
        <v>118.37</v>
      </c>
      <c r="BP26" s="1243" t="n">
        <v>2.61</v>
      </c>
      <c r="BQ26" s="1243" t="n">
        <v>2.62</v>
      </c>
      <c r="BR26" s="1243" t="n">
        <v>22.7</v>
      </c>
      <c r="BS26" s="1243" t="n">
        <v>22.79</v>
      </c>
      <c r="BT26" s="1243" t="n">
        <v>83.38</v>
      </c>
      <c r="BU26" s="1243" t="n">
        <v>83.7</v>
      </c>
      <c r="BV26" s="1243" t="n">
        <v>112.28</v>
      </c>
      <c r="BW26" s="1243" t="n">
        <v>111.25</v>
      </c>
    </row>
    <row r="27" s="187" customFormat="true" ht="10.5" hidden="false" customHeight="true" outlineLevel="0" collapsed="false">
      <c r="A27" s="842" t="s">
        <v>225</v>
      </c>
      <c r="B27" s="198" t="n">
        <v>62.87</v>
      </c>
      <c r="C27" s="198" t="n">
        <v>61.58</v>
      </c>
      <c r="D27" s="198" t="n">
        <v>83.7</v>
      </c>
      <c r="E27" s="198" t="n">
        <v>83.73</v>
      </c>
      <c r="F27" s="198" t="n">
        <v>221.36</v>
      </c>
      <c r="G27" s="198" t="n">
        <v>221.47</v>
      </c>
      <c r="H27" s="198" t="n">
        <v>63.91</v>
      </c>
      <c r="I27" s="198" t="n">
        <v>63.21</v>
      </c>
      <c r="J27" s="198" t="n">
        <v>12.98</v>
      </c>
      <c r="K27" s="198" t="n">
        <v>12.65</v>
      </c>
      <c r="L27" s="198" t="n">
        <v>13.13</v>
      </c>
      <c r="M27" s="198" t="n">
        <v>13</v>
      </c>
      <c r="N27" s="198" t="n">
        <v>97.79</v>
      </c>
      <c r="O27" s="198" t="n">
        <v>96.86</v>
      </c>
      <c r="P27" s="842" t="s">
        <v>225</v>
      </c>
      <c r="Q27" s="198" t="n">
        <v>10.67</v>
      </c>
      <c r="R27" s="198" t="n">
        <v>10.67</v>
      </c>
      <c r="S27" s="198" t="n">
        <v>1.24</v>
      </c>
      <c r="T27" s="198" t="n">
        <v>1.22</v>
      </c>
      <c r="U27" s="198" t="n">
        <v>0.01</v>
      </c>
      <c r="V27" s="198" t="n">
        <v>0.01</v>
      </c>
      <c r="W27" s="198" t="n">
        <v>0</v>
      </c>
      <c r="X27" s="198" t="n">
        <v>0</v>
      </c>
      <c r="Y27" s="198" t="n">
        <v>0.76</v>
      </c>
      <c r="Z27" s="198" t="n">
        <v>0.76</v>
      </c>
      <c r="AA27" s="198" t="n">
        <v>276.81</v>
      </c>
      <c r="AB27" s="198" t="n">
        <v>276.82</v>
      </c>
      <c r="AC27" s="198" t="n">
        <v>20.94</v>
      </c>
      <c r="AD27" s="198" t="n">
        <v>20.74</v>
      </c>
      <c r="AE27" s="842" t="s">
        <v>225</v>
      </c>
      <c r="AF27" s="198" t="n">
        <v>0.06</v>
      </c>
      <c r="AG27" s="198" t="n">
        <v>0.06</v>
      </c>
      <c r="AH27" s="198" t="n">
        <v>0.77</v>
      </c>
      <c r="AI27" s="198" t="n">
        <v>0.77</v>
      </c>
      <c r="AJ27" s="198" t="n">
        <v>58.22</v>
      </c>
      <c r="AK27" s="198" t="n">
        <v>56.56</v>
      </c>
      <c r="AL27" s="198" t="n">
        <v>10.31</v>
      </c>
      <c r="AM27" s="198" t="n">
        <v>10.22</v>
      </c>
      <c r="AN27" s="198" t="n">
        <v>217.41</v>
      </c>
      <c r="AO27" s="198" t="n">
        <v>217.47</v>
      </c>
      <c r="AP27" s="198" t="n">
        <v>0.71</v>
      </c>
      <c r="AQ27" s="198" t="n">
        <v>0.69</v>
      </c>
      <c r="AR27" s="198" t="n">
        <v>1.58</v>
      </c>
      <c r="AS27" s="198" t="n">
        <v>1.57</v>
      </c>
      <c r="AT27" s="842" t="s">
        <v>225</v>
      </c>
      <c r="AU27" s="198" t="n">
        <v>22.99</v>
      </c>
      <c r="AV27" s="198" t="n">
        <v>23</v>
      </c>
      <c r="AW27" s="198" t="n">
        <v>1.33</v>
      </c>
      <c r="AX27" s="198" t="n">
        <v>1.33</v>
      </c>
      <c r="AY27" s="198" t="n">
        <v>22.32</v>
      </c>
      <c r="AZ27" s="198" t="n">
        <v>22.32</v>
      </c>
      <c r="BA27" s="198" t="n">
        <v>0.08</v>
      </c>
      <c r="BB27" s="198" t="n">
        <v>0.08</v>
      </c>
      <c r="BC27" s="198" t="n">
        <v>62.16</v>
      </c>
      <c r="BD27" s="198" t="n">
        <v>61.21</v>
      </c>
      <c r="BE27" s="198" t="n">
        <v>9.52</v>
      </c>
      <c r="BF27" s="198" t="n">
        <v>9.34</v>
      </c>
      <c r="BG27" s="198" t="n">
        <v>0.53</v>
      </c>
      <c r="BH27" s="198" t="n">
        <v>0.53</v>
      </c>
      <c r="BI27" s="842" t="s">
        <v>225</v>
      </c>
      <c r="BJ27" s="198" t="n">
        <v>84.58</v>
      </c>
      <c r="BK27" s="198" t="n">
        <v>83.94</v>
      </c>
      <c r="BL27" s="198" t="n">
        <v>0.16</v>
      </c>
      <c r="BM27" s="198" t="n">
        <v>0.16</v>
      </c>
      <c r="BN27" s="198" t="n">
        <v>118.41</v>
      </c>
      <c r="BO27" s="198" t="n">
        <v>117.62</v>
      </c>
      <c r="BP27" s="198" t="n">
        <v>2.58</v>
      </c>
      <c r="BQ27" s="198" t="n">
        <v>2.53</v>
      </c>
      <c r="BR27" s="198" t="n">
        <v>22.79</v>
      </c>
      <c r="BS27" s="198" t="n">
        <v>22.79</v>
      </c>
      <c r="BT27" s="198" t="n">
        <v>83.7</v>
      </c>
      <c r="BU27" s="198" t="n">
        <v>83.73</v>
      </c>
      <c r="BV27" s="198" t="n">
        <v>111.3</v>
      </c>
      <c r="BW27" s="198" t="n">
        <v>109.5</v>
      </c>
    </row>
    <row r="28" s="187" customFormat="true" ht="9.75" hidden="false" customHeight="true" outlineLevel="0" collapsed="false">
      <c r="A28" s="475" t="s">
        <v>226</v>
      </c>
      <c r="B28" s="203" t="n">
        <v>60.13044</v>
      </c>
      <c r="C28" s="203" t="n">
        <f aca="false">C40</f>
        <v>59.32</v>
      </c>
      <c r="D28" s="203" t="n">
        <v>84.026286</v>
      </c>
      <c r="E28" s="203" t="n">
        <f aca="false">E40</f>
        <v>84.5</v>
      </c>
      <c r="F28" s="203" t="n">
        <v>222.777088</v>
      </c>
      <c r="G28" s="203" t="n">
        <f aca="false">G40</f>
        <v>224.14</v>
      </c>
      <c r="H28" s="203" t="n">
        <v>63.498503</v>
      </c>
      <c r="I28" s="203" t="n">
        <f aca="false">I40</f>
        <v>64.54</v>
      </c>
      <c r="J28" s="203" t="n">
        <v>12.329136</v>
      </c>
      <c r="K28" s="203" t="n">
        <f aca="false">K40</f>
        <v>12.29</v>
      </c>
      <c r="L28" s="203" t="n">
        <v>12.848271</v>
      </c>
      <c r="M28" s="203" t="n">
        <f aca="false">M40</f>
        <v>12.87</v>
      </c>
      <c r="N28" s="203" t="n">
        <v>95.877876</v>
      </c>
      <c r="O28" s="203" t="n">
        <f aca="false">O40</f>
        <v>96.08</v>
      </c>
      <c r="P28" s="475" t="s">
        <v>226</v>
      </c>
      <c r="Q28" s="203" t="n">
        <v>10.717393</v>
      </c>
      <c r="R28" s="203" t="n">
        <f aca="false">R40</f>
        <v>10.82</v>
      </c>
      <c r="S28" s="203" t="n">
        <v>1.191682</v>
      </c>
      <c r="T28" s="203" t="n">
        <f aca="false">T40</f>
        <v>1.23</v>
      </c>
      <c r="U28" s="203" t="n">
        <v>0.005818</v>
      </c>
      <c r="V28" s="203" t="n">
        <f aca="false">V40</f>
        <v>0.01</v>
      </c>
      <c r="W28" s="203" t="n">
        <v>0.001994</v>
      </c>
      <c r="X28" s="203" t="n">
        <f aca="false">X40</f>
        <v>0</v>
      </c>
      <c r="Y28" s="203" t="n">
        <v>0.756383</v>
      </c>
      <c r="Z28" s="203" t="n">
        <f aca="false">Z40</f>
        <v>0.78</v>
      </c>
      <c r="AA28" s="203" t="n">
        <v>276.783874</v>
      </c>
      <c r="AB28" s="203" t="n">
        <f aca="false">AB40</f>
        <v>278.46</v>
      </c>
      <c r="AC28" s="203" t="n">
        <v>20.365683</v>
      </c>
      <c r="AD28" s="203" t="n">
        <f aca="false">AD40</f>
        <v>20.45</v>
      </c>
      <c r="AE28" s="475" t="s">
        <v>226</v>
      </c>
      <c r="AF28" s="203" t="n">
        <v>0.054909</v>
      </c>
      <c r="AG28" s="203" t="n">
        <f aca="false">AG40</f>
        <v>0.06</v>
      </c>
      <c r="AH28" s="203" t="n">
        <v>0.738479</v>
      </c>
      <c r="AI28" s="203" t="n">
        <f aca="false">AI40</f>
        <v>0.74</v>
      </c>
      <c r="AJ28" s="203" t="n">
        <v>56.357278</v>
      </c>
      <c r="AK28" s="203" t="n">
        <f aca="false">AK40</f>
        <v>56.78</v>
      </c>
      <c r="AL28" s="203" t="n">
        <v>9.920866</v>
      </c>
      <c r="AM28" s="203" t="n">
        <f aca="false">AM40</f>
        <v>9.9</v>
      </c>
      <c r="AN28" s="203" t="n">
        <v>218.257195</v>
      </c>
      <c r="AO28" s="203" t="n">
        <f aca="false">AO40</f>
        <v>219.48</v>
      </c>
      <c r="AP28" s="203" t="n">
        <v>0.619637</v>
      </c>
      <c r="AQ28" s="203" t="n">
        <f aca="false">AQ40</f>
        <v>0.52</v>
      </c>
      <c r="AR28" s="203" t="n">
        <v>1.591913</v>
      </c>
      <c r="AS28" s="203" t="n">
        <f aca="false">AS40</f>
        <v>1.65</v>
      </c>
      <c r="AT28" s="475" t="s">
        <v>226</v>
      </c>
      <c r="AU28" s="203" t="n">
        <v>23.075112</v>
      </c>
      <c r="AV28" s="203" t="n">
        <f aca="false">AV40</f>
        <v>23.21</v>
      </c>
      <c r="AW28" s="203" t="n">
        <v>1.280495</v>
      </c>
      <c r="AX28" s="203" t="n">
        <f aca="false">AX40</f>
        <v>1.34</v>
      </c>
      <c r="AY28" s="203" t="n">
        <v>22.402845</v>
      </c>
      <c r="AZ28" s="203" t="n">
        <f aca="false">AZ40</f>
        <v>22.53</v>
      </c>
      <c r="BA28" s="203" t="n">
        <v>0.074062</v>
      </c>
      <c r="BB28" s="203" t="n">
        <f aca="false">BB40</f>
        <v>0.07</v>
      </c>
      <c r="BC28" s="203" t="n">
        <v>61.545448</v>
      </c>
      <c r="BD28" s="203" t="n">
        <f aca="false">BD40</f>
        <v>62.47</v>
      </c>
      <c r="BE28" s="203" t="n">
        <v>9.190067</v>
      </c>
      <c r="BF28" s="203" t="n">
        <f aca="false">BF40</f>
        <v>9.1</v>
      </c>
      <c r="BG28" s="203" t="n">
        <v>0.486218</v>
      </c>
      <c r="BH28" s="203" t="n">
        <f aca="false">BH40</f>
        <v>0.48</v>
      </c>
      <c r="BI28" s="888" t="s">
        <v>226</v>
      </c>
      <c r="BJ28" s="203" t="n">
        <v>84.462277</v>
      </c>
      <c r="BK28" s="203" t="n">
        <f aca="false">BK40</f>
        <v>86.56</v>
      </c>
      <c r="BL28" s="203" t="n">
        <v>0.163063</v>
      </c>
      <c r="BM28" s="203" t="n">
        <f aca="false">BM40</f>
        <v>0.16</v>
      </c>
      <c r="BN28" s="203" t="n">
        <v>116.893812</v>
      </c>
      <c r="BO28" s="203" t="n">
        <f aca="false">BO40</f>
        <v>117.48</v>
      </c>
      <c r="BP28" s="203" t="n">
        <v>2.605225</v>
      </c>
      <c r="BQ28" s="203" t="n">
        <f aca="false">BQ40</f>
        <v>2.75</v>
      </c>
      <c r="BR28" s="203" t="n">
        <v>22.875958</v>
      </c>
      <c r="BS28" s="203" t="n">
        <f aca="false">BS40</f>
        <v>23</v>
      </c>
      <c r="BT28" s="203" t="n">
        <v>84.026286</v>
      </c>
      <c r="BU28" s="203" t="n">
        <f aca="false">BU40</f>
        <v>84.5</v>
      </c>
      <c r="BV28" s="203" t="n">
        <v>108.799833</v>
      </c>
      <c r="BW28" s="203" t="n">
        <f aca="false">BW40</f>
        <v>107.27</v>
      </c>
    </row>
    <row r="29" s="187" customFormat="true" ht="11.85" hidden="false" customHeight="true" outlineLevel="0" collapsed="false">
      <c r="A29" s="889" t="s">
        <v>214</v>
      </c>
      <c r="B29" s="198" t="n">
        <v>62.05</v>
      </c>
      <c r="C29" s="198" t="n">
        <v>62.03</v>
      </c>
      <c r="D29" s="198" t="n">
        <v>83.75</v>
      </c>
      <c r="E29" s="198" t="n">
        <v>83.75</v>
      </c>
      <c r="F29" s="198" t="n">
        <v>221.25</v>
      </c>
      <c r="G29" s="198" t="n">
        <v>221.59</v>
      </c>
      <c r="H29" s="198" t="n">
        <v>63.78</v>
      </c>
      <c r="I29" s="198" t="n">
        <v>64.25</v>
      </c>
      <c r="J29" s="198" t="n">
        <v>12.5</v>
      </c>
      <c r="K29" s="198" t="n">
        <v>12.29</v>
      </c>
      <c r="L29" s="198" t="n">
        <v>13.14</v>
      </c>
      <c r="M29" s="198" t="n">
        <v>13.16</v>
      </c>
      <c r="N29" s="198" t="n">
        <v>97.9</v>
      </c>
      <c r="O29" s="198" t="n">
        <v>98.04</v>
      </c>
      <c r="P29" s="889" t="s">
        <v>214</v>
      </c>
      <c r="Q29" s="198" t="n">
        <v>10.67</v>
      </c>
      <c r="R29" s="198" t="n">
        <v>10.67</v>
      </c>
      <c r="S29" s="198" t="n">
        <v>1.22</v>
      </c>
      <c r="T29" s="198" t="n">
        <v>1.22</v>
      </c>
      <c r="U29" s="198" t="n">
        <v>0.01</v>
      </c>
      <c r="V29" s="198" t="n">
        <v>0.01</v>
      </c>
      <c r="W29" s="198" t="n">
        <v>0</v>
      </c>
      <c r="X29" s="198" t="n">
        <v>0</v>
      </c>
      <c r="Y29" s="198" t="n">
        <v>0.75</v>
      </c>
      <c r="Z29" s="198" t="n">
        <v>0.75</v>
      </c>
      <c r="AA29" s="198" t="n">
        <v>276.63</v>
      </c>
      <c r="AB29" s="198" t="n">
        <v>276.68</v>
      </c>
      <c r="AC29" s="198" t="n">
        <v>20.68</v>
      </c>
      <c r="AD29" s="198" t="n">
        <v>20.63</v>
      </c>
      <c r="AE29" s="889" t="s">
        <v>214</v>
      </c>
      <c r="AF29" s="198" t="n">
        <v>0.06</v>
      </c>
      <c r="AG29" s="198" t="n">
        <v>0.06</v>
      </c>
      <c r="AH29" s="198" t="n">
        <v>0.76</v>
      </c>
      <c r="AI29" s="198" t="n">
        <v>0.76</v>
      </c>
      <c r="AJ29" s="198" t="n">
        <v>56.87</v>
      </c>
      <c r="AK29" s="198" t="n">
        <v>57.14</v>
      </c>
      <c r="AL29" s="198" t="n">
        <v>10.3</v>
      </c>
      <c r="AM29" s="198" t="n">
        <v>10.3</v>
      </c>
      <c r="AN29" s="198" t="n">
        <v>217.55</v>
      </c>
      <c r="AO29" s="198" t="n">
        <v>217.56</v>
      </c>
      <c r="AP29" s="198" t="n">
        <v>0.67</v>
      </c>
      <c r="AQ29" s="198" t="n">
        <v>0.69</v>
      </c>
      <c r="AR29" s="198" t="n">
        <v>1.57</v>
      </c>
      <c r="AS29" s="198" t="n">
        <v>1.58</v>
      </c>
      <c r="AT29" s="889" t="s">
        <v>214</v>
      </c>
      <c r="AU29" s="198" t="n">
        <v>22.99</v>
      </c>
      <c r="AV29" s="198" t="n">
        <v>23</v>
      </c>
      <c r="AW29" s="198" t="n">
        <v>1.33</v>
      </c>
      <c r="AX29" s="198" t="n">
        <v>1.34</v>
      </c>
      <c r="AY29" s="198" t="n">
        <v>22.33</v>
      </c>
      <c r="AZ29" s="198" t="n">
        <v>22.33</v>
      </c>
      <c r="BA29" s="198" t="n">
        <v>0.07</v>
      </c>
      <c r="BB29" s="198" t="n">
        <v>0.07</v>
      </c>
      <c r="BC29" s="198" t="n">
        <v>61.46</v>
      </c>
      <c r="BD29" s="198" t="n">
        <v>61.54</v>
      </c>
      <c r="BE29" s="198" t="n">
        <v>9.49</v>
      </c>
      <c r="BF29" s="198" t="n">
        <v>9.56</v>
      </c>
      <c r="BG29" s="198" t="n">
        <v>0.53</v>
      </c>
      <c r="BH29" s="198" t="n">
        <v>0.52</v>
      </c>
      <c r="BI29" s="889" t="s">
        <v>214</v>
      </c>
      <c r="BJ29" s="198" t="n">
        <v>84.25</v>
      </c>
      <c r="BK29" s="198" t="n">
        <v>84.74</v>
      </c>
      <c r="BL29" s="198" t="n">
        <v>0.16</v>
      </c>
      <c r="BM29" s="198" t="n">
        <v>0.16</v>
      </c>
      <c r="BN29" s="198" t="n">
        <v>117.67</v>
      </c>
      <c r="BO29" s="198" t="n">
        <v>117.53</v>
      </c>
      <c r="BP29" s="198" t="n">
        <v>2.52</v>
      </c>
      <c r="BQ29" s="198" t="n">
        <v>2.51</v>
      </c>
      <c r="BR29" s="198" t="n">
        <v>22.8</v>
      </c>
      <c r="BS29" s="198" t="n">
        <v>22.8</v>
      </c>
      <c r="BT29" s="198" t="n">
        <v>83.75</v>
      </c>
      <c r="BU29" s="198" t="n">
        <v>83.75</v>
      </c>
      <c r="BV29" s="198" t="n">
        <v>110.4</v>
      </c>
      <c r="BW29" s="198" t="n">
        <v>109.99</v>
      </c>
    </row>
    <row r="30" s="187" customFormat="true" ht="11.25" hidden="false" customHeight="true" outlineLevel="0" collapsed="false">
      <c r="A30" s="890" t="s">
        <v>215</v>
      </c>
      <c r="B30" s="1537" t="n">
        <v>61.48</v>
      </c>
      <c r="C30" s="1537" t="n">
        <v>61.23</v>
      </c>
      <c r="D30" s="1537" t="n">
        <v>83.75</v>
      </c>
      <c r="E30" s="1537" t="n">
        <v>83.75</v>
      </c>
      <c r="F30" s="1537" t="n">
        <v>221.88</v>
      </c>
      <c r="G30" s="1537" t="n">
        <v>222.03</v>
      </c>
      <c r="H30" s="1537" t="n">
        <v>64.24</v>
      </c>
      <c r="I30" s="708" t="n">
        <v>64.9</v>
      </c>
      <c r="J30" s="1537" t="n">
        <v>12.23</v>
      </c>
      <c r="K30" s="708" t="n">
        <v>12.3</v>
      </c>
      <c r="L30" s="1537" t="n">
        <v>12.98</v>
      </c>
      <c r="M30" s="1537" t="n">
        <v>13.15</v>
      </c>
      <c r="N30" s="1537" t="n">
        <v>96.74</v>
      </c>
      <c r="O30" s="1537" t="n">
        <v>98.05</v>
      </c>
      <c r="P30" s="890" t="s">
        <v>215</v>
      </c>
      <c r="Q30" s="1243" t="n">
        <v>10.67</v>
      </c>
      <c r="R30" s="1243" t="n">
        <v>10.67</v>
      </c>
      <c r="S30" s="1243" t="n">
        <v>1.21</v>
      </c>
      <c r="T30" s="1243" t="n">
        <v>1.19</v>
      </c>
      <c r="U30" s="1243" t="n">
        <v>0.01</v>
      </c>
      <c r="V30" s="1243" t="n">
        <v>0.01</v>
      </c>
      <c r="W30" s="1243" t="n">
        <v>0</v>
      </c>
      <c r="X30" s="1243" t="n">
        <v>0</v>
      </c>
      <c r="Y30" s="1243" t="n">
        <v>0.75</v>
      </c>
      <c r="Z30" s="1243" t="n">
        <v>0.75</v>
      </c>
      <c r="AA30" s="1243" t="n">
        <v>276.36</v>
      </c>
      <c r="AB30" s="1243" t="n">
        <v>276.72</v>
      </c>
      <c r="AC30" s="1243" t="n">
        <v>20.47</v>
      </c>
      <c r="AD30" s="1243" t="n">
        <v>20.39</v>
      </c>
      <c r="AE30" s="890" t="s">
        <v>215</v>
      </c>
      <c r="AF30" s="1243" t="n">
        <v>0.06</v>
      </c>
      <c r="AG30" s="1243" t="n">
        <v>0.05</v>
      </c>
      <c r="AH30" s="1243" t="n">
        <v>0.75</v>
      </c>
      <c r="AI30" s="1243" t="n">
        <v>0.75</v>
      </c>
      <c r="AJ30" s="1243" t="n">
        <v>55.98</v>
      </c>
      <c r="AK30" s="1243" t="n">
        <v>56.26</v>
      </c>
      <c r="AL30" s="1243" t="n">
        <v>10.06</v>
      </c>
      <c r="AM30" s="1243" t="n">
        <v>10.05</v>
      </c>
      <c r="AN30" s="1243" t="n">
        <v>217.55</v>
      </c>
      <c r="AO30" s="1243" t="n">
        <v>217.53</v>
      </c>
      <c r="AP30" s="1243" t="n">
        <v>0.68</v>
      </c>
      <c r="AQ30" s="1243" t="n">
        <v>0.68</v>
      </c>
      <c r="AR30" s="1243" t="n">
        <v>1.57</v>
      </c>
      <c r="AS30" s="1243" t="n">
        <v>1.57</v>
      </c>
      <c r="AT30" s="890" t="s">
        <v>215</v>
      </c>
      <c r="AU30" s="1243" t="n">
        <v>23</v>
      </c>
      <c r="AV30" s="1243" t="n">
        <v>23</v>
      </c>
      <c r="AW30" s="1243" t="n">
        <v>1.27</v>
      </c>
      <c r="AX30" s="1243" t="n">
        <v>1.23</v>
      </c>
      <c r="AY30" s="1243" t="n">
        <v>22.33</v>
      </c>
      <c r="AZ30" s="1243" t="n">
        <v>22.33</v>
      </c>
      <c r="BA30" s="1243" t="n">
        <v>0.07</v>
      </c>
      <c r="BB30" s="1243" t="n">
        <v>0.08</v>
      </c>
      <c r="BC30" s="1243" t="n">
        <v>61.23</v>
      </c>
      <c r="BD30" s="1243" t="n">
        <v>61.38</v>
      </c>
      <c r="BE30" s="1243" t="n">
        <v>9.25</v>
      </c>
      <c r="BF30" s="1243" t="n">
        <v>9.16</v>
      </c>
      <c r="BG30" s="1243" t="n">
        <v>0.52</v>
      </c>
      <c r="BH30" s="1243" t="n">
        <v>0.52</v>
      </c>
      <c r="BI30" s="890" t="s">
        <v>215</v>
      </c>
      <c r="BJ30" s="1537" t="n">
        <v>84.63</v>
      </c>
      <c r="BK30" s="1537" t="n">
        <v>86.29</v>
      </c>
      <c r="BL30" s="1537" t="n">
        <v>0.16</v>
      </c>
      <c r="BM30" s="1537" t="n">
        <v>0.16</v>
      </c>
      <c r="BN30" s="1537" t="n">
        <v>116.83</v>
      </c>
      <c r="BO30" s="1537" t="n">
        <v>117.44</v>
      </c>
      <c r="BP30" s="1537" t="n">
        <v>2.53</v>
      </c>
      <c r="BQ30" s="1537" t="n">
        <v>2.56</v>
      </c>
      <c r="BR30" s="708" t="n">
        <v>22.8</v>
      </c>
      <c r="BS30" s="708" t="n">
        <v>22.8</v>
      </c>
      <c r="BT30" s="1537" t="n">
        <v>83.75</v>
      </c>
      <c r="BU30" s="1537" t="n">
        <v>83.75</v>
      </c>
      <c r="BV30" s="1537" t="n">
        <v>107.86</v>
      </c>
      <c r="BW30" s="708" t="n">
        <v>109.1</v>
      </c>
    </row>
    <row r="31" s="423" customFormat="true" ht="10.5" hidden="false" customHeight="true" outlineLevel="0" collapsed="false">
      <c r="A31" s="889" t="s">
        <v>216</v>
      </c>
      <c r="B31" s="715" t="n">
        <v>60.3</v>
      </c>
      <c r="C31" s="417" t="n">
        <v>60.56</v>
      </c>
      <c r="D31" s="417" t="n">
        <v>83.75</v>
      </c>
      <c r="E31" s="417" t="n">
        <v>83.75</v>
      </c>
      <c r="F31" s="417" t="n">
        <v>222.11</v>
      </c>
      <c r="G31" s="417" t="n">
        <v>222.15</v>
      </c>
      <c r="H31" s="417" t="n">
        <v>64.26</v>
      </c>
      <c r="I31" s="715" t="n">
        <v>64.89</v>
      </c>
      <c r="J31" s="417" t="n">
        <v>12.24</v>
      </c>
      <c r="K31" s="715" t="n">
        <v>12.17</v>
      </c>
      <c r="L31" s="417" t="n">
        <v>13.08</v>
      </c>
      <c r="M31" s="417" t="n">
        <v>13.03</v>
      </c>
      <c r="N31" s="417" t="n">
        <v>97.58</v>
      </c>
      <c r="O31" s="417" t="n">
        <v>97.23</v>
      </c>
      <c r="P31" s="889" t="s">
        <v>216</v>
      </c>
      <c r="Q31" s="198" t="n">
        <v>10.68</v>
      </c>
      <c r="R31" s="198" t="n">
        <v>10.7</v>
      </c>
      <c r="S31" s="198" t="n">
        <v>1.16</v>
      </c>
      <c r="T31" s="198" t="n">
        <v>1.16</v>
      </c>
      <c r="U31" s="198" t="n">
        <v>0.01</v>
      </c>
      <c r="V31" s="198" t="n">
        <v>0.01</v>
      </c>
      <c r="W31" s="198" t="n">
        <v>0</v>
      </c>
      <c r="X31" s="198" t="n">
        <v>0</v>
      </c>
      <c r="Y31" s="198" t="n">
        <v>0.75</v>
      </c>
      <c r="Z31" s="198" t="n">
        <v>0.74</v>
      </c>
      <c r="AA31" s="198" t="n">
        <v>276.52</v>
      </c>
      <c r="AB31" s="198" t="n">
        <v>276.17</v>
      </c>
      <c r="AC31" s="198" t="n">
        <v>20.23</v>
      </c>
      <c r="AD31" s="198" t="n">
        <v>20.24</v>
      </c>
      <c r="AE31" s="889" t="s">
        <v>216</v>
      </c>
      <c r="AF31" s="198" t="n">
        <v>0.05</v>
      </c>
      <c r="AG31" s="198" t="n">
        <v>0.05</v>
      </c>
      <c r="AH31" s="198" t="n">
        <v>0.73</v>
      </c>
      <c r="AI31" s="198" t="n">
        <v>0.72</v>
      </c>
      <c r="AJ31" s="198" t="n">
        <v>55.25</v>
      </c>
      <c r="AK31" s="198" t="n">
        <v>55.43</v>
      </c>
      <c r="AL31" s="198" t="n">
        <v>10.14</v>
      </c>
      <c r="AM31" s="198" t="n">
        <v>10.28</v>
      </c>
      <c r="AN31" s="198" t="n">
        <v>217.54</v>
      </c>
      <c r="AO31" s="198" t="n">
        <v>217.53</v>
      </c>
      <c r="AP31" s="198" t="n">
        <v>0.68</v>
      </c>
      <c r="AQ31" s="198" t="n">
        <v>0.68</v>
      </c>
      <c r="AR31" s="198" t="n">
        <v>1.55</v>
      </c>
      <c r="AS31" s="198" t="n">
        <v>1.55</v>
      </c>
      <c r="AT31" s="889" t="s">
        <v>216</v>
      </c>
      <c r="AU31" s="198" t="n">
        <v>23</v>
      </c>
      <c r="AV31" s="198" t="n">
        <v>23</v>
      </c>
      <c r="AW31" s="198" t="n">
        <v>1.24</v>
      </c>
      <c r="AX31" s="198" t="n">
        <v>1.28</v>
      </c>
      <c r="AY31" s="198" t="n">
        <v>22.33</v>
      </c>
      <c r="AZ31" s="198" t="n">
        <v>22.33</v>
      </c>
      <c r="BA31" s="198" t="n">
        <v>0.07</v>
      </c>
      <c r="BB31" s="198" t="n">
        <v>0.08</v>
      </c>
      <c r="BC31" s="198" t="n">
        <v>61.07</v>
      </c>
      <c r="BD31" s="198" t="n">
        <v>61.29</v>
      </c>
      <c r="BE31" s="198" t="n">
        <v>9.34</v>
      </c>
      <c r="BF31" s="198" t="n">
        <v>9.42</v>
      </c>
      <c r="BG31" s="198" t="n">
        <v>0.51</v>
      </c>
      <c r="BH31" s="198" t="n">
        <v>0.5</v>
      </c>
      <c r="BI31" s="889" t="s">
        <v>216</v>
      </c>
      <c r="BJ31" s="417" t="n">
        <v>86.49</v>
      </c>
      <c r="BK31" s="417" t="n">
        <v>85.28</v>
      </c>
      <c r="BL31" s="417" t="n">
        <v>0.16</v>
      </c>
      <c r="BM31" s="417" t="n">
        <v>0.16</v>
      </c>
      <c r="BN31" s="417" t="n">
        <v>117.32</v>
      </c>
      <c r="BO31" s="417" t="n">
        <v>116.86</v>
      </c>
      <c r="BP31" s="417" t="n">
        <v>2.57</v>
      </c>
      <c r="BQ31" s="417" t="n">
        <v>2.59</v>
      </c>
      <c r="BR31" s="715" t="n">
        <v>22.8</v>
      </c>
      <c r="BS31" s="715" t="n">
        <v>22.8</v>
      </c>
      <c r="BT31" s="417" t="n">
        <v>83.75</v>
      </c>
      <c r="BU31" s="417" t="n">
        <v>83.75</v>
      </c>
      <c r="BV31" s="417" t="n">
        <v>109.22</v>
      </c>
      <c r="BW31" s="715" t="n">
        <v>109.13</v>
      </c>
    </row>
    <row r="32" s="423" customFormat="true" ht="9.75" hidden="false" customHeight="true" outlineLevel="0" collapsed="false">
      <c r="A32" s="890" t="s">
        <v>217</v>
      </c>
      <c r="B32" s="708" t="n">
        <v>59.57</v>
      </c>
      <c r="C32" s="1537" t="n">
        <v>59.58</v>
      </c>
      <c r="D32" s="1537" t="n">
        <v>83.82</v>
      </c>
      <c r="E32" s="1537" t="n">
        <v>83.85</v>
      </c>
      <c r="F32" s="1537" t="n">
        <v>222.32</v>
      </c>
      <c r="G32" s="1537" t="n">
        <v>222.44</v>
      </c>
      <c r="H32" s="1537" t="n">
        <v>64.45</v>
      </c>
      <c r="I32" s="708" t="n">
        <v>63.97</v>
      </c>
      <c r="J32" s="1537" t="n">
        <v>12.12</v>
      </c>
      <c r="K32" s="708" t="n">
        <v>12.04</v>
      </c>
      <c r="L32" s="1537" t="n">
        <v>12.91</v>
      </c>
      <c r="M32" s="1537" t="n">
        <v>12.75</v>
      </c>
      <c r="N32" s="1537" t="n">
        <v>96.33</v>
      </c>
      <c r="O32" s="1537" t="n">
        <v>95.12</v>
      </c>
      <c r="P32" s="890" t="s">
        <v>217</v>
      </c>
      <c r="Q32" s="1243" t="n">
        <v>10.69</v>
      </c>
      <c r="R32" s="1243" t="n">
        <v>10.69</v>
      </c>
      <c r="S32" s="1243" t="n">
        <v>1.14</v>
      </c>
      <c r="T32" s="1243" t="n">
        <v>1.14</v>
      </c>
      <c r="U32" s="1243" t="n">
        <v>0.01</v>
      </c>
      <c r="V32" s="1243" t="n">
        <v>0.01</v>
      </c>
      <c r="W32" s="1243" t="n">
        <v>0</v>
      </c>
      <c r="X32" s="1243" t="n">
        <v>0</v>
      </c>
      <c r="Y32" s="1243" t="n">
        <v>0.74</v>
      </c>
      <c r="Z32" s="1243" t="n">
        <v>0.74</v>
      </c>
      <c r="AA32" s="1243" t="n">
        <v>276.28</v>
      </c>
      <c r="AB32" s="1243" t="n">
        <v>275.96</v>
      </c>
      <c r="AC32" s="1243" t="n">
        <v>20.16</v>
      </c>
      <c r="AD32" s="1243" t="n">
        <v>20.05</v>
      </c>
      <c r="AE32" s="890" t="s">
        <v>217</v>
      </c>
      <c r="AF32" s="1243" t="n">
        <v>0.05</v>
      </c>
      <c r="AG32" s="1243" t="n">
        <v>0.05</v>
      </c>
      <c r="AH32" s="1243" t="n">
        <v>0.71</v>
      </c>
      <c r="AI32" s="1243" t="n">
        <v>0.71</v>
      </c>
      <c r="AJ32" s="1243" t="n">
        <v>54.72</v>
      </c>
      <c r="AK32" s="1243" t="n">
        <v>54.96</v>
      </c>
      <c r="AL32" s="1243" t="n">
        <v>10.16</v>
      </c>
      <c r="AM32" s="1243" t="n">
        <v>9.97</v>
      </c>
      <c r="AN32" s="1243" t="n">
        <v>217.71</v>
      </c>
      <c r="AO32" s="1243" t="n">
        <v>217.85</v>
      </c>
      <c r="AP32" s="1243" t="n">
        <v>0.64</v>
      </c>
      <c r="AQ32" s="1243" t="n">
        <v>0.63</v>
      </c>
      <c r="AR32" s="1243" t="n">
        <v>1.55</v>
      </c>
      <c r="AS32" s="1243" t="n">
        <v>1.57</v>
      </c>
      <c r="AT32" s="890" t="s">
        <v>217</v>
      </c>
      <c r="AU32" s="1243" t="n">
        <v>23.02</v>
      </c>
      <c r="AV32" s="1243" t="n">
        <v>23.03</v>
      </c>
      <c r="AW32" s="1243" t="n">
        <v>1.27</v>
      </c>
      <c r="AX32" s="1243" t="n">
        <v>1.28</v>
      </c>
      <c r="AY32" s="1243" t="n">
        <v>22.35</v>
      </c>
      <c r="AZ32" s="1243" t="n">
        <v>22.35</v>
      </c>
      <c r="BA32" s="1243" t="n">
        <v>0.07</v>
      </c>
      <c r="BB32" s="1243" t="n">
        <v>0.07</v>
      </c>
      <c r="BC32" s="1243" t="n">
        <v>60.77</v>
      </c>
      <c r="BD32" s="1243" t="n">
        <v>60.54</v>
      </c>
      <c r="BE32" s="1243" t="n">
        <v>9.27</v>
      </c>
      <c r="BF32" s="1243" t="n">
        <v>9.14</v>
      </c>
      <c r="BG32" s="1243" t="n">
        <v>0.49</v>
      </c>
      <c r="BH32" s="1243" t="n">
        <v>0.48</v>
      </c>
      <c r="BI32" s="890" t="s">
        <v>217</v>
      </c>
      <c r="BJ32" s="1537" t="n">
        <v>84.39</v>
      </c>
      <c r="BK32" s="1537" t="n">
        <v>83.42</v>
      </c>
      <c r="BL32" s="1537" t="n">
        <v>0.16</v>
      </c>
      <c r="BM32" s="1537" t="n">
        <v>0.16</v>
      </c>
      <c r="BN32" s="1537" t="n">
        <v>116.62</v>
      </c>
      <c r="BO32" s="1537" t="n">
        <v>115.89</v>
      </c>
      <c r="BP32" s="1537" t="n">
        <v>2.56</v>
      </c>
      <c r="BQ32" s="1537" t="n">
        <v>2.52</v>
      </c>
      <c r="BR32" s="708" t="n">
        <v>22.82</v>
      </c>
      <c r="BS32" s="708" t="n">
        <v>22.83</v>
      </c>
      <c r="BT32" s="1537" t="n">
        <v>83.82</v>
      </c>
      <c r="BU32" s="1537" t="n">
        <v>83.85</v>
      </c>
      <c r="BV32" s="1537" t="n">
        <v>109.23</v>
      </c>
      <c r="BW32" s="708" t="n">
        <v>106.54</v>
      </c>
    </row>
    <row r="33" s="423" customFormat="true" ht="9.75" hidden="false" customHeight="true" outlineLevel="0" collapsed="false">
      <c r="A33" s="889" t="s">
        <v>218</v>
      </c>
      <c r="B33" s="715" t="n">
        <v>60.76</v>
      </c>
      <c r="C33" s="417" t="n">
        <v>61.41</v>
      </c>
      <c r="D33" s="417" t="n">
        <v>83.87</v>
      </c>
      <c r="E33" s="715" t="n">
        <v>83.9</v>
      </c>
      <c r="F33" s="417" t="n">
        <v>222.48</v>
      </c>
      <c r="G33" s="417" t="n">
        <v>222.58</v>
      </c>
      <c r="H33" s="715" t="n">
        <v>63.6</v>
      </c>
      <c r="I33" s="715" t="n">
        <v>63.16</v>
      </c>
      <c r="J33" s="715" t="n">
        <v>12.1</v>
      </c>
      <c r="K33" s="715" t="n">
        <v>12.1</v>
      </c>
      <c r="L33" s="417" t="n">
        <v>12.78</v>
      </c>
      <c r="M33" s="417" t="n">
        <v>12.81</v>
      </c>
      <c r="N33" s="417" t="n">
        <v>95.34</v>
      </c>
      <c r="O33" s="417" t="n">
        <v>95.59</v>
      </c>
      <c r="P33" s="889" t="s">
        <v>218</v>
      </c>
      <c r="Q33" s="198" t="n">
        <v>10.71</v>
      </c>
      <c r="R33" s="198" t="n">
        <v>10.73</v>
      </c>
      <c r="S33" s="198" t="n">
        <v>1.17</v>
      </c>
      <c r="T33" s="198" t="n">
        <v>1.2</v>
      </c>
      <c r="U33" s="198" t="n">
        <v>0.01</v>
      </c>
      <c r="V33" s="198" t="n">
        <v>0.01</v>
      </c>
      <c r="W33" s="198" t="n">
        <v>0</v>
      </c>
      <c r="X33" s="198" t="n">
        <v>0</v>
      </c>
      <c r="Y33" s="198" t="n">
        <v>0.74</v>
      </c>
      <c r="Z33" s="198" t="n">
        <v>0.74</v>
      </c>
      <c r="AA33" s="198" t="n">
        <v>275.87</v>
      </c>
      <c r="AB33" s="198" t="n">
        <v>275.67</v>
      </c>
      <c r="AC33" s="198" t="n">
        <v>20.04</v>
      </c>
      <c r="AD33" s="198" t="n">
        <v>20.02</v>
      </c>
      <c r="AE33" s="889" t="s">
        <v>218</v>
      </c>
      <c r="AF33" s="198" t="n">
        <v>0.05</v>
      </c>
      <c r="AG33" s="198" t="n">
        <v>0.05</v>
      </c>
      <c r="AH33" s="198" t="n">
        <v>0.72</v>
      </c>
      <c r="AI33" s="198" t="n">
        <v>0.74</v>
      </c>
      <c r="AJ33" s="198" t="n">
        <v>56.76</v>
      </c>
      <c r="AK33" s="198" t="n">
        <v>57.54</v>
      </c>
      <c r="AL33" s="198" t="n">
        <v>9.9</v>
      </c>
      <c r="AM33" s="198" t="n">
        <v>9.83</v>
      </c>
      <c r="AN33" s="198" t="n">
        <v>217.85</v>
      </c>
      <c r="AO33" s="198" t="n">
        <v>217.92</v>
      </c>
      <c r="AP33" s="198" t="n">
        <v>0.63</v>
      </c>
      <c r="AQ33" s="198" t="n">
        <v>0.62</v>
      </c>
      <c r="AR33" s="198" t="n">
        <v>1.59</v>
      </c>
      <c r="AS33" s="198" t="n">
        <v>1.6</v>
      </c>
      <c r="AT33" s="889" t="s">
        <v>218</v>
      </c>
      <c r="AU33" s="198" t="n">
        <v>23.03</v>
      </c>
      <c r="AV33" s="198" t="n">
        <v>23.04</v>
      </c>
      <c r="AW33" s="198" t="n">
        <v>1.26</v>
      </c>
      <c r="AX33" s="198" t="n">
        <v>1.25</v>
      </c>
      <c r="AY33" s="198" t="n">
        <v>22.36</v>
      </c>
      <c r="AZ33" s="198" t="n">
        <v>22.36</v>
      </c>
      <c r="BA33" s="198" t="n">
        <v>0.07</v>
      </c>
      <c r="BB33" s="198" t="n">
        <v>0.07</v>
      </c>
      <c r="BC33" s="198" t="n">
        <v>60.97</v>
      </c>
      <c r="BD33" s="198" t="n">
        <v>61.23</v>
      </c>
      <c r="BE33" s="198" t="n">
        <v>9.26</v>
      </c>
      <c r="BF33" s="198" t="n">
        <v>9.29</v>
      </c>
      <c r="BG33" s="198" t="n">
        <v>0.47</v>
      </c>
      <c r="BH33" s="198" t="n">
        <v>0.47</v>
      </c>
      <c r="BI33" s="889" t="s">
        <v>218</v>
      </c>
      <c r="BJ33" s="417" t="n">
        <v>83.77</v>
      </c>
      <c r="BK33" s="417" t="n">
        <v>84.25</v>
      </c>
      <c r="BL33" s="417" t="n">
        <v>0.16</v>
      </c>
      <c r="BM33" s="417" t="n">
        <v>0.16</v>
      </c>
      <c r="BN33" s="417" t="n">
        <v>116.13</v>
      </c>
      <c r="BO33" s="417" t="n">
        <v>115.76</v>
      </c>
      <c r="BP33" s="417" t="n">
        <v>2.54</v>
      </c>
      <c r="BQ33" s="417" t="n">
        <v>2.55</v>
      </c>
      <c r="BR33" s="715" t="n">
        <v>22.83</v>
      </c>
      <c r="BS33" s="715" t="n">
        <v>22.84</v>
      </c>
      <c r="BT33" s="417" t="n">
        <v>83.87</v>
      </c>
      <c r="BU33" s="715" t="n">
        <v>83.9</v>
      </c>
      <c r="BV33" s="417" t="n">
        <v>108.22</v>
      </c>
      <c r="BW33" s="715" t="n">
        <v>107.35</v>
      </c>
    </row>
    <row r="34" s="423" customFormat="true" ht="9.75" hidden="false" customHeight="true" outlineLevel="0" collapsed="false">
      <c r="A34" s="890" t="s">
        <v>219</v>
      </c>
      <c r="B34" s="708" t="n">
        <v>60.14</v>
      </c>
      <c r="C34" s="1537" t="n">
        <v>59.09</v>
      </c>
      <c r="D34" s="1537" t="n">
        <v>83.9</v>
      </c>
      <c r="E34" s="708" t="n">
        <v>83.9</v>
      </c>
      <c r="F34" s="1537" t="n">
        <v>222.56</v>
      </c>
      <c r="G34" s="1537" t="n">
        <v>222.55</v>
      </c>
      <c r="H34" s="708" t="n">
        <v>62.53</v>
      </c>
      <c r="I34" s="708" t="n">
        <v>61.51</v>
      </c>
      <c r="J34" s="708" t="n">
        <v>12.18</v>
      </c>
      <c r="K34" s="708" t="n">
        <v>12.22</v>
      </c>
      <c r="L34" s="1537" t="n">
        <v>12.77</v>
      </c>
      <c r="M34" s="1537" t="n">
        <v>12.86</v>
      </c>
      <c r="N34" s="1537" t="n">
        <v>95.33</v>
      </c>
      <c r="O34" s="1537" t="n">
        <v>95.96</v>
      </c>
      <c r="P34" s="890" t="s">
        <v>219</v>
      </c>
      <c r="Q34" s="1243" t="n">
        <v>10.73</v>
      </c>
      <c r="R34" s="1243" t="n">
        <v>10.71</v>
      </c>
      <c r="S34" s="1243" t="n">
        <v>1.18</v>
      </c>
      <c r="T34" s="1243" t="n">
        <v>1.2</v>
      </c>
      <c r="U34" s="1243" t="n">
        <v>0.01</v>
      </c>
      <c r="V34" s="1243" t="n">
        <v>0.01</v>
      </c>
      <c r="W34" s="1243" t="n">
        <v>0</v>
      </c>
      <c r="X34" s="1243" t="n">
        <v>0</v>
      </c>
      <c r="Y34" s="1243" t="n">
        <v>0.75</v>
      </c>
      <c r="Z34" s="1243" t="n">
        <v>0.76</v>
      </c>
      <c r="AA34" s="1243" t="n">
        <v>275.93</v>
      </c>
      <c r="AB34" s="1243" t="n">
        <v>276.08</v>
      </c>
      <c r="AC34" s="1243" t="n">
        <v>20.1</v>
      </c>
      <c r="AD34" s="1243" t="n">
        <v>20.27</v>
      </c>
      <c r="AE34" s="890" t="s">
        <v>219</v>
      </c>
      <c r="AF34" s="1243" t="n">
        <v>0.05</v>
      </c>
      <c r="AG34" s="1243" t="n">
        <v>0.05</v>
      </c>
      <c r="AH34" s="1243" t="n">
        <v>0.74</v>
      </c>
      <c r="AI34" s="1243" t="n">
        <v>0.75</v>
      </c>
      <c r="AJ34" s="1243" t="n">
        <v>57.09</v>
      </c>
      <c r="AK34" s="1243" t="n">
        <v>56.33</v>
      </c>
      <c r="AL34" s="1243" t="n">
        <v>9.73</v>
      </c>
      <c r="AM34" s="1243" t="n">
        <v>9.63</v>
      </c>
      <c r="AN34" s="1243" t="n">
        <v>217.92</v>
      </c>
      <c r="AO34" s="1243" t="n">
        <v>217.92</v>
      </c>
      <c r="AP34" s="1243" t="n">
        <v>0.6</v>
      </c>
      <c r="AQ34" s="1243" t="n">
        <v>0.6</v>
      </c>
      <c r="AR34" s="1243" t="n">
        <v>1.59</v>
      </c>
      <c r="AS34" s="1243" t="n">
        <v>1.6</v>
      </c>
      <c r="AT34" s="890" t="s">
        <v>219</v>
      </c>
      <c r="AU34" s="1243" t="n">
        <v>23.04</v>
      </c>
      <c r="AV34" s="1243" t="n">
        <v>23.04</v>
      </c>
      <c r="AW34" s="1243" t="n">
        <v>1.25</v>
      </c>
      <c r="AX34" s="1243" t="n">
        <v>1.22</v>
      </c>
      <c r="AY34" s="1243" t="n">
        <v>22.36</v>
      </c>
      <c r="AZ34" s="1243" t="n">
        <v>22.36</v>
      </c>
      <c r="BA34" s="1243" t="n">
        <v>0.07</v>
      </c>
      <c r="BB34" s="1243" t="n">
        <v>0.08</v>
      </c>
      <c r="BC34" s="1243" t="n">
        <v>61.16</v>
      </c>
      <c r="BD34" s="1243" t="n">
        <v>61.4</v>
      </c>
      <c r="BE34" s="1243" t="n">
        <v>9.27</v>
      </c>
      <c r="BF34" s="1243" t="n">
        <v>9.36</v>
      </c>
      <c r="BG34" s="1243" t="n">
        <v>0.47</v>
      </c>
      <c r="BH34" s="1243" t="n">
        <v>0.46</v>
      </c>
      <c r="BI34" s="890" t="s">
        <v>219</v>
      </c>
      <c r="BJ34" s="1537" t="n">
        <v>84.42</v>
      </c>
      <c r="BK34" s="1537" t="n">
        <v>85.24</v>
      </c>
      <c r="BL34" s="1537" t="n">
        <v>0.16</v>
      </c>
      <c r="BM34" s="1537" t="n">
        <v>0.16</v>
      </c>
      <c r="BN34" s="1537" t="n">
        <v>116.27</v>
      </c>
      <c r="BO34" s="1537" t="n">
        <v>116.69</v>
      </c>
      <c r="BP34" s="1537" t="n">
        <v>2.56</v>
      </c>
      <c r="BQ34" s="1537" t="n">
        <v>2.58</v>
      </c>
      <c r="BR34" s="708" t="n">
        <v>22.84</v>
      </c>
      <c r="BS34" s="708" t="n">
        <v>22.84</v>
      </c>
      <c r="BT34" s="1537" t="n">
        <v>83.9</v>
      </c>
      <c r="BU34" s="708" t="n">
        <v>83.9</v>
      </c>
      <c r="BV34" s="1537" t="n">
        <v>106.36</v>
      </c>
      <c r="BW34" s="708" t="n">
        <v>106.61</v>
      </c>
    </row>
    <row r="35" s="423" customFormat="true" ht="10.5" hidden="false" customHeight="true" outlineLevel="0" collapsed="false">
      <c r="A35" s="889" t="s">
        <v>220</v>
      </c>
      <c r="B35" s="715" t="n">
        <v>59.98</v>
      </c>
      <c r="C35" s="417" t="n">
        <v>60.84</v>
      </c>
      <c r="D35" s="417" t="n">
        <v>83.94</v>
      </c>
      <c r="E35" s="715" t="n">
        <v>83.95</v>
      </c>
      <c r="F35" s="417" t="n">
        <v>222.65</v>
      </c>
      <c r="G35" s="417" t="n">
        <v>222.68</v>
      </c>
      <c r="H35" s="715" t="n">
        <v>63.01</v>
      </c>
      <c r="I35" s="715" t="n">
        <v>63.85</v>
      </c>
      <c r="J35" s="715" t="n">
        <v>12.35</v>
      </c>
      <c r="K35" s="715" t="n">
        <v>12.53</v>
      </c>
      <c r="L35" s="417" t="n">
        <v>12.84</v>
      </c>
      <c r="M35" s="417" t="n">
        <v>12.91</v>
      </c>
      <c r="N35" s="417" t="n">
        <v>95.89</v>
      </c>
      <c r="O35" s="417" t="n">
        <v>96.36</v>
      </c>
      <c r="P35" s="889" t="s">
        <v>220</v>
      </c>
      <c r="Q35" s="198" t="n">
        <v>10.71</v>
      </c>
      <c r="R35" s="198" t="n">
        <v>10.7</v>
      </c>
      <c r="S35" s="198" t="n">
        <v>1.19</v>
      </c>
      <c r="T35" s="198" t="n">
        <v>1.18</v>
      </c>
      <c r="U35" s="198" t="n">
        <v>0.01</v>
      </c>
      <c r="V35" s="198" t="n">
        <v>0.01</v>
      </c>
      <c r="W35" s="198" t="n">
        <v>0</v>
      </c>
      <c r="X35" s="198" t="n">
        <v>0</v>
      </c>
      <c r="Y35" s="198" t="n">
        <v>0.77</v>
      </c>
      <c r="Z35" s="198" t="n">
        <v>0.77</v>
      </c>
      <c r="AA35" s="198" t="n">
        <v>276.87</v>
      </c>
      <c r="AB35" s="198" t="n">
        <v>276.97</v>
      </c>
      <c r="AC35" s="198" t="n">
        <v>20.39</v>
      </c>
      <c r="AD35" s="198" t="n">
        <v>20.54</v>
      </c>
      <c r="AE35" s="889" t="s">
        <v>220</v>
      </c>
      <c r="AF35" s="198" t="n">
        <v>0.05</v>
      </c>
      <c r="AG35" s="198" t="n">
        <v>0.06</v>
      </c>
      <c r="AH35" s="198" t="n">
        <v>0.74</v>
      </c>
      <c r="AI35" s="198" t="n">
        <v>0.74</v>
      </c>
      <c r="AJ35" s="198" t="n">
        <v>56.86</v>
      </c>
      <c r="AK35" s="198" t="n">
        <v>57.87</v>
      </c>
      <c r="AL35" s="198" t="n">
        <v>9.81</v>
      </c>
      <c r="AM35" s="198" t="n">
        <v>9.96</v>
      </c>
      <c r="AN35" s="198" t="n">
        <v>218.04</v>
      </c>
      <c r="AO35" s="198" t="n">
        <v>218.05</v>
      </c>
      <c r="AP35" s="198" t="n">
        <v>0.6</v>
      </c>
      <c r="AQ35" s="198" t="n">
        <v>0.6</v>
      </c>
      <c r="AR35" s="198" t="n">
        <v>1.6</v>
      </c>
      <c r="AS35" s="198" t="n">
        <v>1.61</v>
      </c>
      <c r="AT35" s="889" t="s">
        <v>220</v>
      </c>
      <c r="AU35" s="198" t="n">
        <v>23.05</v>
      </c>
      <c r="AV35" s="198" t="n">
        <v>23.06</v>
      </c>
      <c r="AW35" s="198" t="n">
        <v>1.25</v>
      </c>
      <c r="AX35" s="198" t="n">
        <v>1.28</v>
      </c>
      <c r="AY35" s="198" t="n">
        <v>22.38</v>
      </c>
      <c r="AZ35" s="198" t="n">
        <v>22.38</v>
      </c>
      <c r="BA35" s="198" t="n">
        <v>0.07</v>
      </c>
      <c r="BB35" s="198" t="n">
        <v>0.08</v>
      </c>
      <c r="BC35" s="198" t="n">
        <v>61.86</v>
      </c>
      <c r="BD35" s="198" t="n">
        <v>62.31</v>
      </c>
      <c r="BE35" s="198" t="n">
        <v>9.35</v>
      </c>
      <c r="BF35" s="198" t="n">
        <v>9.31</v>
      </c>
      <c r="BG35" s="198" t="n">
        <v>0.46</v>
      </c>
      <c r="BH35" s="198" t="n">
        <v>0.47</v>
      </c>
      <c r="BI35" s="889" t="s">
        <v>220</v>
      </c>
      <c r="BJ35" s="417" t="n">
        <v>84.93</v>
      </c>
      <c r="BK35" s="417" t="n">
        <v>84.43</v>
      </c>
      <c r="BL35" s="417" t="n">
        <v>0.16</v>
      </c>
      <c r="BM35" s="417" t="n">
        <v>0.16</v>
      </c>
      <c r="BN35" s="417" t="n">
        <v>116.99</v>
      </c>
      <c r="BO35" s="715" t="n">
        <v>117.3</v>
      </c>
      <c r="BP35" s="417" t="n">
        <v>2.64</v>
      </c>
      <c r="BQ35" s="417" t="n">
        <v>2.69</v>
      </c>
      <c r="BR35" s="715" t="n">
        <v>22.85</v>
      </c>
      <c r="BS35" s="715" t="n">
        <v>22.86</v>
      </c>
      <c r="BT35" s="417" t="n">
        <v>83.94</v>
      </c>
      <c r="BU35" s="715" t="n">
        <v>83.95</v>
      </c>
      <c r="BV35" s="417" t="n">
        <v>108.17</v>
      </c>
      <c r="BW35" s="715" t="n">
        <v>110.11</v>
      </c>
    </row>
    <row r="36" s="423" customFormat="true" ht="9.75" hidden="false" customHeight="true" outlineLevel="0" collapsed="false">
      <c r="A36" s="890" t="s">
        <v>221</v>
      </c>
      <c r="B36" s="708" t="n">
        <v>60.12</v>
      </c>
      <c r="C36" s="1537" t="n">
        <v>60.49</v>
      </c>
      <c r="D36" s="1537" t="n">
        <v>84.04</v>
      </c>
      <c r="E36" s="708" t="n">
        <v>84.15</v>
      </c>
      <c r="F36" s="1537" t="n">
        <v>222.92</v>
      </c>
      <c r="G36" s="1537" t="n">
        <v>223.21</v>
      </c>
      <c r="H36" s="708" t="n">
        <v>63.67</v>
      </c>
      <c r="I36" s="708" t="n">
        <v>63.9</v>
      </c>
      <c r="J36" s="708" t="n">
        <v>12.49</v>
      </c>
      <c r="K36" s="708" t="n">
        <v>12.59</v>
      </c>
      <c r="L36" s="1537" t="n">
        <v>12.78</v>
      </c>
      <c r="M36" s="1537" t="n">
        <v>12.84</v>
      </c>
      <c r="N36" s="1537" t="n">
        <v>95.43</v>
      </c>
      <c r="O36" s="1537" t="n">
        <v>95.83</v>
      </c>
      <c r="P36" s="890" t="s">
        <v>221</v>
      </c>
      <c r="Q36" s="1243" t="n">
        <v>10.71</v>
      </c>
      <c r="R36" s="1243" t="n">
        <v>10.72</v>
      </c>
      <c r="S36" s="1243" t="n">
        <v>1.18</v>
      </c>
      <c r="T36" s="1243" t="n">
        <v>1.19</v>
      </c>
      <c r="U36" s="1243" t="n">
        <v>0.01</v>
      </c>
      <c r="V36" s="1243" t="n">
        <v>0.01</v>
      </c>
      <c r="W36" s="1243" t="n">
        <v>0</v>
      </c>
      <c r="X36" s="1243" t="n">
        <v>0</v>
      </c>
      <c r="Y36" s="1243" t="n">
        <v>0.76</v>
      </c>
      <c r="Z36" s="1243" t="n">
        <v>0.76</v>
      </c>
      <c r="AA36" s="1243" t="n">
        <v>276.87</v>
      </c>
      <c r="AB36" s="1243" t="n">
        <v>277.45</v>
      </c>
      <c r="AC36" s="1243" t="n">
        <v>20.61</v>
      </c>
      <c r="AD36" s="1243" t="n">
        <v>20.7</v>
      </c>
      <c r="AE36" s="890" t="s">
        <v>221</v>
      </c>
      <c r="AF36" s="1243" t="n">
        <v>0.06</v>
      </c>
      <c r="AG36" s="1243" t="n">
        <v>0.06</v>
      </c>
      <c r="AH36" s="1243" t="n">
        <v>0.74</v>
      </c>
      <c r="AI36" s="1243" t="n">
        <v>0.74</v>
      </c>
      <c r="AJ36" s="1243" t="n">
        <v>57.5</v>
      </c>
      <c r="AK36" s="1243" t="n">
        <v>57.96</v>
      </c>
      <c r="AL36" s="1243" t="n">
        <v>9.8</v>
      </c>
      <c r="AM36" s="1243" t="n">
        <v>9.83</v>
      </c>
      <c r="AN36" s="1243" t="n">
        <v>218.29</v>
      </c>
      <c r="AO36" s="1243" t="n">
        <v>218.57</v>
      </c>
      <c r="AP36" s="1243" t="n">
        <v>0.6</v>
      </c>
      <c r="AQ36" s="1243" t="n">
        <v>0.6</v>
      </c>
      <c r="AR36" s="1243" t="n">
        <v>1.61</v>
      </c>
      <c r="AS36" s="1243" t="n">
        <v>1.62</v>
      </c>
      <c r="AT36" s="890" t="s">
        <v>221</v>
      </c>
      <c r="AU36" s="1243" t="n">
        <v>23.08</v>
      </c>
      <c r="AV36" s="1243" t="n">
        <v>23.11</v>
      </c>
      <c r="AW36" s="1243" t="n">
        <v>1.28</v>
      </c>
      <c r="AX36" s="1243" t="n">
        <v>1.28</v>
      </c>
      <c r="AY36" s="1243" t="n">
        <v>22.41</v>
      </c>
      <c r="AZ36" s="1243" t="n">
        <v>22.44</v>
      </c>
      <c r="BA36" s="1243" t="n">
        <v>0.07</v>
      </c>
      <c r="BB36" s="1243" t="n">
        <v>0.08</v>
      </c>
      <c r="BC36" s="1243" t="n">
        <v>62.09</v>
      </c>
      <c r="BD36" s="1243" t="n">
        <v>62.46</v>
      </c>
      <c r="BE36" s="1243" t="n">
        <v>9.1</v>
      </c>
      <c r="BF36" s="1243" t="n">
        <v>9.06</v>
      </c>
      <c r="BG36" s="1243" t="n">
        <v>0.47</v>
      </c>
      <c r="BH36" s="1243" t="n">
        <v>0.47</v>
      </c>
      <c r="BI36" s="890" t="s">
        <v>221</v>
      </c>
      <c r="BJ36" s="1537" t="n">
        <v>83.93</v>
      </c>
      <c r="BK36" s="1537" t="n">
        <v>84.17</v>
      </c>
      <c r="BL36" s="1537" t="n">
        <v>0.16</v>
      </c>
      <c r="BM36" s="1537" t="n">
        <v>0.16</v>
      </c>
      <c r="BN36" s="1537" t="n">
        <v>116.96</v>
      </c>
      <c r="BO36" s="1537" t="n">
        <v>117.38</v>
      </c>
      <c r="BP36" s="1537" t="n">
        <v>2.69</v>
      </c>
      <c r="BQ36" s="1537" t="n">
        <v>2.68</v>
      </c>
      <c r="BR36" s="708" t="n">
        <v>22.88</v>
      </c>
      <c r="BS36" s="708" t="n">
        <v>22.91</v>
      </c>
      <c r="BT36" s="1537" t="n">
        <v>84.04</v>
      </c>
      <c r="BU36" s="708" t="n">
        <v>84.15</v>
      </c>
      <c r="BV36" s="1537" t="n">
        <v>109.26</v>
      </c>
      <c r="BW36" s="708" t="n">
        <v>111.51</v>
      </c>
    </row>
    <row r="37" s="515" customFormat="true" ht="9" hidden="false" customHeight="true" outlineLevel="0" collapsed="false">
      <c r="A37" s="889" t="s">
        <v>222</v>
      </c>
      <c r="B37" s="715" t="n">
        <v>59.65</v>
      </c>
      <c r="C37" s="417" t="n">
        <v>59.79</v>
      </c>
      <c r="D37" s="417" t="n">
        <v>84.21</v>
      </c>
      <c r="E37" s="715" t="n">
        <v>84.25</v>
      </c>
      <c r="F37" s="417" t="n">
        <v>223.36</v>
      </c>
      <c r="G37" s="417" t="n">
        <v>223.47</v>
      </c>
      <c r="H37" s="715" t="n">
        <v>63.05</v>
      </c>
      <c r="I37" s="715" t="n">
        <v>63.13</v>
      </c>
      <c r="J37" s="715" t="n">
        <v>12.55</v>
      </c>
      <c r="K37" s="715" t="n">
        <v>12.51</v>
      </c>
      <c r="L37" s="417" t="n">
        <v>12.76</v>
      </c>
      <c r="M37" s="417" t="n">
        <v>12.66</v>
      </c>
      <c r="N37" s="417" t="n">
        <v>95.27</v>
      </c>
      <c r="O37" s="417" t="n">
        <v>94.51</v>
      </c>
      <c r="P37" s="889" t="s">
        <v>222</v>
      </c>
      <c r="Q37" s="198" t="n">
        <v>10.73</v>
      </c>
      <c r="R37" s="198" t="n">
        <v>10.73</v>
      </c>
      <c r="S37" s="198" t="n">
        <v>1.21</v>
      </c>
      <c r="T37" s="198" t="n">
        <v>1.22</v>
      </c>
      <c r="U37" s="198" t="n">
        <v>0.01</v>
      </c>
      <c r="V37" s="198" t="n">
        <v>0.01</v>
      </c>
      <c r="W37" s="198" t="n">
        <v>0</v>
      </c>
      <c r="X37" s="198" t="n">
        <v>0</v>
      </c>
      <c r="Y37" s="198" t="n">
        <v>0.76</v>
      </c>
      <c r="Z37" s="198" t="n">
        <v>0.76</v>
      </c>
      <c r="AA37" s="198" t="n">
        <v>277.27</v>
      </c>
      <c r="AB37" s="198" t="n">
        <v>276.91</v>
      </c>
      <c r="AC37" s="198" t="n">
        <v>20.65</v>
      </c>
      <c r="AD37" s="198" t="n">
        <v>20.64</v>
      </c>
      <c r="AE37" s="889" t="s">
        <v>222</v>
      </c>
      <c r="AF37" s="198" t="n">
        <v>0.06</v>
      </c>
      <c r="AG37" s="198" t="n">
        <v>0.06</v>
      </c>
      <c r="AH37" s="198" t="n">
        <v>0.74</v>
      </c>
      <c r="AI37" s="198" t="n">
        <v>0.74</v>
      </c>
      <c r="AJ37" s="198" t="n">
        <v>57.55</v>
      </c>
      <c r="AK37" s="198" t="n">
        <v>57.32</v>
      </c>
      <c r="AL37" s="198" t="n">
        <v>9.8</v>
      </c>
      <c r="AM37" s="198" t="n">
        <v>9.77</v>
      </c>
      <c r="AN37" s="198" t="n">
        <v>218.72</v>
      </c>
      <c r="AO37" s="198" t="n">
        <v>218.83</v>
      </c>
      <c r="AP37" s="198" t="n">
        <v>0.6</v>
      </c>
      <c r="AQ37" s="198" t="n">
        <v>0.6</v>
      </c>
      <c r="AR37" s="198" t="n">
        <v>1.6</v>
      </c>
      <c r="AS37" s="198" t="n">
        <v>1.6</v>
      </c>
      <c r="AT37" s="889" t="s">
        <v>222</v>
      </c>
      <c r="AU37" s="198" t="n">
        <v>23.12</v>
      </c>
      <c r="AV37" s="198" t="n">
        <v>23.14</v>
      </c>
      <c r="AW37" s="198" t="n">
        <v>1.29</v>
      </c>
      <c r="AX37" s="198" t="n">
        <v>1.28</v>
      </c>
      <c r="AY37" s="198" t="n">
        <v>22.45</v>
      </c>
      <c r="AZ37" s="198" t="n">
        <v>22.46</v>
      </c>
      <c r="BA37" s="198" t="n">
        <v>0.07</v>
      </c>
      <c r="BB37" s="198" t="n">
        <v>0.07</v>
      </c>
      <c r="BC37" s="198" t="n">
        <v>62.2</v>
      </c>
      <c r="BD37" s="198" t="n">
        <v>62.14</v>
      </c>
      <c r="BE37" s="198" t="n">
        <v>9.07</v>
      </c>
      <c r="BF37" s="198" t="n">
        <v>9.06</v>
      </c>
      <c r="BG37" s="198" t="n">
        <v>0.47</v>
      </c>
      <c r="BH37" s="198" t="n">
        <v>0.48</v>
      </c>
      <c r="BI37" s="889" t="s">
        <v>222</v>
      </c>
      <c r="BJ37" s="715" t="n">
        <v>84.2</v>
      </c>
      <c r="BK37" s="417" t="n">
        <v>84.64</v>
      </c>
      <c r="BL37" s="417" t="n">
        <v>0.16</v>
      </c>
      <c r="BM37" s="417" t="n">
        <v>0.16</v>
      </c>
      <c r="BN37" s="417" t="n">
        <v>117.22</v>
      </c>
      <c r="BO37" s="417" t="n">
        <v>116.97</v>
      </c>
      <c r="BP37" s="417" t="n">
        <v>2.65</v>
      </c>
      <c r="BQ37" s="417" t="n">
        <v>2.66</v>
      </c>
      <c r="BR37" s="715" t="n">
        <v>22.93</v>
      </c>
      <c r="BS37" s="715" t="n">
        <v>22.94</v>
      </c>
      <c r="BT37" s="417" t="n">
        <v>84.21</v>
      </c>
      <c r="BU37" s="715" t="n">
        <v>84.25</v>
      </c>
      <c r="BV37" s="417" t="n">
        <v>111.12</v>
      </c>
      <c r="BW37" s="715" t="n">
        <v>109.8</v>
      </c>
    </row>
    <row r="38" s="515" customFormat="true" ht="11.85" hidden="false" customHeight="true" outlineLevel="0" collapsed="false">
      <c r="A38" s="890" t="s">
        <v>223</v>
      </c>
      <c r="B38" s="708" t="n">
        <v>60.03</v>
      </c>
      <c r="C38" s="708" t="n">
        <v>59.6</v>
      </c>
      <c r="D38" s="1537" t="n">
        <v>84.33</v>
      </c>
      <c r="E38" s="708" t="n">
        <v>84.45</v>
      </c>
      <c r="F38" s="1537" t="n">
        <v>223.67</v>
      </c>
      <c r="G38" s="1537" t="n">
        <v>224.01</v>
      </c>
      <c r="H38" s="708" t="n">
        <v>63.06</v>
      </c>
      <c r="I38" s="708" t="n">
        <v>62.75</v>
      </c>
      <c r="J38" s="708" t="n">
        <v>12.56</v>
      </c>
      <c r="K38" s="708" t="n">
        <v>12.55</v>
      </c>
      <c r="L38" s="1537" t="n">
        <v>12.69</v>
      </c>
      <c r="M38" s="1537" t="n">
        <v>12.65</v>
      </c>
      <c r="N38" s="1537" t="n">
        <v>94.77</v>
      </c>
      <c r="O38" s="1537" t="n">
        <v>94.47</v>
      </c>
      <c r="P38" s="890" t="s">
        <v>223</v>
      </c>
      <c r="Q38" s="1243" t="n">
        <v>10.75</v>
      </c>
      <c r="R38" s="1243" t="n">
        <v>10.77</v>
      </c>
      <c r="S38" s="1243" t="n">
        <v>1.22</v>
      </c>
      <c r="T38" s="1243" t="n">
        <v>1.21</v>
      </c>
      <c r="U38" s="1243" t="n">
        <v>0.01</v>
      </c>
      <c r="V38" s="1243" t="n">
        <v>0.01</v>
      </c>
      <c r="W38" s="1243" t="n">
        <v>0</v>
      </c>
      <c r="X38" s="1243" t="n">
        <v>0</v>
      </c>
      <c r="Y38" s="1243" t="n">
        <v>0.76</v>
      </c>
      <c r="Z38" s="1243" t="n">
        <v>0.76</v>
      </c>
      <c r="AA38" s="1243" t="n">
        <v>277.14</v>
      </c>
      <c r="AB38" s="1243" t="n">
        <v>277.39</v>
      </c>
      <c r="AC38" s="1243" t="n">
        <v>20.5</v>
      </c>
      <c r="AD38" s="1243" t="n">
        <v>20.42</v>
      </c>
      <c r="AE38" s="890" t="s">
        <v>223</v>
      </c>
      <c r="AF38" s="1243" t="n">
        <v>0.06</v>
      </c>
      <c r="AG38" s="1243" t="n">
        <v>0.06</v>
      </c>
      <c r="AH38" s="1243" t="n">
        <v>0.74</v>
      </c>
      <c r="AI38" s="1243" t="n">
        <v>0.74</v>
      </c>
      <c r="AJ38" s="1243" t="n">
        <v>56.7</v>
      </c>
      <c r="AK38" s="1243" t="n">
        <v>56.32</v>
      </c>
      <c r="AL38" s="1243" t="n">
        <v>9.85</v>
      </c>
      <c r="AM38" s="1243" t="n">
        <v>9.75</v>
      </c>
      <c r="AN38" s="1243" t="n">
        <v>219.05</v>
      </c>
      <c r="AO38" s="1243" t="n">
        <v>219.35</v>
      </c>
      <c r="AP38" s="1243" t="n">
        <v>0.6</v>
      </c>
      <c r="AQ38" s="1243" t="n">
        <v>0.6</v>
      </c>
      <c r="AR38" s="1243" t="n">
        <v>1.62</v>
      </c>
      <c r="AS38" s="1243" t="n">
        <v>1.62</v>
      </c>
      <c r="AT38" s="890" t="s">
        <v>223</v>
      </c>
      <c r="AU38" s="1243" t="n">
        <v>23.16</v>
      </c>
      <c r="AV38" s="1243" t="n">
        <v>23.19</v>
      </c>
      <c r="AW38" s="1243" t="n">
        <v>1.31</v>
      </c>
      <c r="AX38" s="1243" t="n">
        <v>1.31</v>
      </c>
      <c r="AY38" s="1243" t="n">
        <v>22.49</v>
      </c>
      <c r="AZ38" s="1243" t="n">
        <v>22.52</v>
      </c>
      <c r="BA38" s="1243" t="n">
        <v>0.07</v>
      </c>
      <c r="BB38" s="1243" t="n">
        <v>0.07</v>
      </c>
      <c r="BC38" s="1243" t="n">
        <v>62.21</v>
      </c>
      <c r="BD38" s="1243" t="n">
        <v>62.02</v>
      </c>
      <c r="BE38" s="1243" t="n">
        <v>9.05</v>
      </c>
      <c r="BF38" s="1243" t="n">
        <v>8.88</v>
      </c>
      <c r="BG38" s="1243" t="n">
        <v>0.48</v>
      </c>
      <c r="BH38" s="1243" t="n">
        <v>0.48</v>
      </c>
      <c r="BI38" s="890" t="s">
        <v>223</v>
      </c>
      <c r="BJ38" s="708" t="n">
        <v>83.71</v>
      </c>
      <c r="BK38" s="1537" t="n">
        <v>82.82</v>
      </c>
      <c r="BL38" s="1537" t="n">
        <v>0.16</v>
      </c>
      <c r="BM38" s="1537" t="n">
        <v>0.16</v>
      </c>
      <c r="BN38" s="1537" t="n">
        <v>116.99</v>
      </c>
      <c r="BO38" s="1537" t="n">
        <v>116.74</v>
      </c>
      <c r="BP38" s="1537" t="n">
        <v>2.65</v>
      </c>
      <c r="BQ38" s="1537" t="n">
        <v>2.65</v>
      </c>
      <c r="BR38" s="708" t="n">
        <v>22.96</v>
      </c>
      <c r="BS38" s="708" t="n">
        <v>22.99</v>
      </c>
      <c r="BT38" s="1537" t="n">
        <v>84.33</v>
      </c>
      <c r="BU38" s="708" t="n">
        <v>84.45</v>
      </c>
      <c r="BV38" s="1537" t="n">
        <v>109.91</v>
      </c>
      <c r="BW38" s="708" t="n">
        <v>109.26</v>
      </c>
    </row>
    <row r="39" s="515" customFormat="true" ht="11.85" hidden="false" customHeight="true" outlineLevel="0" collapsed="false">
      <c r="A39" s="889" t="s">
        <v>224</v>
      </c>
      <c r="B39" s="715" t="n">
        <v>58.7</v>
      </c>
      <c r="C39" s="417" t="n">
        <v>58.45</v>
      </c>
      <c r="D39" s="417" t="n">
        <v>84.49</v>
      </c>
      <c r="E39" s="715" t="n">
        <v>84.5</v>
      </c>
      <c r="F39" s="417" t="n">
        <v>224.11</v>
      </c>
      <c r="G39" s="417" t="n">
        <v>224.14</v>
      </c>
      <c r="H39" s="715" t="n">
        <v>62.82</v>
      </c>
      <c r="I39" s="715" t="n">
        <v>62.5</v>
      </c>
      <c r="J39" s="715" t="n">
        <v>12.36</v>
      </c>
      <c r="K39" s="715" t="n">
        <v>12.25</v>
      </c>
      <c r="L39" s="417" t="n">
        <v>12.66</v>
      </c>
      <c r="M39" s="715" t="n">
        <v>12.6</v>
      </c>
      <c r="N39" s="417" t="n">
        <v>94.52</v>
      </c>
      <c r="O39" s="417" t="n">
        <v>94.06</v>
      </c>
      <c r="P39" s="889" t="s">
        <v>224</v>
      </c>
      <c r="Q39" s="198" t="n">
        <v>10.77</v>
      </c>
      <c r="R39" s="198" t="n">
        <v>10.77</v>
      </c>
      <c r="S39" s="198" t="n">
        <v>1.21</v>
      </c>
      <c r="T39" s="198" t="n">
        <v>1.21</v>
      </c>
      <c r="U39" s="198" t="n">
        <v>0.01</v>
      </c>
      <c r="V39" s="198" t="n">
        <v>0.01</v>
      </c>
      <c r="W39" s="198" t="n">
        <v>0</v>
      </c>
      <c r="X39" s="198" t="n">
        <v>0</v>
      </c>
      <c r="Y39" s="198" t="n">
        <v>0.77</v>
      </c>
      <c r="Z39" s="198" t="n">
        <v>0.77</v>
      </c>
      <c r="AA39" s="198" t="n">
        <v>277.7</v>
      </c>
      <c r="AB39" s="198" t="n">
        <v>277.64</v>
      </c>
      <c r="AC39" s="198" t="n">
        <v>20.26</v>
      </c>
      <c r="AD39" s="198" t="n">
        <v>20.14</v>
      </c>
      <c r="AE39" s="889" t="s">
        <v>224</v>
      </c>
      <c r="AF39" s="198" t="n">
        <v>0.06</v>
      </c>
      <c r="AG39" s="198" t="n">
        <v>0.06</v>
      </c>
      <c r="AH39" s="198" t="n">
        <v>0.74</v>
      </c>
      <c r="AI39" s="198" t="n">
        <v>0.74</v>
      </c>
      <c r="AJ39" s="198" t="n">
        <v>55.46</v>
      </c>
      <c r="AK39" s="198" t="n">
        <v>55.02</v>
      </c>
      <c r="AL39" s="198" t="n">
        <v>9.67</v>
      </c>
      <c r="AM39" s="198" t="n">
        <v>9.65</v>
      </c>
      <c r="AN39" s="198" t="n">
        <v>219.46</v>
      </c>
      <c r="AO39" s="198" t="n">
        <v>219.48</v>
      </c>
      <c r="AP39" s="198" t="n">
        <v>0.58</v>
      </c>
      <c r="AQ39" s="198" t="n">
        <v>0.56</v>
      </c>
      <c r="AR39" s="198" t="n">
        <v>1.62</v>
      </c>
      <c r="AS39" s="198" t="n">
        <v>1.62</v>
      </c>
      <c r="AT39" s="889" t="s">
        <v>224</v>
      </c>
      <c r="AU39" s="198" t="n">
        <v>23.21</v>
      </c>
      <c r="AV39" s="198" t="n">
        <v>23.21</v>
      </c>
      <c r="AW39" s="198" t="n">
        <v>1.3</v>
      </c>
      <c r="AX39" s="198" t="n">
        <v>1.3</v>
      </c>
      <c r="AY39" s="198" t="n">
        <v>22.53</v>
      </c>
      <c r="AZ39" s="198" t="n">
        <v>22.53</v>
      </c>
      <c r="BA39" s="198" t="n">
        <v>0.07</v>
      </c>
      <c r="BB39" s="198" t="n">
        <v>0.07</v>
      </c>
      <c r="BC39" s="198" t="n">
        <v>61.65</v>
      </c>
      <c r="BD39" s="198" t="n">
        <v>61.18</v>
      </c>
      <c r="BE39" s="198" t="n">
        <v>8.81</v>
      </c>
      <c r="BF39" s="198" t="n">
        <v>8.85</v>
      </c>
      <c r="BG39" s="198" t="n">
        <v>0.48</v>
      </c>
      <c r="BH39" s="198" t="n">
        <v>0.48</v>
      </c>
      <c r="BI39" s="889" t="s">
        <v>224</v>
      </c>
      <c r="BJ39" s="715" t="n">
        <v>83.55</v>
      </c>
      <c r="BK39" s="417" t="n">
        <v>83.85</v>
      </c>
      <c r="BL39" s="417" t="n">
        <v>0.16</v>
      </c>
      <c r="BM39" s="417" t="n">
        <v>0.16</v>
      </c>
      <c r="BN39" s="417" t="n">
        <v>116.76</v>
      </c>
      <c r="BO39" s="417" t="n">
        <v>116.47</v>
      </c>
      <c r="BP39" s="417" t="n">
        <v>2.66</v>
      </c>
      <c r="BQ39" s="417" t="n">
        <v>2.66</v>
      </c>
      <c r="BR39" s="715" t="n">
        <v>23</v>
      </c>
      <c r="BS39" s="715" t="n">
        <v>23</v>
      </c>
      <c r="BT39" s="417" t="n">
        <v>84.49</v>
      </c>
      <c r="BU39" s="715" t="n">
        <v>84.5</v>
      </c>
      <c r="BV39" s="417" t="n">
        <v>108.67</v>
      </c>
      <c r="BW39" s="715" t="n">
        <v>106.7</v>
      </c>
    </row>
    <row r="40" s="515" customFormat="true" ht="9" hidden="false" customHeight="true" outlineLevel="0" collapsed="false">
      <c r="A40" s="890" t="s">
        <v>225</v>
      </c>
      <c r="B40" s="708" t="n">
        <v>58.63</v>
      </c>
      <c r="C40" s="1537" t="n">
        <v>59.32</v>
      </c>
      <c r="D40" s="708" t="n">
        <v>84.5</v>
      </c>
      <c r="E40" s="708" t="n">
        <v>84.5</v>
      </c>
      <c r="F40" s="1537" t="n">
        <v>224.14</v>
      </c>
      <c r="G40" s="1537" t="n">
        <v>224.14</v>
      </c>
      <c r="H40" s="708" t="n">
        <v>63.46</v>
      </c>
      <c r="I40" s="708" t="n">
        <v>64.54</v>
      </c>
      <c r="J40" s="708" t="n">
        <v>12.28</v>
      </c>
      <c r="K40" s="708" t="n">
        <v>12.29</v>
      </c>
      <c r="L40" s="1537" t="n">
        <v>12.76</v>
      </c>
      <c r="M40" s="708" t="n">
        <v>12.87</v>
      </c>
      <c r="N40" s="708" t="n">
        <v>95.3</v>
      </c>
      <c r="O40" s="1537" t="n">
        <v>96.08</v>
      </c>
      <c r="P40" s="890" t="s">
        <v>225</v>
      </c>
      <c r="Q40" s="1243" t="n">
        <v>10.79</v>
      </c>
      <c r="R40" s="1243" t="n">
        <v>10.82</v>
      </c>
      <c r="S40" s="1243" t="n">
        <v>1.22</v>
      </c>
      <c r="T40" s="1243" t="n">
        <v>1.23</v>
      </c>
      <c r="U40" s="1243" t="n">
        <v>0.01</v>
      </c>
      <c r="V40" s="1243" t="n">
        <v>0.01</v>
      </c>
      <c r="W40" s="1243" t="n">
        <v>0</v>
      </c>
      <c r="X40" s="1243" t="n">
        <v>0</v>
      </c>
      <c r="Y40" s="1243" t="n">
        <v>0.78</v>
      </c>
      <c r="Z40" s="1243" t="n">
        <v>0.78</v>
      </c>
      <c r="AA40" s="1243" t="n">
        <v>278.02</v>
      </c>
      <c r="AB40" s="1243" t="n">
        <v>278.46</v>
      </c>
      <c r="AC40" s="1243" t="n">
        <v>20.3</v>
      </c>
      <c r="AD40" s="1243" t="n">
        <v>20.45</v>
      </c>
      <c r="AE40" s="890" t="s">
        <v>225</v>
      </c>
      <c r="AF40" s="1243" t="n">
        <v>0.06</v>
      </c>
      <c r="AG40" s="1243" t="n">
        <v>0.06</v>
      </c>
      <c r="AH40" s="1243" t="n">
        <v>0.74</v>
      </c>
      <c r="AI40" s="1243" t="n">
        <v>0.74</v>
      </c>
      <c r="AJ40" s="1243" t="n">
        <v>55.64</v>
      </c>
      <c r="AK40" s="1243" t="n">
        <v>56.78</v>
      </c>
      <c r="AL40" s="1243" t="n">
        <v>9.78</v>
      </c>
      <c r="AM40" s="1243" t="n">
        <v>9.9</v>
      </c>
      <c r="AN40" s="1243" t="n">
        <v>219.49</v>
      </c>
      <c r="AO40" s="1243" t="n">
        <v>219.48</v>
      </c>
      <c r="AP40" s="1243" t="n">
        <v>0.55</v>
      </c>
      <c r="AQ40" s="1243" t="n">
        <v>0.52</v>
      </c>
      <c r="AR40" s="1243" t="n">
        <v>1.63</v>
      </c>
      <c r="AS40" s="1243" t="n">
        <v>1.65</v>
      </c>
      <c r="AT40" s="890" t="s">
        <v>225</v>
      </c>
      <c r="AU40" s="1243" t="n">
        <v>23.21</v>
      </c>
      <c r="AV40" s="1243" t="n">
        <v>23.21</v>
      </c>
      <c r="AW40" s="1243" t="n">
        <v>1.32</v>
      </c>
      <c r="AX40" s="1243" t="n">
        <v>1.34</v>
      </c>
      <c r="AY40" s="1243" t="n">
        <v>22.53</v>
      </c>
      <c r="AZ40" s="1243" t="n">
        <v>22.53</v>
      </c>
      <c r="BA40" s="1243" t="n">
        <v>0.07</v>
      </c>
      <c r="BB40" s="1243" t="n">
        <v>0.07</v>
      </c>
      <c r="BC40" s="1243" t="n">
        <v>61.94</v>
      </c>
      <c r="BD40" s="1243" t="n">
        <v>62.47</v>
      </c>
      <c r="BE40" s="1243" t="n">
        <v>8.98</v>
      </c>
      <c r="BF40" s="1243" t="n">
        <v>9.1</v>
      </c>
      <c r="BG40" s="1243" t="n">
        <v>0.48</v>
      </c>
      <c r="BH40" s="1243" t="n">
        <v>0.48</v>
      </c>
      <c r="BI40" s="890" t="s">
        <v>225</v>
      </c>
      <c r="BJ40" s="708" t="n">
        <v>85.33</v>
      </c>
      <c r="BK40" s="1537" t="n">
        <v>86.56</v>
      </c>
      <c r="BL40" s="1537" t="n">
        <v>0.16</v>
      </c>
      <c r="BM40" s="1537" t="n">
        <v>0.16</v>
      </c>
      <c r="BN40" s="1537" t="n">
        <v>116.96</v>
      </c>
      <c r="BO40" s="1537" t="n">
        <v>117.48</v>
      </c>
      <c r="BP40" s="1537" t="n">
        <v>2.71</v>
      </c>
      <c r="BQ40" s="1537" t="n">
        <v>2.75</v>
      </c>
      <c r="BR40" s="708" t="n">
        <v>23</v>
      </c>
      <c r="BS40" s="708" t="n">
        <v>23</v>
      </c>
      <c r="BT40" s="708" t="n">
        <v>84.5</v>
      </c>
      <c r="BU40" s="708" t="n">
        <v>84.5</v>
      </c>
      <c r="BV40" s="1537" t="n">
        <v>107.05</v>
      </c>
      <c r="BW40" s="708" t="n">
        <v>107.27</v>
      </c>
    </row>
    <row r="41" s="515" customFormat="true" ht="9.75" hidden="false" customHeight="true" outlineLevel="0" collapsed="false">
      <c r="A41" s="478" t="s">
        <v>227</v>
      </c>
      <c r="B41" s="718" t="n">
        <v>57.040363</v>
      </c>
      <c r="C41" s="211" t="n">
        <f aca="false">C53</f>
        <v>58.28</v>
      </c>
      <c r="D41" s="718" t="n">
        <v>84.781146</v>
      </c>
      <c r="E41" s="211" t="n">
        <f aca="false">E53</f>
        <v>84.9</v>
      </c>
      <c r="F41" s="718" t="n">
        <v>224.804513</v>
      </c>
      <c r="G41" s="211" t="n">
        <f aca="false">G53</f>
        <v>224.84</v>
      </c>
      <c r="H41" s="211" t="n">
        <v>63.281075</v>
      </c>
      <c r="I41" s="211" t="n">
        <f aca="false">I53</f>
        <v>62.16</v>
      </c>
      <c r="J41" s="718" t="n">
        <v>12.082319</v>
      </c>
      <c r="K41" s="211" t="n">
        <f aca="false">K53</f>
        <v>11.99</v>
      </c>
      <c r="L41" s="718" t="n">
        <v>12.557464</v>
      </c>
      <c r="M41" s="211" t="n">
        <f aca="false">M53</f>
        <v>12.81</v>
      </c>
      <c r="N41" s="718" t="n">
        <v>93.728006</v>
      </c>
      <c r="O41" s="211" t="n">
        <f aca="false">O53</f>
        <v>95.44</v>
      </c>
      <c r="P41" s="478" t="s">
        <v>227</v>
      </c>
      <c r="Q41" s="211" t="n">
        <v>10.875048</v>
      </c>
      <c r="R41" s="211" t="n">
        <f aca="false">R53</f>
        <v>10.95</v>
      </c>
      <c r="S41" s="211" t="n">
        <v>1.173296</v>
      </c>
      <c r="T41" s="211" t="n">
        <f aca="false">T53</f>
        <v>1.12</v>
      </c>
      <c r="U41" s="211" t="n">
        <v>0.005947</v>
      </c>
      <c r="V41" s="211" t="n">
        <f aca="false">V53</f>
        <v>0.01</v>
      </c>
      <c r="W41" s="211" t="n">
        <v>0.002019</v>
      </c>
      <c r="X41" s="211" t="n">
        <f aca="false">X53</f>
        <v>0</v>
      </c>
      <c r="Y41" s="211" t="n">
        <v>0.783958</v>
      </c>
      <c r="Z41" s="211" t="n">
        <f aca="false">Z53</f>
        <v>0.79</v>
      </c>
      <c r="AA41" s="211" t="n">
        <v>277.504606</v>
      </c>
      <c r="AB41" s="211" t="n">
        <f aca="false">AB53</f>
        <v>275.87</v>
      </c>
      <c r="AC41" s="211" t="n">
        <v>20.179838</v>
      </c>
      <c r="AD41" s="211" t="n">
        <f aca="false">AD53</f>
        <v>19.84</v>
      </c>
      <c r="AE41" s="478" t="s">
        <v>227</v>
      </c>
      <c r="AF41" s="211" t="n">
        <v>0.057697</v>
      </c>
      <c r="AG41" s="211" t="n">
        <f aca="false">AG53</f>
        <v>0.06</v>
      </c>
      <c r="AH41" s="211" t="n">
        <v>0.735252</v>
      </c>
      <c r="AI41" s="211" t="n">
        <f aca="false">AI53</f>
        <v>0.74</v>
      </c>
      <c r="AJ41" s="211" t="n">
        <v>54.053878</v>
      </c>
      <c r="AK41" s="211" t="n">
        <f aca="false">AK53</f>
        <v>54.51</v>
      </c>
      <c r="AL41" s="211" t="n">
        <v>9.114298</v>
      </c>
      <c r="AM41" s="211" t="n">
        <f aca="false">AM53</f>
        <v>8.78</v>
      </c>
      <c r="AN41" s="211" t="n">
        <v>220.280869</v>
      </c>
      <c r="AO41" s="211" t="n">
        <f aca="false">AO53</f>
        <v>220.52</v>
      </c>
      <c r="AP41" s="211" t="n">
        <v>0.536946</v>
      </c>
      <c r="AQ41" s="211" t="n">
        <f aca="false">AQ53</f>
        <v>0.51</v>
      </c>
      <c r="AR41" s="211" t="n">
        <v>1.662081</v>
      </c>
      <c r="AS41" s="211" t="n">
        <f aca="false">AS53</f>
        <v>1.71</v>
      </c>
      <c r="AT41" s="478" t="s">
        <v>227</v>
      </c>
      <c r="AU41" s="211" t="n">
        <v>23.267151</v>
      </c>
      <c r="AV41" s="211" t="n">
        <f aca="false">AV53</f>
        <v>23.32</v>
      </c>
      <c r="AW41" s="211" t="n">
        <v>1.279143</v>
      </c>
      <c r="AX41" s="211" t="n">
        <f aca="false">AX53</f>
        <v>1.21</v>
      </c>
      <c r="AY41" s="211" t="n">
        <v>22.595567</v>
      </c>
      <c r="AZ41" s="211" t="n">
        <f aca="false">AZ53</f>
        <v>22.63</v>
      </c>
      <c r="BA41" s="211" t="n">
        <v>0.07099</v>
      </c>
      <c r="BB41" s="211" t="n">
        <f aca="false">BB53</f>
        <v>0.07</v>
      </c>
      <c r="BC41" s="211" t="n">
        <v>61.346919</v>
      </c>
      <c r="BD41" s="211" t="n">
        <f aca="false">BD53</f>
        <v>60.92</v>
      </c>
      <c r="BE41" s="211" t="n">
        <v>8.807534</v>
      </c>
      <c r="BF41" s="211" t="n">
        <f aca="false">BF53</f>
        <v>9.1</v>
      </c>
      <c r="BG41" s="211" t="n">
        <v>0.465504</v>
      </c>
      <c r="BH41" s="211" t="n">
        <f aca="false">BH53</f>
        <v>0.46</v>
      </c>
      <c r="BI41" s="1054" t="s">
        <v>227</v>
      </c>
      <c r="BJ41" s="718" t="n">
        <v>86.748476</v>
      </c>
      <c r="BK41" s="211" t="n">
        <f aca="false">BK53</f>
        <v>89.24</v>
      </c>
      <c r="BL41" s="718" t="n">
        <v>0.180815</v>
      </c>
      <c r="BM41" s="211" t="n">
        <f aca="false">BM53</f>
        <v>0.17</v>
      </c>
      <c r="BN41" s="718" t="n">
        <v>116.43907</v>
      </c>
      <c r="BO41" s="211" t="n">
        <f aca="false">BO53</f>
        <v>117.14</v>
      </c>
      <c r="BP41" s="718" t="n">
        <v>2.73663</v>
      </c>
      <c r="BQ41" s="211" t="n">
        <f aca="false">BQ53</f>
        <v>2.75</v>
      </c>
      <c r="BR41" s="718" t="n">
        <v>23.08167</v>
      </c>
      <c r="BS41" s="211" t="n">
        <f aca="false">BS53</f>
        <v>23.11</v>
      </c>
      <c r="BT41" s="718" t="n">
        <v>84.781146</v>
      </c>
      <c r="BU41" s="211" t="n">
        <f aca="false">BU53</f>
        <v>84.9</v>
      </c>
      <c r="BV41" s="718" t="n">
        <v>106.809804</v>
      </c>
      <c r="BW41" s="211" t="n">
        <f aca="false">BW53</f>
        <v>104.41</v>
      </c>
    </row>
    <row r="42" s="515" customFormat="true" ht="9.75" hidden="false" customHeight="true" outlineLevel="0" collapsed="false">
      <c r="A42" s="890" t="s">
        <v>214</v>
      </c>
      <c r="B42" s="708" t="n">
        <v>59.02</v>
      </c>
      <c r="C42" s="1537" t="n">
        <v>58.07</v>
      </c>
      <c r="D42" s="708" t="n">
        <v>84.5</v>
      </c>
      <c r="E42" s="708" t="n">
        <v>84.5</v>
      </c>
      <c r="F42" s="1537" t="n">
        <v>224.15</v>
      </c>
      <c r="G42" s="1537" t="n">
        <v>224.14</v>
      </c>
      <c r="H42" s="708" t="n">
        <v>64.53</v>
      </c>
      <c r="I42" s="708" t="n">
        <v>64.27</v>
      </c>
      <c r="J42" s="708" t="n">
        <v>12.29</v>
      </c>
      <c r="K42" s="708" t="n">
        <v>12.27</v>
      </c>
      <c r="L42" s="708" t="n">
        <v>12.7</v>
      </c>
      <c r="M42" s="708" t="n">
        <v>12.62</v>
      </c>
      <c r="N42" s="1537" t="n">
        <v>94.82</v>
      </c>
      <c r="O42" s="1537" t="n">
        <v>94.26</v>
      </c>
      <c r="P42" s="890" t="s">
        <v>214</v>
      </c>
      <c r="Q42" s="1243" t="n">
        <v>10.82</v>
      </c>
      <c r="R42" s="1243" t="n">
        <v>10.8</v>
      </c>
      <c r="S42" s="1243" t="n">
        <v>1.23</v>
      </c>
      <c r="T42" s="1243" t="n">
        <v>1.23</v>
      </c>
      <c r="U42" s="1243" t="n">
        <v>0.01</v>
      </c>
      <c r="V42" s="1243" t="n">
        <v>0.01</v>
      </c>
      <c r="W42" s="1243" t="n">
        <v>0</v>
      </c>
      <c r="X42" s="1243" t="n">
        <v>0</v>
      </c>
      <c r="Y42" s="1243" t="n">
        <v>0.78</v>
      </c>
      <c r="Z42" s="1243" t="n">
        <v>0.78</v>
      </c>
      <c r="AA42" s="1243" t="n">
        <v>277.71</v>
      </c>
      <c r="AB42" s="1243" t="n">
        <v>277.46</v>
      </c>
      <c r="AC42" s="1243" t="n">
        <v>20.49</v>
      </c>
      <c r="AD42" s="1243" t="n">
        <v>20.47</v>
      </c>
      <c r="AE42" s="890" t="s">
        <v>214</v>
      </c>
      <c r="AF42" s="1243" t="n">
        <v>0.06</v>
      </c>
      <c r="AG42" s="1243" t="n">
        <v>0.06</v>
      </c>
      <c r="AH42" s="1243" t="n">
        <v>0.74</v>
      </c>
      <c r="AI42" s="1243" t="n">
        <v>0.73</v>
      </c>
      <c r="AJ42" s="1243" t="n">
        <v>56.47</v>
      </c>
      <c r="AK42" s="1243" t="n">
        <v>55.88</v>
      </c>
      <c r="AL42" s="1243" t="n">
        <v>9.82</v>
      </c>
      <c r="AM42" s="1243" t="n">
        <v>9.66</v>
      </c>
      <c r="AN42" s="1243" t="n">
        <v>219.5</v>
      </c>
      <c r="AO42" s="1243" t="n">
        <v>219.48</v>
      </c>
      <c r="AP42" s="1243" t="n">
        <v>0.53</v>
      </c>
      <c r="AQ42" s="1243" t="n">
        <v>0.53</v>
      </c>
      <c r="AR42" s="1243" t="n">
        <v>1.65</v>
      </c>
      <c r="AS42" s="1243" t="n">
        <v>1.66</v>
      </c>
      <c r="AT42" s="890" t="s">
        <v>214</v>
      </c>
      <c r="AU42" s="1243" t="n">
        <v>23.21</v>
      </c>
      <c r="AV42" s="1243" t="n">
        <v>23.21</v>
      </c>
      <c r="AW42" s="1243" t="n">
        <v>1.34</v>
      </c>
      <c r="AX42" s="1243" t="n">
        <v>1.33</v>
      </c>
      <c r="AY42" s="1243" t="n">
        <v>22.53</v>
      </c>
      <c r="AZ42" s="1243" t="n">
        <v>22.53</v>
      </c>
      <c r="BA42" s="1243" t="n">
        <v>0.07</v>
      </c>
      <c r="BB42" s="1243" t="n">
        <v>0.07</v>
      </c>
      <c r="BC42" s="1243" t="n">
        <v>62.09</v>
      </c>
      <c r="BD42" s="1243" t="n">
        <v>61.67</v>
      </c>
      <c r="BE42" s="1243" t="n">
        <v>8.98</v>
      </c>
      <c r="BF42" s="1243" t="n">
        <v>8.84</v>
      </c>
      <c r="BG42" s="1243" t="n">
        <v>0.48</v>
      </c>
      <c r="BH42" s="1243" t="n">
        <v>0.48</v>
      </c>
      <c r="BI42" s="890" t="s">
        <v>214</v>
      </c>
      <c r="BJ42" s="708" t="n">
        <v>85.58</v>
      </c>
      <c r="BK42" s="1537" t="n">
        <v>85.32</v>
      </c>
      <c r="BL42" s="1537" t="n">
        <v>0.16</v>
      </c>
      <c r="BM42" s="1537" t="n">
        <v>0.16</v>
      </c>
      <c r="BN42" s="1537" t="n">
        <v>116.79</v>
      </c>
      <c r="BO42" s="1537" t="n">
        <v>116.38</v>
      </c>
      <c r="BP42" s="1537" t="n">
        <v>2.74</v>
      </c>
      <c r="BQ42" s="1537" t="n">
        <v>2.74</v>
      </c>
      <c r="BR42" s="708" t="n">
        <v>23</v>
      </c>
      <c r="BS42" s="708" t="n">
        <v>23</v>
      </c>
      <c r="BT42" s="708" t="n">
        <v>84.5</v>
      </c>
      <c r="BU42" s="708" t="n">
        <v>84.5</v>
      </c>
      <c r="BV42" s="1537" t="n">
        <v>105.49</v>
      </c>
      <c r="BW42" s="708" t="n">
        <v>102.68</v>
      </c>
    </row>
    <row r="43" s="515" customFormat="true" ht="9.75" hidden="false" customHeight="true" outlineLevel="0" collapsed="false">
      <c r="A43" s="889" t="s">
        <v>215</v>
      </c>
      <c r="B43" s="715" t="n">
        <v>57.26</v>
      </c>
      <c r="C43" s="715" t="n">
        <v>56.9</v>
      </c>
      <c r="D43" s="715" t="n">
        <v>84.5</v>
      </c>
      <c r="E43" s="715" t="n">
        <v>84.5</v>
      </c>
      <c r="F43" s="417" t="n">
        <v>224.13</v>
      </c>
      <c r="G43" s="417" t="n">
        <v>224.11</v>
      </c>
      <c r="H43" s="715" t="n">
        <v>63.7</v>
      </c>
      <c r="I43" s="715" t="n">
        <v>63.5</v>
      </c>
      <c r="J43" s="715" t="n">
        <v>12.04</v>
      </c>
      <c r="K43" s="715" t="n">
        <v>11.93</v>
      </c>
      <c r="L43" s="715" t="n">
        <v>12.6</v>
      </c>
      <c r="M43" s="715" t="n">
        <v>12.55</v>
      </c>
      <c r="N43" s="417" t="n">
        <v>94.03</v>
      </c>
      <c r="O43" s="715" t="n">
        <v>93.6</v>
      </c>
      <c r="P43" s="889" t="s">
        <v>215</v>
      </c>
      <c r="Q43" s="198" t="n">
        <v>10.78</v>
      </c>
      <c r="R43" s="198" t="n">
        <v>10.77</v>
      </c>
      <c r="S43" s="198" t="n">
        <v>1.19</v>
      </c>
      <c r="T43" s="198" t="n">
        <v>1.18</v>
      </c>
      <c r="U43" s="198" t="n">
        <v>0.01</v>
      </c>
      <c r="V43" s="198" t="n">
        <v>0.01</v>
      </c>
      <c r="W43" s="198" t="n">
        <v>0</v>
      </c>
      <c r="X43" s="198" t="n">
        <v>0</v>
      </c>
      <c r="Y43" s="198" t="n">
        <v>0.79</v>
      </c>
      <c r="Z43" s="198" t="n">
        <v>0.8</v>
      </c>
      <c r="AA43" s="198" t="n">
        <v>277.78</v>
      </c>
      <c r="AB43" s="198" t="n">
        <v>278.1</v>
      </c>
      <c r="AC43" s="198" t="n">
        <v>20.19</v>
      </c>
      <c r="AD43" s="198" t="n">
        <v>20</v>
      </c>
      <c r="AE43" s="889" t="s">
        <v>215</v>
      </c>
      <c r="AF43" s="198" t="n">
        <v>0.06</v>
      </c>
      <c r="AG43" s="198" t="n">
        <v>0.06</v>
      </c>
      <c r="AH43" s="198" t="n">
        <v>0.73</v>
      </c>
      <c r="AI43" s="198" t="n">
        <v>0.73</v>
      </c>
      <c r="AJ43" s="198" t="n">
        <v>54.46</v>
      </c>
      <c r="AK43" s="198" t="n">
        <v>53.56</v>
      </c>
      <c r="AL43" s="198" t="n">
        <v>9.44</v>
      </c>
      <c r="AM43" s="198" t="n">
        <v>9.34</v>
      </c>
      <c r="AN43" s="198" t="n">
        <v>219.52</v>
      </c>
      <c r="AO43" s="198" t="n">
        <v>219.48</v>
      </c>
      <c r="AP43" s="198" t="n">
        <v>0.53</v>
      </c>
      <c r="AQ43" s="198" t="n">
        <v>0.53</v>
      </c>
      <c r="AR43" s="198" t="n">
        <v>1.62</v>
      </c>
      <c r="AS43" s="198" t="n">
        <v>1.61</v>
      </c>
      <c r="AT43" s="889" t="s">
        <v>215</v>
      </c>
      <c r="AU43" s="198" t="n">
        <v>23.21</v>
      </c>
      <c r="AV43" s="198" t="n">
        <v>23.21</v>
      </c>
      <c r="AW43" s="198" t="n">
        <v>1.29</v>
      </c>
      <c r="AX43" s="198" t="n">
        <v>1.27</v>
      </c>
      <c r="AY43" s="198" t="n">
        <v>22.53</v>
      </c>
      <c r="AZ43" s="198" t="n">
        <v>22.53</v>
      </c>
      <c r="BA43" s="198" t="n">
        <v>0.07</v>
      </c>
      <c r="BB43" s="198" t="n">
        <v>0.07</v>
      </c>
      <c r="BC43" s="198" t="n">
        <v>61.08</v>
      </c>
      <c r="BD43" s="198" t="n">
        <v>60.85</v>
      </c>
      <c r="BE43" s="198" t="n">
        <v>8.77</v>
      </c>
      <c r="BF43" s="198" t="n">
        <v>8.69</v>
      </c>
      <c r="BG43" s="198" t="n">
        <v>0.47</v>
      </c>
      <c r="BH43" s="198" t="n">
        <v>0.47</v>
      </c>
      <c r="BI43" s="889" t="s">
        <v>215</v>
      </c>
      <c r="BJ43" s="715" t="n">
        <v>86.27</v>
      </c>
      <c r="BK43" s="417" t="n">
        <v>86.08</v>
      </c>
      <c r="BL43" s="417" t="n">
        <v>0.16</v>
      </c>
      <c r="BM43" s="417" t="n">
        <v>0.16</v>
      </c>
      <c r="BN43" s="417" t="n">
        <v>116.02</v>
      </c>
      <c r="BO43" s="417" t="n">
        <v>115.75</v>
      </c>
      <c r="BP43" s="417" t="n">
        <v>2.75</v>
      </c>
      <c r="BQ43" s="417" t="n">
        <v>2.76</v>
      </c>
      <c r="BR43" s="715" t="n">
        <v>23</v>
      </c>
      <c r="BS43" s="715" t="n">
        <v>23</v>
      </c>
      <c r="BT43" s="715" t="n">
        <v>84.5</v>
      </c>
      <c r="BU43" s="715" t="n">
        <v>84.5</v>
      </c>
      <c r="BV43" s="417" t="n">
        <v>102.76</v>
      </c>
      <c r="BW43" s="715" t="n">
        <v>103.18</v>
      </c>
    </row>
    <row r="44" s="515" customFormat="true" ht="9.75" hidden="false" customHeight="true" outlineLevel="0" collapsed="false">
      <c r="A44" s="890" t="s">
        <v>216</v>
      </c>
      <c r="B44" s="708" t="n">
        <v>57.5</v>
      </c>
      <c r="C44" s="708" t="n">
        <v>57.17</v>
      </c>
      <c r="D44" s="708" t="n">
        <v>84.5</v>
      </c>
      <c r="E44" s="708" t="n">
        <v>84.5</v>
      </c>
      <c r="F44" s="1537" t="n">
        <v>224.11</v>
      </c>
      <c r="G44" s="1537" t="n">
        <v>224.14</v>
      </c>
      <c r="H44" s="708" t="n">
        <v>63.79</v>
      </c>
      <c r="I44" s="708" t="n">
        <v>63.79</v>
      </c>
      <c r="J44" s="708" t="n">
        <v>11.94</v>
      </c>
      <c r="K44" s="708" t="n">
        <v>11.95</v>
      </c>
      <c r="L44" s="708" t="n">
        <v>12.47</v>
      </c>
      <c r="M44" s="708" t="n">
        <v>12.38</v>
      </c>
      <c r="N44" s="1537" t="n">
        <v>93.03</v>
      </c>
      <c r="O44" s="708" t="n">
        <v>92.43</v>
      </c>
      <c r="P44" s="890" t="s">
        <v>216</v>
      </c>
      <c r="Q44" s="1243" t="n">
        <v>10.78</v>
      </c>
      <c r="R44" s="1243" t="n">
        <v>10.78</v>
      </c>
      <c r="S44" s="1243" t="n">
        <v>1.18</v>
      </c>
      <c r="T44" s="1243" t="n">
        <v>1.2</v>
      </c>
      <c r="U44" s="1243" t="n">
        <v>0.01</v>
      </c>
      <c r="V44" s="1243" t="n">
        <v>0.01</v>
      </c>
      <c r="W44" s="1243" t="n">
        <v>0</v>
      </c>
      <c r="X44" s="1243" t="n">
        <v>0</v>
      </c>
      <c r="Y44" s="1243" t="n">
        <v>0.79</v>
      </c>
      <c r="Z44" s="1243" t="n">
        <v>0.78</v>
      </c>
      <c r="AA44" s="1243" t="n">
        <v>278.01</v>
      </c>
      <c r="AB44" s="1243" t="n">
        <v>277.69</v>
      </c>
      <c r="AC44" s="1243" t="n">
        <v>20.19</v>
      </c>
      <c r="AD44" s="1243" t="n">
        <v>20.18</v>
      </c>
      <c r="AE44" s="890" t="s">
        <v>216</v>
      </c>
      <c r="AF44" s="1243" t="n">
        <v>0.06</v>
      </c>
      <c r="AG44" s="1243" t="n">
        <v>0.06</v>
      </c>
      <c r="AH44" s="1243" t="n">
        <v>0.73</v>
      </c>
      <c r="AI44" s="1243" t="n">
        <v>0.73</v>
      </c>
      <c r="AJ44" s="1243" t="n">
        <v>53.58</v>
      </c>
      <c r="AK44" s="1243" t="n">
        <v>53.21</v>
      </c>
      <c r="AL44" s="1243" t="n">
        <v>9.37</v>
      </c>
      <c r="AM44" s="1243" t="n">
        <v>9.31</v>
      </c>
      <c r="AN44" s="1243" t="n">
        <v>219.54</v>
      </c>
      <c r="AO44" s="1243" t="n">
        <v>219.48</v>
      </c>
      <c r="AP44" s="1243" t="n">
        <v>0.54</v>
      </c>
      <c r="AQ44" s="1243" t="n">
        <v>0.54</v>
      </c>
      <c r="AR44" s="1243" t="n">
        <v>1.62</v>
      </c>
      <c r="AS44" s="1243" t="n">
        <v>1.63</v>
      </c>
      <c r="AT44" s="890" t="s">
        <v>216</v>
      </c>
      <c r="AU44" s="1243" t="n">
        <v>23.2</v>
      </c>
      <c r="AV44" s="1243" t="n">
        <v>23.21</v>
      </c>
      <c r="AW44" s="1243" t="n">
        <v>1.3</v>
      </c>
      <c r="AX44" s="1243" t="n">
        <v>1.31</v>
      </c>
      <c r="AY44" s="1243" t="n">
        <v>22.53</v>
      </c>
      <c r="AZ44" s="1243" t="n">
        <v>22.53</v>
      </c>
      <c r="BA44" s="1243" t="n">
        <v>0.07</v>
      </c>
      <c r="BB44" s="1243" t="n">
        <v>0.07</v>
      </c>
      <c r="BC44" s="1243" t="n">
        <v>61.22</v>
      </c>
      <c r="BD44" s="1243" t="n">
        <v>61.16</v>
      </c>
      <c r="BE44" s="1243" t="n">
        <v>8.7</v>
      </c>
      <c r="BF44" s="1243" t="n">
        <v>8.61</v>
      </c>
      <c r="BG44" s="1243" t="n">
        <v>0.47</v>
      </c>
      <c r="BH44" s="1243" t="n">
        <v>0.46</v>
      </c>
      <c r="BI44" s="890" t="s">
        <v>216</v>
      </c>
      <c r="BJ44" s="708" t="n">
        <v>85.36</v>
      </c>
      <c r="BK44" s="1537" t="n">
        <v>85.28</v>
      </c>
      <c r="BL44" s="1537" t="n">
        <v>0.17</v>
      </c>
      <c r="BM44" s="1537" t="n">
        <v>0.19</v>
      </c>
      <c r="BN44" s="1537" t="n">
        <v>115.65</v>
      </c>
      <c r="BO44" s="1537" t="n">
        <v>115.28</v>
      </c>
      <c r="BP44" s="1537" t="n">
        <v>2.76</v>
      </c>
      <c r="BQ44" s="1537" t="n">
        <v>2.76</v>
      </c>
      <c r="BR44" s="708" t="n">
        <v>23.01</v>
      </c>
      <c r="BS44" s="708" t="n">
        <v>23.01</v>
      </c>
      <c r="BT44" s="708" t="n">
        <v>84.5</v>
      </c>
      <c r="BU44" s="708" t="n">
        <v>84.5</v>
      </c>
      <c r="BV44" s="708" t="n">
        <v>104.3</v>
      </c>
      <c r="BW44" s="708" t="n">
        <v>103.84</v>
      </c>
    </row>
    <row r="45" s="515" customFormat="true" ht="10.5" hidden="false" customHeight="true" outlineLevel="0" collapsed="false">
      <c r="A45" s="889" t="s">
        <v>217</v>
      </c>
      <c r="B45" s="715" t="n">
        <v>57.5</v>
      </c>
      <c r="C45" s="715" t="n">
        <v>58.5</v>
      </c>
      <c r="D45" s="715" t="n">
        <v>84.67</v>
      </c>
      <c r="E45" s="715" t="n">
        <v>84.75</v>
      </c>
      <c r="F45" s="417" t="n">
        <v>224.59</v>
      </c>
      <c r="G45" s="715" t="n">
        <v>224.8</v>
      </c>
      <c r="H45" s="715" t="n">
        <v>64.17</v>
      </c>
      <c r="I45" s="715" t="n">
        <v>64.41</v>
      </c>
      <c r="J45" s="715" t="n">
        <v>11.97</v>
      </c>
      <c r="K45" s="715" t="n">
        <v>12.02</v>
      </c>
      <c r="L45" s="715" t="n">
        <v>12.52</v>
      </c>
      <c r="M45" s="715" t="n">
        <v>12.65</v>
      </c>
      <c r="N45" s="417" t="n">
        <v>93.54</v>
      </c>
      <c r="O45" s="715" t="n">
        <v>94.5</v>
      </c>
      <c r="P45" s="889" t="s">
        <v>217</v>
      </c>
      <c r="Q45" s="198" t="n">
        <v>10.8</v>
      </c>
      <c r="R45" s="198" t="n">
        <v>10.81</v>
      </c>
      <c r="S45" s="198" t="n">
        <v>1.19</v>
      </c>
      <c r="T45" s="198" t="n">
        <v>1.19</v>
      </c>
      <c r="U45" s="198" t="n">
        <v>0.01</v>
      </c>
      <c r="V45" s="198" t="n">
        <v>0.01</v>
      </c>
      <c r="W45" s="198" t="n">
        <v>0</v>
      </c>
      <c r="X45" s="198" t="n">
        <v>0</v>
      </c>
      <c r="Y45" s="198" t="n">
        <v>0.78</v>
      </c>
      <c r="Z45" s="198" t="n">
        <v>0.78</v>
      </c>
      <c r="AA45" s="198" t="n">
        <v>278.62</v>
      </c>
      <c r="AB45" s="198" t="n">
        <v>278.92</v>
      </c>
      <c r="AC45" s="198" t="n">
        <v>20.22</v>
      </c>
      <c r="AD45" s="198" t="n">
        <v>20.29</v>
      </c>
      <c r="AE45" s="889" t="s">
        <v>217</v>
      </c>
      <c r="AF45" s="198" t="n">
        <v>0.06</v>
      </c>
      <c r="AG45" s="198" t="n">
        <v>0.06</v>
      </c>
      <c r="AH45" s="198" t="n">
        <v>0.73</v>
      </c>
      <c r="AI45" s="198" t="n">
        <v>0.74</v>
      </c>
      <c r="AJ45" s="198" t="n">
        <v>53.61</v>
      </c>
      <c r="AK45" s="198" t="n">
        <v>54.15</v>
      </c>
      <c r="AL45" s="198" t="n">
        <v>9.26</v>
      </c>
      <c r="AM45" s="198" t="n">
        <v>9.23</v>
      </c>
      <c r="AN45" s="198" t="n">
        <v>219.94</v>
      </c>
      <c r="AO45" s="198" t="n">
        <v>220.13</v>
      </c>
      <c r="AP45" s="198" t="n">
        <v>0.54</v>
      </c>
      <c r="AQ45" s="198" t="n">
        <v>0.55</v>
      </c>
      <c r="AR45" s="198" t="n">
        <v>1.65</v>
      </c>
      <c r="AS45" s="198" t="n">
        <v>1.67</v>
      </c>
      <c r="AT45" s="889" t="s">
        <v>217</v>
      </c>
      <c r="AU45" s="198" t="n">
        <v>23.24</v>
      </c>
      <c r="AV45" s="198" t="n">
        <v>23.28</v>
      </c>
      <c r="AW45" s="198" t="n">
        <v>1.32</v>
      </c>
      <c r="AX45" s="198" t="n">
        <v>1.33</v>
      </c>
      <c r="AY45" s="198" t="n">
        <v>22.57</v>
      </c>
      <c r="AZ45" s="198" t="n">
        <v>22.6</v>
      </c>
      <c r="BA45" s="198" t="n">
        <v>0.07</v>
      </c>
      <c r="BB45" s="198" t="n">
        <v>0.07</v>
      </c>
      <c r="BC45" s="198" t="n">
        <v>61.74</v>
      </c>
      <c r="BD45" s="198" t="n">
        <v>62.22</v>
      </c>
      <c r="BE45" s="198" t="n">
        <v>8.66</v>
      </c>
      <c r="BF45" s="198" t="n">
        <v>8.8</v>
      </c>
      <c r="BG45" s="198" t="n">
        <v>0.47</v>
      </c>
      <c r="BH45" s="198" t="n">
        <v>0.47</v>
      </c>
      <c r="BI45" s="889" t="s">
        <v>217</v>
      </c>
      <c r="BJ45" s="715" t="n">
        <v>85.21</v>
      </c>
      <c r="BK45" s="417" t="n">
        <v>85.66</v>
      </c>
      <c r="BL45" s="417" t="n">
        <v>0.19</v>
      </c>
      <c r="BM45" s="417" t="n">
        <v>0.19</v>
      </c>
      <c r="BN45" s="417" t="n">
        <v>116.12</v>
      </c>
      <c r="BO45" s="417" t="n">
        <v>116.67</v>
      </c>
      <c r="BP45" s="417" t="n">
        <v>2.79</v>
      </c>
      <c r="BQ45" s="417" t="n">
        <v>2.81</v>
      </c>
      <c r="BR45" s="715" t="n">
        <v>23.05</v>
      </c>
      <c r="BS45" s="715" t="n">
        <v>23.07</v>
      </c>
      <c r="BT45" s="715" t="n">
        <v>84.67</v>
      </c>
      <c r="BU45" s="715" t="n">
        <v>84.75</v>
      </c>
      <c r="BV45" s="715" t="n">
        <v>106.96</v>
      </c>
      <c r="BW45" s="715" t="n">
        <v>109.35</v>
      </c>
    </row>
    <row r="46" s="515" customFormat="true" ht="9" hidden="false" customHeight="true" outlineLevel="0" collapsed="false">
      <c r="A46" s="890" t="s">
        <v>218</v>
      </c>
      <c r="B46" s="708" t="n">
        <v>57.95</v>
      </c>
      <c r="C46" s="708" t="n">
        <v>57.47</v>
      </c>
      <c r="D46" s="708" t="n">
        <v>84.78</v>
      </c>
      <c r="E46" s="708" t="n">
        <v>84.9</v>
      </c>
      <c r="F46" s="1537" t="n">
        <v>224.88</v>
      </c>
      <c r="G46" s="1537" t="n">
        <v>225.17</v>
      </c>
      <c r="H46" s="708" t="n">
        <v>64.08</v>
      </c>
      <c r="I46" s="708" t="n">
        <v>63.94</v>
      </c>
      <c r="J46" s="708" t="n">
        <v>12.08</v>
      </c>
      <c r="K46" s="708" t="n">
        <v>12.08</v>
      </c>
      <c r="L46" s="708" t="n">
        <v>12.54</v>
      </c>
      <c r="M46" s="708" t="n">
        <v>12.51</v>
      </c>
      <c r="N46" s="1537" t="n">
        <v>93.73</v>
      </c>
      <c r="O46" s="708" t="n">
        <v>93.47</v>
      </c>
      <c r="P46" s="890" t="s">
        <v>218</v>
      </c>
      <c r="Q46" s="1243" t="n">
        <v>10.83</v>
      </c>
      <c r="R46" s="1243" t="n">
        <v>10.85</v>
      </c>
      <c r="S46" s="1243" t="n">
        <v>1.19</v>
      </c>
      <c r="T46" s="1243" t="n">
        <v>1.19</v>
      </c>
      <c r="U46" s="1243" t="n">
        <v>0.01</v>
      </c>
      <c r="V46" s="1243" t="n">
        <v>0.01</v>
      </c>
      <c r="W46" s="1243" t="n">
        <v>0</v>
      </c>
      <c r="X46" s="1243" t="n">
        <v>0</v>
      </c>
      <c r="Y46" s="1243" t="n">
        <v>0.78</v>
      </c>
      <c r="Z46" s="1243" t="n">
        <v>0.78</v>
      </c>
      <c r="AA46" s="1243" t="n">
        <v>279.11</v>
      </c>
      <c r="AB46" s="1243" t="n">
        <v>279.18</v>
      </c>
      <c r="AC46" s="1243" t="n">
        <v>20.39</v>
      </c>
      <c r="AD46" s="1243" t="n">
        <v>20.35</v>
      </c>
      <c r="AE46" s="890" t="s">
        <v>218</v>
      </c>
      <c r="AF46" s="1243" t="n">
        <v>0.06</v>
      </c>
      <c r="AG46" s="1243" t="n">
        <v>0.06</v>
      </c>
      <c r="AH46" s="1243" t="n">
        <v>0.74</v>
      </c>
      <c r="AI46" s="1243" t="n">
        <v>0.74</v>
      </c>
      <c r="AJ46" s="1243" t="n">
        <v>54.22</v>
      </c>
      <c r="AK46" s="1243" t="n">
        <v>54.5</v>
      </c>
      <c r="AL46" s="1243" t="n">
        <v>9.27</v>
      </c>
      <c r="AM46" s="1243" t="n">
        <v>9.26</v>
      </c>
      <c r="AN46" s="1243" t="n">
        <v>220.23</v>
      </c>
      <c r="AO46" s="1243" t="n">
        <v>220.52</v>
      </c>
      <c r="AP46" s="1243" t="n">
        <v>0.54</v>
      </c>
      <c r="AQ46" s="1243" t="n">
        <v>0.55</v>
      </c>
      <c r="AR46" s="1243" t="n">
        <v>1.67</v>
      </c>
      <c r="AS46" s="1243" t="n">
        <v>1.67</v>
      </c>
      <c r="AT46" s="890" t="s">
        <v>218</v>
      </c>
      <c r="AU46" s="1243" t="n">
        <v>23.26</v>
      </c>
      <c r="AV46" s="1243" t="n">
        <v>23.32</v>
      </c>
      <c r="AW46" s="1243" t="n">
        <v>1.33</v>
      </c>
      <c r="AX46" s="1243" t="n">
        <v>1.33</v>
      </c>
      <c r="AY46" s="1243" t="n">
        <v>22.61</v>
      </c>
      <c r="AZ46" s="1243" t="n">
        <v>22.64</v>
      </c>
      <c r="BA46" s="1243" t="n">
        <v>0.07</v>
      </c>
      <c r="BB46" s="1243" t="n">
        <v>0.07</v>
      </c>
      <c r="BC46" s="1243" t="n">
        <v>62.28</v>
      </c>
      <c r="BD46" s="1243" t="n">
        <v>62.16</v>
      </c>
      <c r="BE46" s="1243" t="n">
        <v>8.79</v>
      </c>
      <c r="BF46" s="1243" t="n">
        <v>8.89</v>
      </c>
      <c r="BG46" s="1243" t="n">
        <v>0.47</v>
      </c>
      <c r="BH46" s="1243" t="n">
        <v>0.47</v>
      </c>
      <c r="BI46" s="890" t="s">
        <v>218</v>
      </c>
      <c r="BJ46" s="708" t="n">
        <v>85.41</v>
      </c>
      <c r="BK46" s="1537" t="n">
        <v>85.03</v>
      </c>
      <c r="BL46" s="1537" t="n">
        <v>0.19</v>
      </c>
      <c r="BM46" s="1537" t="n">
        <v>0.19</v>
      </c>
      <c r="BN46" s="708" t="n">
        <v>116.6</v>
      </c>
      <c r="BO46" s="1537" t="n">
        <v>116.56</v>
      </c>
      <c r="BP46" s="708" t="n">
        <v>2.8</v>
      </c>
      <c r="BQ46" s="1537" t="n">
        <v>2.81</v>
      </c>
      <c r="BR46" s="708" t="n">
        <v>23.08</v>
      </c>
      <c r="BS46" s="708" t="n">
        <v>23.11</v>
      </c>
      <c r="BT46" s="708" t="n">
        <v>84.78</v>
      </c>
      <c r="BU46" s="708" t="n">
        <v>84.9</v>
      </c>
      <c r="BV46" s="708" t="n">
        <v>109.2</v>
      </c>
      <c r="BW46" s="708" t="n">
        <v>109.63</v>
      </c>
    </row>
    <row r="47" s="515" customFormat="true" ht="9.75" hidden="false" customHeight="true" outlineLevel="0" collapsed="false">
      <c r="A47" s="889" t="s">
        <v>219</v>
      </c>
      <c r="B47" s="715" t="n">
        <v>58.36</v>
      </c>
      <c r="C47" s="715" t="n">
        <v>59.38</v>
      </c>
      <c r="D47" s="715" t="n">
        <v>84.9</v>
      </c>
      <c r="E47" s="715" t="n">
        <v>84.9</v>
      </c>
      <c r="F47" s="417" t="n">
        <v>225.18</v>
      </c>
      <c r="G47" s="715" t="n">
        <v>225.2</v>
      </c>
      <c r="H47" s="715" t="n">
        <v>64.4</v>
      </c>
      <c r="I47" s="715" t="n">
        <v>64.98</v>
      </c>
      <c r="J47" s="715" t="n">
        <v>12.1</v>
      </c>
      <c r="K47" s="715" t="n">
        <v>12.17</v>
      </c>
      <c r="L47" s="715" t="n">
        <v>12.61</v>
      </c>
      <c r="M47" s="715" t="n">
        <v>12.73</v>
      </c>
      <c r="N47" s="417" t="n">
        <v>94.25</v>
      </c>
      <c r="O47" s="715" t="n">
        <v>95.08</v>
      </c>
      <c r="P47" s="889" t="s">
        <v>219</v>
      </c>
      <c r="Q47" s="198" t="n">
        <v>10.87</v>
      </c>
      <c r="R47" s="198" t="n">
        <v>10.9</v>
      </c>
      <c r="S47" s="198" t="n">
        <v>1.19</v>
      </c>
      <c r="T47" s="198" t="n">
        <v>1.19</v>
      </c>
      <c r="U47" s="198" t="n">
        <v>0.01</v>
      </c>
      <c r="V47" s="198" t="n">
        <v>0.01</v>
      </c>
      <c r="W47" s="198" t="n">
        <v>0</v>
      </c>
      <c r="X47" s="198" t="n">
        <v>0</v>
      </c>
      <c r="Y47" s="198" t="n">
        <v>0.78</v>
      </c>
      <c r="Z47" s="198" t="n">
        <v>0.78</v>
      </c>
      <c r="AA47" s="198" t="n">
        <v>279.59</v>
      </c>
      <c r="AB47" s="198" t="n">
        <v>280.01</v>
      </c>
      <c r="AC47" s="198" t="n">
        <v>20.46</v>
      </c>
      <c r="AD47" s="198" t="n">
        <v>20.75</v>
      </c>
      <c r="AE47" s="889" t="s">
        <v>219</v>
      </c>
      <c r="AF47" s="198" t="n">
        <v>0.06</v>
      </c>
      <c r="AG47" s="198" t="n">
        <v>0.06</v>
      </c>
      <c r="AH47" s="198" t="n">
        <v>0.74</v>
      </c>
      <c r="AI47" s="198" t="n">
        <v>0.74</v>
      </c>
      <c r="AJ47" s="198" t="n">
        <v>55.88</v>
      </c>
      <c r="AK47" s="198" t="n">
        <v>57.11</v>
      </c>
      <c r="AL47" s="198" t="n">
        <v>9.39</v>
      </c>
      <c r="AM47" s="198" t="n">
        <v>9.63</v>
      </c>
      <c r="AN47" s="198" t="n">
        <v>220.56</v>
      </c>
      <c r="AO47" s="198" t="n">
        <v>220.52</v>
      </c>
      <c r="AP47" s="198" t="n">
        <v>0.55</v>
      </c>
      <c r="AQ47" s="198" t="n">
        <v>0.55</v>
      </c>
      <c r="AR47" s="198" t="n">
        <v>1.67</v>
      </c>
      <c r="AS47" s="198" t="n">
        <v>1.67</v>
      </c>
      <c r="AT47" s="889" t="s">
        <v>219</v>
      </c>
      <c r="AU47" s="198" t="n">
        <v>23.29</v>
      </c>
      <c r="AV47" s="198" t="n">
        <v>23.18</v>
      </c>
      <c r="AW47" s="198" t="n">
        <v>1.35</v>
      </c>
      <c r="AX47" s="198" t="n">
        <v>1.37</v>
      </c>
      <c r="AY47" s="198" t="n">
        <v>22.63</v>
      </c>
      <c r="AZ47" s="198" t="n">
        <v>22.63</v>
      </c>
      <c r="BA47" s="198" t="n">
        <v>0.07</v>
      </c>
      <c r="BB47" s="198" t="n">
        <v>0.07</v>
      </c>
      <c r="BC47" s="198" t="n">
        <v>62.53</v>
      </c>
      <c r="BD47" s="198" t="n">
        <v>62.95</v>
      </c>
      <c r="BE47" s="198" t="n">
        <v>8.99</v>
      </c>
      <c r="BF47" s="198" t="n">
        <v>9.08</v>
      </c>
      <c r="BG47" s="198" t="n">
        <v>0.47</v>
      </c>
      <c r="BH47" s="198" t="n">
        <v>0.47</v>
      </c>
      <c r="BI47" s="889" t="s">
        <v>219</v>
      </c>
      <c r="BJ47" s="715" t="n">
        <v>86.25</v>
      </c>
      <c r="BK47" s="417" t="n">
        <v>87.58</v>
      </c>
      <c r="BL47" s="417" t="n">
        <v>0.19</v>
      </c>
      <c r="BM47" s="417" t="n">
        <v>0.19</v>
      </c>
      <c r="BN47" s="417" t="n">
        <v>117.01</v>
      </c>
      <c r="BO47" s="417" t="n">
        <v>117.39</v>
      </c>
      <c r="BP47" s="715" t="n">
        <v>2.81</v>
      </c>
      <c r="BQ47" s="417" t="n">
        <v>2.84</v>
      </c>
      <c r="BR47" s="715" t="n">
        <v>23.11</v>
      </c>
      <c r="BS47" s="715" t="n">
        <v>23.11</v>
      </c>
      <c r="BT47" s="715" t="n">
        <v>84.9</v>
      </c>
      <c r="BU47" s="715" t="n">
        <v>84.9</v>
      </c>
      <c r="BV47" s="715" t="n">
        <v>111.05</v>
      </c>
      <c r="BW47" s="715" t="n">
        <v>111.34</v>
      </c>
    </row>
    <row r="48" s="515" customFormat="true" ht="9.75" hidden="false" customHeight="true" outlineLevel="0" collapsed="false">
      <c r="A48" s="890" t="s">
        <v>220</v>
      </c>
      <c r="B48" s="708" t="n">
        <v>58.39</v>
      </c>
      <c r="C48" s="708" t="n">
        <v>57.07</v>
      </c>
      <c r="D48" s="708" t="n">
        <v>84.9</v>
      </c>
      <c r="E48" s="708" t="n">
        <v>84.9</v>
      </c>
      <c r="F48" s="1537" t="n">
        <v>225.18</v>
      </c>
      <c r="G48" s="708" t="n">
        <v>225.2</v>
      </c>
      <c r="H48" s="708" t="n">
        <v>64.96</v>
      </c>
      <c r="I48" s="708" t="n">
        <v>64.28</v>
      </c>
      <c r="J48" s="708" t="n">
        <v>12.28</v>
      </c>
      <c r="K48" s="708" t="n">
        <v>12.33</v>
      </c>
      <c r="L48" s="708" t="n">
        <v>12.62</v>
      </c>
      <c r="M48" s="708" t="n">
        <v>12.53</v>
      </c>
      <c r="N48" s="708" t="n">
        <v>94.3</v>
      </c>
      <c r="O48" s="708" t="n">
        <v>93.66</v>
      </c>
      <c r="P48" s="890" t="s">
        <v>220</v>
      </c>
      <c r="Q48" s="1243" t="n">
        <v>10.92</v>
      </c>
      <c r="R48" s="1243" t="n">
        <v>10.93</v>
      </c>
      <c r="S48" s="1243" t="n">
        <v>1.19</v>
      </c>
      <c r="T48" s="1243" t="n">
        <v>1.19</v>
      </c>
      <c r="U48" s="1243" t="n">
        <v>0.01</v>
      </c>
      <c r="V48" s="1243" t="n">
        <v>0.01</v>
      </c>
      <c r="W48" s="1243" t="n">
        <v>0</v>
      </c>
      <c r="X48" s="1243" t="n">
        <v>0</v>
      </c>
      <c r="Y48" s="1243" t="n">
        <v>0.78</v>
      </c>
      <c r="Z48" s="1243" t="n">
        <v>0.78</v>
      </c>
      <c r="AA48" s="1243" t="n">
        <v>279.75</v>
      </c>
      <c r="AB48" s="1243" t="n">
        <v>279.23</v>
      </c>
      <c r="AC48" s="1243" t="n">
        <v>20.82</v>
      </c>
      <c r="AD48" s="1243" t="n">
        <v>20.77</v>
      </c>
      <c r="AE48" s="890" t="s">
        <v>220</v>
      </c>
      <c r="AF48" s="1243" t="n">
        <v>0.06</v>
      </c>
      <c r="AG48" s="1243" t="n">
        <v>0.06</v>
      </c>
      <c r="AH48" s="1243" t="n">
        <v>0.74</v>
      </c>
      <c r="AI48" s="1243" t="n">
        <v>0.74</v>
      </c>
      <c r="AJ48" s="1243" t="n">
        <v>56.23</v>
      </c>
      <c r="AK48" s="1243" t="n">
        <v>55.07</v>
      </c>
      <c r="AL48" s="1243" t="n">
        <v>9.51</v>
      </c>
      <c r="AM48" s="1243" t="n">
        <v>9.25</v>
      </c>
      <c r="AN48" s="1243" t="n">
        <v>220.54</v>
      </c>
      <c r="AO48" s="1243" t="n">
        <v>220.52</v>
      </c>
      <c r="AP48" s="1243" t="n">
        <v>0.55</v>
      </c>
      <c r="AQ48" s="1243" t="n">
        <v>0.55</v>
      </c>
      <c r="AR48" s="1243" t="n">
        <v>1.67</v>
      </c>
      <c r="AS48" s="1243" t="n">
        <v>1.67</v>
      </c>
      <c r="AT48" s="890" t="s">
        <v>220</v>
      </c>
      <c r="AU48" s="1243" t="n">
        <v>23.29</v>
      </c>
      <c r="AV48" s="1243" t="n">
        <v>23.18</v>
      </c>
      <c r="AW48" s="1243" t="n">
        <v>1.37</v>
      </c>
      <c r="AX48" s="1243" t="n">
        <v>1.35</v>
      </c>
      <c r="AY48" s="1243" t="n">
        <v>22.63</v>
      </c>
      <c r="AZ48" s="1243" t="n">
        <v>22.63</v>
      </c>
      <c r="BA48" s="1243" t="n">
        <v>0.07</v>
      </c>
      <c r="BB48" s="1243" t="n">
        <v>0.07</v>
      </c>
      <c r="BC48" s="1243" t="n">
        <v>62.88</v>
      </c>
      <c r="BD48" s="1243" t="n">
        <v>62.35</v>
      </c>
      <c r="BE48" s="1243" t="n">
        <v>8.94</v>
      </c>
      <c r="BF48" s="1243" t="n">
        <v>8.8</v>
      </c>
      <c r="BG48" s="1243" t="n">
        <v>0.47</v>
      </c>
      <c r="BH48" s="1243" t="n">
        <v>0.47</v>
      </c>
      <c r="BI48" s="890" t="s">
        <v>220</v>
      </c>
      <c r="BJ48" s="708" t="n">
        <v>87.53</v>
      </c>
      <c r="BK48" s="1537" t="n">
        <v>87.57</v>
      </c>
      <c r="BL48" s="1537" t="n">
        <v>0.19</v>
      </c>
      <c r="BM48" s="1537" t="n">
        <v>0.19</v>
      </c>
      <c r="BN48" s="1537" t="n">
        <v>117.17</v>
      </c>
      <c r="BO48" s="1537" t="n">
        <v>116.81</v>
      </c>
      <c r="BP48" s="708" t="n">
        <v>2.79</v>
      </c>
      <c r="BQ48" s="1537" t="n">
        <v>2.73</v>
      </c>
      <c r="BR48" s="708" t="n">
        <v>23.11</v>
      </c>
      <c r="BS48" s="708" t="n">
        <v>23.11</v>
      </c>
      <c r="BT48" s="708" t="n">
        <v>84.9</v>
      </c>
      <c r="BU48" s="708" t="n">
        <v>84.9</v>
      </c>
      <c r="BV48" s="708" t="n">
        <v>111.08</v>
      </c>
      <c r="BW48" s="708" t="n">
        <v>111.18</v>
      </c>
    </row>
    <row r="49" s="515" customFormat="true" ht="9.75" hidden="false" customHeight="true" outlineLevel="0" collapsed="false">
      <c r="A49" s="889" t="s">
        <v>221</v>
      </c>
      <c r="B49" s="715" t="n">
        <v>56.73</v>
      </c>
      <c r="C49" s="715" t="n">
        <v>55.8</v>
      </c>
      <c r="D49" s="715" t="n">
        <v>84.95</v>
      </c>
      <c r="E49" s="715" t="n">
        <v>84.95</v>
      </c>
      <c r="F49" s="417" t="n">
        <v>225.34</v>
      </c>
      <c r="G49" s="715" t="n">
        <v>225.54</v>
      </c>
      <c r="H49" s="715" t="n">
        <v>64.01</v>
      </c>
      <c r="I49" s="715" t="n">
        <v>63.44</v>
      </c>
      <c r="J49" s="715" t="n">
        <v>12.16</v>
      </c>
      <c r="K49" s="715" t="n">
        <v>12.12</v>
      </c>
      <c r="L49" s="715" t="n">
        <v>12.41</v>
      </c>
      <c r="M49" s="715" t="n">
        <v>12.51</v>
      </c>
      <c r="N49" s="715" t="n">
        <v>92.71</v>
      </c>
      <c r="O49" s="715" t="n">
        <v>93.44</v>
      </c>
      <c r="P49" s="889" t="s">
        <v>221</v>
      </c>
      <c r="Q49" s="198" t="n">
        <v>10.93</v>
      </c>
      <c r="R49" s="198" t="n">
        <v>10.9</v>
      </c>
      <c r="S49" s="198" t="n">
        <v>1.19</v>
      </c>
      <c r="T49" s="198" t="n">
        <v>1.19</v>
      </c>
      <c r="U49" s="198" t="n">
        <v>0.01</v>
      </c>
      <c r="V49" s="198" t="n">
        <v>0.01</v>
      </c>
      <c r="W49" s="198" t="n">
        <v>0</v>
      </c>
      <c r="X49" s="198" t="n">
        <v>0</v>
      </c>
      <c r="Y49" s="198" t="n">
        <v>0.77</v>
      </c>
      <c r="Z49" s="198" t="n">
        <v>0.78</v>
      </c>
      <c r="AA49" s="198" t="n">
        <v>278.44</v>
      </c>
      <c r="AB49" s="198" t="n">
        <v>277.66</v>
      </c>
      <c r="AC49" s="198" t="n">
        <v>20.43</v>
      </c>
      <c r="AD49" s="198" t="n">
        <v>20.1</v>
      </c>
      <c r="AE49" s="889" t="s">
        <v>221</v>
      </c>
      <c r="AF49" s="198" t="n">
        <v>0.06</v>
      </c>
      <c r="AG49" s="198" t="n">
        <v>0.06</v>
      </c>
      <c r="AH49" s="198" t="n">
        <v>0.73</v>
      </c>
      <c r="AI49" s="198" t="n">
        <v>0.73</v>
      </c>
      <c r="AJ49" s="198" t="n">
        <v>54.42</v>
      </c>
      <c r="AK49" s="198" t="n">
        <v>53.59</v>
      </c>
      <c r="AL49" s="198" t="n">
        <v>9.16</v>
      </c>
      <c r="AM49" s="198" t="n">
        <v>9.05</v>
      </c>
      <c r="AN49" s="198" t="n">
        <v>220.69</v>
      </c>
      <c r="AO49" s="198" t="n">
        <v>220.65</v>
      </c>
      <c r="AP49" s="198" t="n">
        <v>0.55</v>
      </c>
      <c r="AQ49" s="198" t="n">
        <v>0.55</v>
      </c>
      <c r="AR49" s="198" t="n">
        <v>1.67</v>
      </c>
      <c r="AS49" s="198" t="n">
        <v>1.67</v>
      </c>
      <c r="AT49" s="889" t="s">
        <v>221</v>
      </c>
      <c r="AU49" s="198" t="n">
        <v>23.33</v>
      </c>
      <c r="AV49" s="198" t="n">
        <v>23.33</v>
      </c>
      <c r="AW49" s="198" t="n">
        <v>1.33</v>
      </c>
      <c r="AX49" s="198" t="n">
        <v>1.3</v>
      </c>
      <c r="AY49" s="198" t="n">
        <v>22.65</v>
      </c>
      <c r="AZ49" s="198" t="n">
        <v>22.63</v>
      </c>
      <c r="BA49" s="198" t="n">
        <v>0.07</v>
      </c>
      <c r="BB49" s="198" t="n">
        <v>0.07</v>
      </c>
      <c r="BC49" s="198" t="n">
        <v>61.22</v>
      </c>
      <c r="BD49" s="198" t="n">
        <v>60.89</v>
      </c>
      <c r="BE49" s="198" t="n">
        <v>8.77</v>
      </c>
      <c r="BF49" s="198" t="n">
        <v>8.75</v>
      </c>
      <c r="BG49" s="198" t="n">
        <v>0.47</v>
      </c>
      <c r="BH49" s="198" t="n">
        <v>0.47</v>
      </c>
      <c r="BI49" s="889" t="s">
        <v>221</v>
      </c>
      <c r="BJ49" s="715" t="n">
        <v>87.03</v>
      </c>
      <c r="BK49" s="417" t="n">
        <v>87.79</v>
      </c>
      <c r="BL49" s="417" t="n">
        <v>0.19</v>
      </c>
      <c r="BM49" s="417" t="n">
        <v>0.19</v>
      </c>
      <c r="BN49" s="417" t="n">
        <v>116.32</v>
      </c>
      <c r="BO49" s="417" t="n">
        <v>116.35</v>
      </c>
      <c r="BP49" s="715" t="n">
        <v>2.71</v>
      </c>
      <c r="BQ49" s="417" t="n">
        <v>2.68</v>
      </c>
      <c r="BR49" s="715" t="n">
        <v>23.13</v>
      </c>
      <c r="BS49" s="715" t="n">
        <v>23.13</v>
      </c>
      <c r="BT49" s="715" t="n">
        <v>84.95</v>
      </c>
      <c r="BU49" s="715" t="n">
        <v>84.95</v>
      </c>
      <c r="BV49" s="715" t="n">
        <v>110.33</v>
      </c>
      <c r="BW49" s="715" t="n">
        <v>109.46</v>
      </c>
    </row>
    <row r="50" s="515" customFormat="true" ht="9" hidden="false" customHeight="true" outlineLevel="0" collapsed="false">
      <c r="A50" s="890" t="s">
        <v>222</v>
      </c>
      <c r="B50" s="708" t="n">
        <v>52.78</v>
      </c>
      <c r="C50" s="708" t="n">
        <v>50.61</v>
      </c>
      <c r="D50" s="708" t="n">
        <v>84.95</v>
      </c>
      <c r="E50" s="708" t="n">
        <v>84.95</v>
      </c>
      <c r="F50" s="1537" t="n">
        <v>225.09</v>
      </c>
      <c r="G50" s="708" t="n">
        <v>224.71</v>
      </c>
      <c r="H50" s="708" t="n">
        <v>60.92</v>
      </c>
      <c r="I50" s="708" t="n">
        <v>58.74</v>
      </c>
      <c r="J50" s="708" t="n">
        <v>12.11</v>
      </c>
      <c r="K50" s="708" t="n">
        <v>12.01</v>
      </c>
      <c r="L50" s="708" t="n">
        <v>12.53</v>
      </c>
      <c r="M50" s="708" t="n">
        <v>12.27</v>
      </c>
      <c r="N50" s="708" t="n">
        <v>93.6</v>
      </c>
      <c r="O50" s="708" t="n">
        <v>91.65</v>
      </c>
      <c r="P50" s="890" t="s">
        <v>222</v>
      </c>
      <c r="Q50" s="1243" t="n">
        <v>10.94</v>
      </c>
      <c r="R50" s="1243" t="n">
        <v>10.96</v>
      </c>
      <c r="S50" s="1243" t="n">
        <v>1.14</v>
      </c>
      <c r="T50" s="1243" t="n">
        <v>1.11</v>
      </c>
      <c r="U50" s="1243" t="n">
        <v>0.01</v>
      </c>
      <c r="V50" s="1243" t="n">
        <v>0.01</v>
      </c>
      <c r="W50" s="1243" t="n">
        <v>0</v>
      </c>
      <c r="X50" s="1243" t="n">
        <v>0</v>
      </c>
      <c r="Y50" s="1243" t="n">
        <v>0.79</v>
      </c>
      <c r="Z50" s="1243" t="n">
        <v>0.76</v>
      </c>
      <c r="AA50" s="1243" t="n">
        <v>275.14</v>
      </c>
      <c r="AB50" s="1243" t="n">
        <v>271.67</v>
      </c>
      <c r="AC50" s="1243" t="n">
        <v>19.74</v>
      </c>
      <c r="AD50" s="1243" t="n">
        <v>19.33</v>
      </c>
      <c r="AE50" s="890" t="s">
        <v>222</v>
      </c>
      <c r="AF50" s="1243" t="n">
        <v>0.06</v>
      </c>
      <c r="AG50" s="1243" t="n">
        <v>0.06</v>
      </c>
      <c r="AH50" s="1243" t="n">
        <v>0.73</v>
      </c>
      <c r="AI50" s="1243" t="n">
        <v>0.72</v>
      </c>
      <c r="AJ50" s="1243" t="n">
        <v>51.29</v>
      </c>
      <c r="AK50" s="1243" t="n">
        <v>49.51</v>
      </c>
      <c r="AL50" s="1243" t="n">
        <v>8.3</v>
      </c>
      <c r="AM50" s="1243" t="n">
        <v>7.63</v>
      </c>
      <c r="AN50" s="1243" t="n">
        <v>220.69</v>
      </c>
      <c r="AO50" s="1243" t="n">
        <v>220.59</v>
      </c>
      <c r="AP50" s="1243" t="n">
        <v>0.54</v>
      </c>
      <c r="AQ50" s="1243" t="n">
        <v>0.53</v>
      </c>
      <c r="AR50" s="1243" t="n">
        <v>1.67</v>
      </c>
      <c r="AS50" s="1243" t="n">
        <v>1.66</v>
      </c>
      <c r="AT50" s="890" t="s">
        <v>222</v>
      </c>
      <c r="AU50" s="1243" t="n">
        <v>23.32</v>
      </c>
      <c r="AV50" s="1243" t="n">
        <v>23.33</v>
      </c>
      <c r="AW50" s="1243" t="n">
        <v>1.15</v>
      </c>
      <c r="AX50" s="1243" t="n">
        <v>1.08</v>
      </c>
      <c r="AY50" s="1243" t="n">
        <v>22.63</v>
      </c>
      <c r="AZ50" s="1243" t="n">
        <v>22.61</v>
      </c>
      <c r="BA50" s="1243" t="n">
        <v>0.07</v>
      </c>
      <c r="BB50" s="1243" t="n">
        <v>0.07</v>
      </c>
      <c r="BC50" s="1243" t="n">
        <v>59.96</v>
      </c>
      <c r="BD50" s="1243" t="n">
        <v>58.73</v>
      </c>
      <c r="BE50" s="1243" t="n">
        <v>8.65</v>
      </c>
      <c r="BF50" s="1243" t="n">
        <v>8.41</v>
      </c>
      <c r="BG50" s="1243" t="n">
        <v>0.46</v>
      </c>
      <c r="BH50" s="1243" t="n">
        <v>0.45</v>
      </c>
      <c r="BI50" s="890" t="s">
        <v>222</v>
      </c>
      <c r="BJ50" s="708" t="n">
        <v>88.36</v>
      </c>
      <c r="BK50" s="1537" t="n">
        <v>86.53</v>
      </c>
      <c r="BL50" s="1537" t="n">
        <v>0.19</v>
      </c>
      <c r="BM50" s="1537" t="n">
        <v>0.19</v>
      </c>
      <c r="BN50" s="1537" t="n">
        <v>116.52</v>
      </c>
      <c r="BO50" s="1537" t="n">
        <v>115.08</v>
      </c>
      <c r="BP50" s="708" t="n">
        <v>2.65</v>
      </c>
      <c r="BQ50" s="1537" t="n">
        <v>2.59</v>
      </c>
      <c r="BR50" s="708" t="n">
        <v>23.13</v>
      </c>
      <c r="BS50" s="708" t="n">
        <v>23.13</v>
      </c>
      <c r="BT50" s="708" t="n">
        <v>84.95</v>
      </c>
      <c r="BU50" s="708" t="n">
        <v>84.95</v>
      </c>
      <c r="BV50" s="708" t="n">
        <v>104.48</v>
      </c>
      <c r="BW50" s="708" t="n">
        <v>99.89</v>
      </c>
    </row>
    <row r="51" s="515" customFormat="true" ht="10.5" hidden="false" customHeight="true" outlineLevel="0" collapsed="false">
      <c r="A51" s="889" t="s">
        <v>223</v>
      </c>
      <c r="B51" s="715" t="n">
        <v>53.96</v>
      </c>
      <c r="C51" s="715" t="n">
        <v>54.84</v>
      </c>
      <c r="D51" s="715" t="n">
        <v>84.95</v>
      </c>
      <c r="E51" s="715" t="n">
        <v>84.95</v>
      </c>
      <c r="F51" s="417" t="n">
        <v>225.11</v>
      </c>
      <c r="G51" s="715" t="n">
        <v>225.3</v>
      </c>
      <c r="H51" s="715" t="n">
        <v>60.21</v>
      </c>
      <c r="I51" s="715" t="n">
        <v>60.25</v>
      </c>
      <c r="J51" s="715" t="n">
        <v>12</v>
      </c>
      <c r="K51" s="715" t="n">
        <v>11.97</v>
      </c>
      <c r="L51" s="715" t="n">
        <v>12.37</v>
      </c>
      <c r="M51" s="715" t="n">
        <v>12.32</v>
      </c>
      <c r="N51" s="715" t="n">
        <v>91.99</v>
      </c>
      <c r="O51" s="715" t="n">
        <v>91.89</v>
      </c>
      <c r="P51" s="889" t="s">
        <v>223</v>
      </c>
      <c r="Q51" s="198" t="n">
        <v>10.96</v>
      </c>
      <c r="R51" s="198" t="n">
        <v>10.96</v>
      </c>
      <c r="S51" s="198" t="n">
        <v>1.12</v>
      </c>
      <c r="T51" s="198" t="n">
        <v>1.13</v>
      </c>
      <c r="U51" s="198" t="n">
        <v>0.01</v>
      </c>
      <c r="V51" s="198" t="n">
        <v>0.01</v>
      </c>
      <c r="W51" s="198" t="n">
        <v>0</v>
      </c>
      <c r="X51" s="198" t="n">
        <v>0</v>
      </c>
      <c r="Y51" s="198" t="n">
        <v>0.79</v>
      </c>
      <c r="Z51" s="198" t="n">
        <v>0.79</v>
      </c>
      <c r="AA51" s="198" t="n">
        <v>273.65</v>
      </c>
      <c r="AB51" s="198" t="n">
        <v>274.65</v>
      </c>
      <c r="AC51" s="198" t="n">
        <v>19.51</v>
      </c>
      <c r="AD51" s="198" t="n">
        <v>19.6</v>
      </c>
      <c r="AE51" s="889" t="s">
        <v>223</v>
      </c>
      <c r="AF51" s="198" t="n">
        <v>0.06</v>
      </c>
      <c r="AG51" s="198" t="n">
        <v>0.06</v>
      </c>
      <c r="AH51" s="198" t="n">
        <v>0.73</v>
      </c>
      <c r="AI51" s="198" t="n">
        <v>0.73</v>
      </c>
      <c r="AJ51" s="198" t="n">
        <v>51.06</v>
      </c>
      <c r="AK51" s="198" t="n">
        <v>50.9</v>
      </c>
      <c r="AL51" s="198" t="n">
        <v>8.13</v>
      </c>
      <c r="AM51" s="198" t="n">
        <v>8.36</v>
      </c>
      <c r="AN51" s="198" t="n">
        <v>220.93</v>
      </c>
      <c r="AO51" s="198" t="n">
        <v>220.94</v>
      </c>
      <c r="AP51" s="198" t="n">
        <v>0.52</v>
      </c>
      <c r="AQ51" s="198" t="n">
        <v>0.53</v>
      </c>
      <c r="AR51" s="198" t="n">
        <v>1.68</v>
      </c>
      <c r="AS51" s="198" t="n">
        <v>1.69</v>
      </c>
      <c r="AT51" s="889" t="s">
        <v>223</v>
      </c>
      <c r="AU51" s="198" t="n">
        <v>23.23</v>
      </c>
      <c r="AV51" s="198" t="n">
        <v>23.33</v>
      </c>
      <c r="AW51" s="198" t="n">
        <v>1.13</v>
      </c>
      <c r="AX51" s="198" t="n">
        <v>1.16</v>
      </c>
      <c r="AY51" s="198" t="n">
        <v>22.6</v>
      </c>
      <c r="AZ51" s="198" t="n">
        <v>22.62</v>
      </c>
      <c r="BA51" s="198" t="n">
        <v>0.07</v>
      </c>
      <c r="BB51" s="198" t="n">
        <v>0.07</v>
      </c>
      <c r="BC51" s="198" t="n">
        <v>59.65</v>
      </c>
      <c r="BD51" s="198" t="n">
        <v>59.82</v>
      </c>
      <c r="BE51" s="198" t="n">
        <v>8.49</v>
      </c>
      <c r="BF51" s="198" t="n">
        <v>8.63</v>
      </c>
      <c r="BG51" s="198" t="n">
        <v>0.44</v>
      </c>
      <c r="BH51" s="198" t="n">
        <v>0.44</v>
      </c>
      <c r="BI51" s="889" t="s">
        <v>223</v>
      </c>
      <c r="BJ51" s="715" t="n">
        <v>87.46</v>
      </c>
      <c r="BK51" s="417" t="n">
        <v>87.38</v>
      </c>
      <c r="BL51" s="417" t="n">
        <v>0.17</v>
      </c>
      <c r="BM51" s="417" t="n">
        <v>0.17</v>
      </c>
      <c r="BN51" s="417" t="n">
        <v>115.75</v>
      </c>
      <c r="BO51" s="417" t="n">
        <v>115.77</v>
      </c>
      <c r="BP51" s="715" t="n">
        <v>2.61</v>
      </c>
      <c r="BQ51" s="417" t="n">
        <v>2.64</v>
      </c>
      <c r="BR51" s="715" t="n">
        <v>23.13</v>
      </c>
      <c r="BS51" s="715" t="n">
        <v>23.13</v>
      </c>
      <c r="BT51" s="715" t="n">
        <v>84.95</v>
      </c>
      <c r="BU51" s="715" t="n">
        <v>84.95</v>
      </c>
      <c r="BV51" s="715" t="n">
        <v>104.93</v>
      </c>
      <c r="BW51" s="715" t="n">
        <v>103.9</v>
      </c>
    </row>
    <row r="52" s="515" customFormat="true" ht="10.5" hidden="false" customHeight="true" outlineLevel="0" collapsed="false">
      <c r="A52" s="890" t="s">
        <v>224</v>
      </c>
      <c r="B52" s="708" t="n">
        <v>55.26</v>
      </c>
      <c r="C52" s="708" t="n">
        <v>56.64</v>
      </c>
      <c r="D52" s="708" t="n">
        <v>84.95</v>
      </c>
      <c r="E52" s="708" t="n">
        <v>84.95</v>
      </c>
      <c r="F52" s="1537" t="n">
        <v>225.15</v>
      </c>
      <c r="G52" s="708" t="n">
        <v>225.18</v>
      </c>
      <c r="H52" s="708" t="n">
        <v>60.71</v>
      </c>
      <c r="I52" s="708" t="n">
        <v>61.69</v>
      </c>
      <c r="J52" s="708" t="n">
        <v>11.98</v>
      </c>
      <c r="K52" s="708" t="n">
        <v>11.91</v>
      </c>
      <c r="L52" s="708" t="n">
        <v>12.4</v>
      </c>
      <c r="M52" s="708" t="n">
        <v>12.66</v>
      </c>
      <c r="N52" s="708" t="n">
        <v>92.34</v>
      </c>
      <c r="O52" s="708" t="n">
        <v>94.29</v>
      </c>
      <c r="P52" s="890" t="s">
        <v>224</v>
      </c>
      <c r="Q52" s="1243" t="n">
        <v>10.96</v>
      </c>
      <c r="R52" s="1243" t="n">
        <v>10.96</v>
      </c>
      <c r="S52" s="1243" t="n">
        <v>1.13</v>
      </c>
      <c r="T52" s="1243" t="n">
        <v>1.12</v>
      </c>
      <c r="U52" s="1243" t="n">
        <v>0.01</v>
      </c>
      <c r="V52" s="1243" t="n">
        <v>0.01</v>
      </c>
      <c r="W52" s="1243" t="n">
        <v>0</v>
      </c>
      <c r="X52" s="1243" t="n">
        <v>0</v>
      </c>
      <c r="Y52" s="1243" t="n">
        <v>0.79</v>
      </c>
      <c r="Z52" s="1243" t="n">
        <v>0.79</v>
      </c>
      <c r="AA52" s="1243" t="n">
        <v>274.89</v>
      </c>
      <c r="AB52" s="1243" t="n">
        <v>275.5</v>
      </c>
      <c r="AC52" s="1243" t="n">
        <v>19.6</v>
      </c>
      <c r="AD52" s="1243" t="n">
        <v>19.55</v>
      </c>
      <c r="AE52" s="890" t="s">
        <v>224</v>
      </c>
      <c r="AF52" s="1243" t="n">
        <v>0.06</v>
      </c>
      <c r="AG52" s="1243" t="n">
        <v>0.06</v>
      </c>
      <c r="AH52" s="1243" t="n">
        <v>0.73</v>
      </c>
      <c r="AI52" s="1243" t="n">
        <v>0.74</v>
      </c>
      <c r="AJ52" s="1243" t="n">
        <v>51.5</v>
      </c>
      <c r="AK52" s="1243" t="n">
        <v>52.69</v>
      </c>
      <c r="AL52" s="1243" t="n">
        <v>8.4</v>
      </c>
      <c r="AM52" s="1243" t="n">
        <v>8.73</v>
      </c>
      <c r="AN52" s="1243" t="n">
        <v>220.96</v>
      </c>
      <c r="AO52" s="1243" t="n">
        <v>221.22</v>
      </c>
      <c r="AP52" s="1243" t="n">
        <v>0.53</v>
      </c>
      <c r="AQ52" s="1243" t="n">
        <v>0.52</v>
      </c>
      <c r="AR52" s="1243" t="n">
        <v>1.68</v>
      </c>
      <c r="AS52" s="1243" t="n">
        <v>1.68</v>
      </c>
      <c r="AT52" s="890" t="s">
        <v>224</v>
      </c>
      <c r="AU52" s="1243" t="n">
        <v>23.31</v>
      </c>
      <c r="AV52" s="1243" t="n">
        <v>23.21</v>
      </c>
      <c r="AW52" s="1243" t="n">
        <v>1.17</v>
      </c>
      <c r="AX52" s="1243" t="n">
        <v>1.21</v>
      </c>
      <c r="AY52" s="1243" t="n">
        <v>22.62</v>
      </c>
      <c r="AZ52" s="1243" t="n">
        <v>22.61</v>
      </c>
      <c r="BA52" s="1243" t="n">
        <v>0.07</v>
      </c>
      <c r="BB52" s="1243" t="n">
        <v>0.07</v>
      </c>
      <c r="BC52" s="1243" t="n">
        <v>59.91</v>
      </c>
      <c r="BD52" s="1243" t="n">
        <v>60.07</v>
      </c>
      <c r="BE52" s="1243" t="n">
        <v>8.69</v>
      </c>
      <c r="BF52" s="1243" t="n">
        <v>8.98</v>
      </c>
      <c r="BG52" s="1243" t="n">
        <v>0.45</v>
      </c>
      <c r="BH52" s="1243" t="n">
        <v>0.46</v>
      </c>
      <c r="BI52" s="890" t="s">
        <v>224</v>
      </c>
      <c r="BJ52" s="708" t="n">
        <v>87.64</v>
      </c>
      <c r="BK52" s="1537" t="n">
        <v>88.37</v>
      </c>
      <c r="BL52" s="1537" t="n">
        <v>0.17</v>
      </c>
      <c r="BM52" s="1537" t="n">
        <v>0.17</v>
      </c>
      <c r="BN52" s="1537" t="n">
        <v>115.84</v>
      </c>
      <c r="BO52" s="1537" t="n">
        <v>116.55</v>
      </c>
      <c r="BP52" s="708" t="n">
        <v>2.64</v>
      </c>
      <c r="BQ52" s="1537" t="n">
        <v>2.67</v>
      </c>
      <c r="BR52" s="708" t="n">
        <v>23.13</v>
      </c>
      <c r="BS52" s="708" t="n">
        <v>23.13</v>
      </c>
      <c r="BT52" s="708" t="n">
        <v>84.95</v>
      </c>
      <c r="BU52" s="708" t="n">
        <v>84.95</v>
      </c>
      <c r="BV52" s="708" t="n">
        <v>104.48</v>
      </c>
      <c r="BW52" s="708" t="n">
        <v>104.88</v>
      </c>
    </row>
    <row r="53" s="515" customFormat="true" ht="10.5" hidden="false" customHeight="true" outlineLevel="0" collapsed="false">
      <c r="A53" s="889" t="s">
        <v>225</v>
      </c>
      <c r="B53" s="715" t="n">
        <v>58.55</v>
      </c>
      <c r="C53" s="715" t="n">
        <v>58.28</v>
      </c>
      <c r="D53" s="715" t="n">
        <v>84.92</v>
      </c>
      <c r="E53" s="715" t="n">
        <v>84.9</v>
      </c>
      <c r="F53" s="417" t="n">
        <v>224.95</v>
      </c>
      <c r="G53" s="715" t="n">
        <v>224.84</v>
      </c>
      <c r="H53" s="715" t="n">
        <v>62.67</v>
      </c>
      <c r="I53" s="715" t="n">
        <v>62.16</v>
      </c>
      <c r="J53" s="715" t="n">
        <v>11.99</v>
      </c>
      <c r="K53" s="715" t="n">
        <v>11.99</v>
      </c>
      <c r="L53" s="715" t="n">
        <v>12.82</v>
      </c>
      <c r="M53" s="715" t="n">
        <v>12.81</v>
      </c>
      <c r="N53" s="715" t="n">
        <v>95.54</v>
      </c>
      <c r="O53" s="715" t="n">
        <v>95.44</v>
      </c>
      <c r="P53" s="889" t="s">
        <v>225</v>
      </c>
      <c r="Q53" s="198" t="n">
        <v>10.96</v>
      </c>
      <c r="R53" s="198" t="n">
        <v>10.95</v>
      </c>
      <c r="S53" s="198" t="n">
        <v>1.12</v>
      </c>
      <c r="T53" s="198" t="n">
        <v>1.12</v>
      </c>
      <c r="U53" s="198" t="n">
        <v>0.01</v>
      </c>
      <c r="V53" s="198" t="n">
        <v>0.01</v>
      </c>
      <c r="W53" s="198" t="n">
        <v>0</v>
      </c>
      <c r="X53" s="198" t="n">
        <v>0</v>
      </c>
      <c r="Y53" s="198" t="n">
        <v>0.79</v>
      </c>
      <c r="Z53" s="198" t="n">
        <v>0.79</v>
      </c>
      <c r="AA53" s="198" t="n">
        <v>275.89</v>
      </c>
      <c r="AB53" s="198" t="n">
        <v>275.87</v>
      </c>
      <c r="AC53" s="198" t="n">
        <v>19.86</v>
      </c>
      <c r="AD53" s="198" t="n">
        <v>19.84</v>
      </c>
      <c r="AE53" s="889" t="s">
        <v>225</v>
      </c>
      <c r="AF53" s="198" t="n">
        <v>0.06</v>
      </c>
      <c r="AG53" s="198" t="n">
        <v>0.06</v>
      </c>
      <c r="AH53" s="198" t="n">
        <v>0.74</v>
      </c>
      <c r="AI53" s="198" t="n">
        <v>0.74</v>
      </c>
      <c r="AJ53" s="198" t="n">
        <v>54.7</v>
      </c>
      <c r="AK53" s="198" t="n">
        <v>54.51</v>
      </c>
      <c r="AL53" s="198" t="n">
        <v>8.91</v>
      </c>
      <c r="AM53" s="198" t="n">
        <v>8.78</v>
      </c>
      <c r="AN53" s="198" t="n">
        <v>220.6</v>
      </c>
      <c r="AO53" s="198" t="n">
        <v>220.52</v>
      </c>
      <c r="AP53" s="198" t="n">
        <v>0.51</v>
      </c>
      <c r="AQ53" s="198" t="n">
        <v>0.51</v>
      </c>
      <c r="AR53" s="198" t="n">
        <v>1.7</v>
      </c>
      <c r="AS53" s="198" t="n">
        <v>1.71</v>
      </c>
      <c r="AT53" s="889" t="s">
        <v>225</v>
      </c>
      <c r="AU53" s="198" t="n">
        <v>23.3</v>
      </c>
      <c r="AV53" s="198" t="n">
        <v>23.32</v>
      </c>
      <c r="AW53" s="198" t="n">
        <v>1.23</v>
      </c>
      <c r="AX53" s="198" t="n">
        <v>1.21</v>
      </c>
      <c r="AY53" s="198" t="n">
        <v>22.63</v>
      </c>
      <c r="AZ53" s="198" t="n">
        <v>22.63</v>
      </c>
      <c r="BA53" s="198" t="n">
        <v>0.07</v>
      </c>
      <c r="BB53" s="198" t="n">
        <v>0.07</v>
      </c>
      <c r="BC53" s="198" t="n">
        <v>60.91</v>
      </c>
      <c r="BD53" s="198" t="n">
        <v>60.92</v>
      </c>
      <c r="BE53" s="198" t="n">
        <v>9.12</v>
      </c>
      <c r="BF53" s="198" t="n">
        <v>9.1</v>
      </c>
      <c r="BG53" s="198" t="n">
        <v>0.46</v>
      </c>
      <c r="BH53" s="198" t="n">
        <v>0.46</v>
      </c>
      <c r="BI53" s="889" t="s">
        <v>225</v>
      </c>
      <c r="BJ53" s="715" t="n">
        <v>89.13</v>
      </c>
      <c r="BK53" s="417" t="n">
        <v>89.24</v>
      </c>
      <c r="BL53" s="417" t="n">
        <v>0.17</v>
      </c>
      <c r="BM53" s="417" t="n">
        <v>0.17</v>
      </c>
      <c r="BN53" s="417" t="n">
        <v>117.17</v>
      </c>
      <c r="BO53" s="417" t="n">
        <v>117.14</v>
      </c>
      <c r="BP53" s="715" t="n">
        <v>2.72</v>
      </c>
      <c r="BQ53" s="417" t="n">
        <v>2.75</v>
      </c>
      <c r="BR53" s="715" t="n">
        <v>23.12</v>
      </c>
      <c r="BS53" s="715" t="n">
        <v>23.11</v>
      </c>
      <c r="BT53" s="715" t="n">
        <v>84.92</v>
      </c>
      <c r="BU53" s="715" t="n">
        <v>84.9</v>
      </c>
      <c r="BV53" s="715" t="n">
        <v>106.38</v>
      </c>
      <c r="BW53" s="715" t="n">
        <v>104.41</v>
      </c>
    </row>
    <row r="54" s="515" customFormat="true" ht="10.5" hidden="false" customHeight="true" outlineLevel="0" collapsed="false">
      <c r="A54" s="475" t="s">
        <v>284</v>
      </c>
      <c r="B54" s="708"/>
      <c r="C54" s="708"/>
      <c r="D54" s="708"/>
      <c r="E54" s="708"/>
      <c r="F54" s="1537"/>
      <c r="G54" s="708"/>
      <c r="H54" s="708"/>
      <c r="I54" s="708"/>
      <c r="J54" s="708"/>
      <c r="K54" s="708"/>
      <c r="L54" s="708"/>
      <c r="M54" s="708"/>
      <c r="N54" s="708"/>
      <c r="O54" s="708"/>
      <c r="P54" s="475" t="s">
        <v>284</v>
      </c>
      <c r="Q54" s="1243"/>
      <c r="R54" s="1243"/>
      <c r="S54" s="1243"/>
      <c r="T54" s="1243"/>
      <c r="U54" s="1243"/>
      <c r="V54" s="1243"/>
      <c r="W54" s="1243"/>
      <c r="X54" s="1243"/>
      <c r="Y54" s="1243"/>
      <c r="Z54" s="1243"/>
      <c r="AA54" s="1243"/>
      <c r="AB54" s="1243"/>
      <c r="AC54" s="1243"/>
      <c r="AD54" s="1243"/>
      <c r="AE54" s="475" t="s">
        <v>284</v>
      </c>
      <c r="AF54" s="1243"/>
      <c r="AG54" s="1243"/>
      <c r="AH54" s="1243"/>
      <c r="AI54" s="1243"/>
      <c r="AJ54" s="1243"/>
      <c r="AK54" s="1243"/>
      <c r="AL54" s="1243"/>
      <c r="AM54" s="1243"/>
      <c r="AN54" s="1243"/>
      <c r="AO54" s="1243"/>
      <c r="AP54" s="1243"/>
      <c r="AQ54" s="1243"/>
      <c r="AR54" s="1243"/>
      <c r="AS54" s="1243"/>
      <c r="AT54" s="475" t="s">
        <v>284</v>
      </c>
      <c r="AU54" s="1243"/>
      <c r="AV54" s="1243"/>
      <c r="AW54" s="1243"/>
      <c r="AX54" s="1243"/>
      <c r="AY54" s="1243"/>
      <c r="AZ54" s="1243"/>
      <c r="BA54" s="1243"/>
      <c r="BB54" s="1243"/>
      <c r="BC54" s="1243"/>
      <c r="BD54" s="1243"/>
      <c r="BE54" s="1243"/>
      <c r="BF54" s="1243"/>
      <c r="BG54" s="1243"/>
      <c r="BH54" s="1243"/>
      <c r="BI54" s="475" t="s">
        <v>284</v>
      </c>
      <c r="BJ54" s="708"/>
      <c r="BK54" s="1537"/>
      <c r="BL54" s="1537"/>
      <c r="BM54" s="1537"/>
      <c r="BN54" s="1537"/>
      <c r="BO54" s="1537"/>
      <c r="BP54" s="708"/>
      <c r="BQ54" s="1537"/>
      <c r="BR54" s="708"/>
      <c r="BS54" s="708"/>
      <c r="BT54" s="708"/>
      <c r="BU54" s="708"/>
      <c r="BV54" s="708"/>
      <c r="BW54" s="708"/>
    </row>
    <row r="55" s="515" customFormat="true" ht="10.5" hidden="false" customHeight="true" outlineLevel="0" collapsed="false">
      <c r="A55" s="1400" t="s">
        <v>214</v>
      </c>
      <c r="B55" s="1538" t="n">
        <v>59.57</v>
      </c>
      <c r="C55" s="1538" t="n">
        <v>60.95</v>
      </c>
      <c r="D55" s="1538" t="n">
        <v>84.81</v>
      </c>
      <c r="E55" s="1538" t="n">
        <v>84.8</v>
      </c>
      <c r="F55" s="1539" t="n">
        <v>224.93</v>
      </c>
      <c r="G55" s="1538" t="n">
        <v>224.93</v>
      </c>
      <c r="H55" s="1538" t="n">
        <v>62.8</v>
      </c>
      <c r="I55" s="1538" t="n">
        <v>63.56</v>
      </c>
      <c r="J55" s="1538" t="n">
        <v>12.1</v>
      </c>
      <c r="K55" s="1538" t="n">
        <v>12.13</v>
      </c>
      <c r="L55" s="1538" t="n">
        <v>13.03</v>
      </c>
      <c r="M55" s="1538" t="n">
        <v>13.44</v>
      </c>
      <c r="N55" s="1538" t="n">
        <v>97.05</v>
      </c>
      <c r="O55" s="1538" t="n">
        <v>100</v>
      </c>
      <c r="P55" s="1400" t="s">
        <v>214</v>
      </c>
      <c r="Q55" s="1392" t="n">
        <v>10.94</v>
      </c>
      <c r="R55" s="1392" t="n">
        <v>10.94</v>
      </c>
      <c r="S55" s="1392" t="n">
        <v>1.13</v>
      </c>
      <c r="T55" s="1392" t="n">
        <v>1.13</v>
      </c>
      <c r="U55" s="1392" t="n">
        <v>0.01</v>
      </c>
      <c r="V55" s="1392" t="n">
        <v>0.01</v>
      </c>
      <c r="W55" s="1392" t="n">
        <v>0</v>
      </c>
      <c r="X55" s="1392" t="n">
        <v>0</v>
      </c>
      <c r="Y55" s="1392" t="n">
        <v>0.79</v>
      </c>
      <c r="Z55" s="1392" t="n">
        <v>0.81</v>
      </c>
      <c r="AA55" s="1392" t="n">
        <v>275.96</v>
      </c>
      <c r="AB55" s="1392" t="n">
        <v>277.31</v>
      </c>
      <c r="AC55" s="1392" t="n">
        <v>19.89</v>
      </c>
      <c r="AD55" s="1392" t="n">
        <v>19.99</v>
      </c>
      <c r="AE55" s="1400" t="s">
        <v>214</v>
      </c>
      <c r="AF55" s="1392" t="n">
        <v>0.06</v>
      </c>
      <c r="AG55" s="1392" t="n">
        <v>0.06</v>
      </c>
      <c r="AH55" s="1392" t="n">
        <v>0.74</v>
      </c>
      <c r="AI55" s="1392" t="n">
        <v>0.75</v>
      </c>
      <c r="AJ55" s="1392" t="n">
        <v>55.84</v>
      </c>
      <c r="AK55" s="1392" t="n">
        <v>56.55</v>
      </c>
      <c r="AL55" s="1392" t="n">
        <v>9.12</v>
      </c>
      <c r="AM55" s="1392" t="n">
        <v>9.39</v>
      </c>
      <c r="AN55" s="1392" t="n">
        <v>220.3</v>
      </c>
      <c r="AO55" s="1392" t="n">
        <v>220.26</v>
      </c>
      <c r="AP55" s="1392" t="n">
        <v>0.51</v>
      </c>
      <c r="AQ55" s="1392" t="n">
        <v>0.51</v>
      </c>
      <c r="AR55" s="1392" t="n">
        <v>1.71</v>
      </c>
      <c r="AS55" s="1392" t="n">
        <v>1.7</v>
      </c>
      <c r="AT55" s="1400" t="s">
        <v>214</v>
      </c>
      <c r="AU55" s="1392" t="n">
        <v>23.28</v>
      </c>
      <c r="AV55" s="1392" t="n">
        <v>23.29</v>
      </c>
      <c r="AW55" s="1392" t="n">
        <v>1.19</v>
      </c>
      <c r="AX55" s="1392" t="n">
        <v>1.17</v>
      </c>
      <c r="AY55" s="1392" t="n">
        <v>22.61</v>
      </c>
      <c r="AZ55" s="1392" t="n">
        <v>22.61</v>
      </c>
      <c r="BA55" s="1392" t="n">
        <v>0.07</v>
      </c>
      <c r="BB55" s="1392" t="n">
        <v>0.07</v>
      </c>
      <c r="BC55" s="1392" t="n">
        <v>61.1</v>
      </c>
      <c r="BD55" s="1392" t="n">
        <v>61.74</v>
      </c>
      <c r="BE55" s="1392" t="n">
        <v>9.37</v>
      </c>
      <c r="BF55" s="1392" t="n">
        <v>9.72</v>
      </c>
      <c r="BG55" s="1392" t="n">
        <v>0.46</v>
      </c>
      <c r="BH55" s="1392" t="n">
        <v>0.46</v>
      </c>
      <c r="BI55" s="1400" t="s">
        <v>214</v>
      </c>
      <c r="BJ55" s="1538" t="n">
        <v>90.68</v>
      </c>
      <c r="BK55" s="1539" t="n">
        <v>92.92</v>
      </c>
      <c r="BL55" s="1539" t="n">
        <v>0.07</v>
      </c>
      <c r="BM55" s="1539" t="n">
        <v>0.07</v>
      </c>
      <c r="BN55" s="1538" t="n">
        <v>117.8</v>
      </c>
      <c r="BO55" s="1538" t="n">
        <v>119.3</v>
      </c>
      <c r="BP55" s="1538" t="n">
        <v>2.7</v>
      </c>
      <c r="BQ55" s="1538" t="n">
        <v>2.7</v>
      </c>
      <c r="BR55" s="1538" t="n">
        <v>23.09</v>
      </c>
      <c r="BS55" s="1538" t="n">
        <v>23.09</v>
      </c>
      <c r="BT55" s="1538" t="n">
        <v>84.81</v>
      </c>
      <c r="BU55" s="1538" t="n">
        <v>84.8</v>
      </c>
      <c r="BV55" s="1538" t="n">
        <v>107.26</v>
      </c>
      <c r="BW55" s="1538" t="n">
        <v>110.21</v>
      </c>
    </row>
    <row r="56" s="423" customFormat="true" ht="12.75" hidden="false" customHeight="true" outlineLevel="0" collapsed="false">
      <c r="A56" s="1540" t="s">
        <v>2541</v>
      </c>
      <c r="B56" s="1541" t="s">
        <v>2542</v>
      </c>
      <c r="C56" s="893"/>
      <c r="D56" s="893"/>
      <c r="E56" s="893"/>
      <c r="F56" s="893"/>
      <c r="G56" s="893"/>
      <c r="H56" s="1542" t="s">
        <v>2543</v>
      </c>
      <c r="I56" s="960" t="s">
        <v>398</v>
      </c>
      <c r="J56" s="960"/>
      <c r="K56" s="960"/>
      <c r="L56" s="960"/>
      <c r="M56" s="960"/>
      <c r="N56" s="1475"/>
      <c r="O56" s="1475"/>
      <c r="P56" s="1543"/>
      <c r="Q56" s="893"/>
      <c r="R56" s="893"/>
      <c r="S56" s="893"/>
      <c r="T56" s="893"/>
      <c r="U56" s="893"/>
      <c r="V56" s="893"/>
      <c r="AE56" s="1543" t="s">
        <v>687</v>
      </c>
      <c r="AF56" s="960" t="s">
        <v>2544</v>
      </c>
      <c r="AG56" s="960"/>
      <c r="AH56" s="960"/>
      <c r="AI56" s="960"/>
      <c r="AJ56" s="960"/>
      <c r="AK56" s="960"/>
      <c r="AT56" s="894"/>
      <c r="AU56" s="893"/>
      <c r="AV56" s="893"/>
      <c r="AW56" s="893"/>
      <c r="AX56" s="893"/>
      <c r="AY56" s="893"/>
      <c r="AZ56" s="893"/>
      <c r="BI56" s="1543"/>
      <c r="BJ56" s="522"/>
      <c r="BK56" s="522"/>
      <c r="BL56" s="522"/>
      <c r="BM56" s="522"/>
      <c r="BN56" s="522"/>
      <c r="BO56" s="522"/>
      <c r="BP56" s="522"/>
      <c r="BQ56" s="522"/>
      <c r="BR56" s="522"/>
      <c r="BS56" s="522"/>
      <c r="BT56" s="522"/>
      <c r="BU56" s="522"/>
      <c r="BV56" s="522"/>
      <c r="BW56" s="522"/>
    </row>
    <row r="57" s="423" customFormat="true" ht="12.75" hidden="false" customHeight="true" outlineLevel="0" collapsed="false">
      <c r="A57" s="1541"/>
      <c r="B57" s="733"/>
      <c r="P57" s="1541"/>
      <c r="AE57" s="1544"/>
      <c r="AT57" s="1541"/>
      <c r="BI57" s="1541"/>
      <c r="BJ57" s="1059"/>
      <c r="BK57" s="1059"/>
      <c r="BL57" s="1059"/>
      <c r="BM57" s="1059"/>
      <c r="BN57" s="1059"/>
      <c r="BO57" s="1059"/>
      <c r="BP57" s="1059"/>
      <c r="BQ57" s="1059"/>
      <c r="BR57" s="1059"/>
      <c r="BS57" s="1059"/>
      <c r="BT57" s="1059"/>
      <c r="BU57" s="1059"/>
      <c r="BV57" s="1059"/>
      <c r="BW57" s="1059"/>
    </row>
    <row r="58" s="423" customFormat="true" ht="12.75" hidden="false" customHeight="true" outlineLevel="0" collapsed="false">
      <c r="A58" s="1541"/>
      <c r="B58" s="1545"/>
      <c r="C58" s="963"/>
      <c r="D58" s="963"/>
      <c r="E58" s="963"/>
      <c r="F58" s="963"/>
      <c r="G58" s="963"/>
      <c r="S58" s="1541"/>
      <c r="AK58" s="1541"/>
      <c r="BC58" s="1541"/>
      <c r="BU58" s="1541"/>
      <c r="BV58" s="1059"/>
      <c r="BW58" s="1059"/>
    </row>
    <row r="59" s="423" customFormat="true" ht="12.75" hidden="false" customHeight="true" outlineLevel="0" collapsed="false">
      <c r="A59" s="1541"/>
      <c r="B59" s="737"/>
      <c r="C59" s="963"/>
      <c r="D59" s="963"/>
      <c r="E59" s="963"/>
      <c r="F59" s="963"/>
      <c r="G59" s="963"/>
      <c r="S59" s="1541"/>
      <c r="AK59" s="1541"/>
      <c r="BC59" s="1541"/>
      <c r="BU59" s="1541"/>
      <c r="BV59" s="1059"/>
      <c r="BW59" s="1059"/>
    </row>
    <row r="60" customFormat="false" ht="12.75" hidden="false" customHeight="true" outlineLevel="0" collapsed="false">
      <c r="A60" s="1546"/>
      <c r="B60" s="1547"/>
      <c r="C60" s="1547"/>
      <c r="D60" s="1547"/>
      <c r="E60" s="1547"/>
      <c r="F60" s="1547"/>
      <c r="G60" s="1547"/>
      <c r="H60" s="1547"/>
      <c r="I60" s="1547"/>
      <c r="J60" s="1547"/>
      <c r="K60" s="1547"/>
      <c r="L60" s="1547"/>
      <c r="M60" s="1547"/>
      <c r="N60" s="1547"/>
      <c r="O60" s="1547"/>
      <c r="P60" s="1548"/>
      <c r="Q60" s="1548"/>
      <c r="R60" s="1548"/>
      <c r="S60" s="1548"/>
      <c r="T60" s="1548"/>
      <c r="U60" s="1548"/>
      <c r="V60" s="1548"/>
      <c r="W60" s="1548"/>
      <c r="X60" s="1548"/>
      <c r="Y60" s="1548"/>
      <c r="Z60" s="1548"/>
      <c r="AA60" s="1548"/>
      <c r="AB60" s="1548"/>
      <c r="AC60" s="1548"/>
      <c r="AD60" s="1547"/>
      <c r="AE60" s="1547"/>
      <c r="AF60" s="1547"/>
      <c r="AG60" s="1547"/>
      <c r="AH60" s="1547"/>
      <c r="AI60" s="1547"/>
      <c r="AJ60" s="1547"/>
      <c r="AK60" s="1547"/>
      <c r="AL60" s="1547"/>
      <c r="AM60" s="1547"/>
      <c r="AN60" s="1547"/>
      <c r="AO60" s="1547"/>
      <c r="AP60" s="1547"/>
      <c r="AQ60" s="1547"/>
      <c r="AR60" s="1547"/>
      <c r="AS60" s="1547"/>
      <c r="AT60" s="1547"/>
      <c r="AU60" s="1547"/>
      <c r="AV60" s="1547"/>
      <c r="AW60" s="1547"/>
      <c r="AX60" s="1547"/>
      <c r="AY60" s="1547"/>
      <c r="AZ60" s="1547"/>
      <c r="BA60" s="1547"/>
      <c r="BB60" s="1547"/>
      <c r="BC60" s="1547"/>
      <c r="BD60" s="1547"/>
      <c r="BE60" s="1547"/>
      <c r="BF60" s="1547"/>
      <c r="BG60" s="1547"/>
      <c r="BH60" s="1547"/>
      <c r="BI60" s="1547"/>
      <c r="BJ60" s="1547"/>
      <c r="BK60" s="1547"/>
      <c r="BL60" s="1547"/>
      <c r="BM60" s="1547"/>
      <c r="BN60" s="1547"/>
      <c r="BO60" s="1547"/>
      <c r="BP60" s="1547"/>
      <c r="BQ60" s="1547"/>
      <c r="BR60" s="1547"/>
      <c r="BS60" s="1547"/>
      <c r="BT60" s="515"/>
      <c r="BU60" s="1546"/>
      <c r="BV60" s="515"/>
      <c r="BW60" s="515"/>
    </row>
    <row r="61" customFormat="false" ht="12.75" hidden="false" customHeight="true" outlineLevel="0" collapsed="false">
      <c r="A61" s="524"/>
      <c r="B61" s="1549"/>
      <c r="C61" s="1549"/>
      <c r="D61" s="1549"/>
      <c r="E61" s="1549"/>
      <c r="F61" s="1549"/>
      <c r="G61" s="1549"/>
      <c r="H61" s="1549"/>
      <c r="I61" s="1549"/>
      <c r="J61" s="1549"/>
      <c r="K61" s="1549"/>
      <c r="L61" s="1549"/>
      <c r="M61" s="1549"/>
      <c r="N61" s="1549"/>
      <c r="O61" s="1549"/>
      <c r="P61" s="1548"/>
      <c r="Q61" s="1548"/>
      <c r="R61" s="1548"/>
      <c r="S61" s="1548"/>
      <c r="T61" s="1548"/>
      <c r="U61" s="1548"/>
      <c r="V61" s="1548"/>
      <c r="W61" s="1548"/>
      <c r="X61" s="1548"/>
      <c r="Y61" s="1548"/>
      <c r="Z61" s="1548"/>
      <c r="AA61" s="1548"/>
      <c r="AB61" s="1548"/>
      <c r="AC61" s="1548"/>
      <c r="AD61" s="1548"/>
      <c r="AE61" s="1548"/>
      <c r="AF61" s="1548"/>
      <c r="AG61" s="1548"/>
      <c r="AH61" s="1548"/>
      <c r="AI61" s="1548"/>
      <c r="AJ61" s="1548"/>
      <c r="AK61" s="1548"/>
      <c r="AL61" s="1548"/>
      <c r="AM61" s="1548"/>
      <c r="AN61" s="1548"/>
      <c r="AO61" s="1548"/>
      <c r="AP61" s="1548"/>
      <c r="AQ61" s="1548"/>
      <c r="AR61" s="1548"/>
      <c r="AS61" s="1548"/>
      <c r="AT61" s="1548"/>
      <c r="AU61" s="1548"/>
      <c r="AV61" s="1548"/>
      <c r="AW61" s="1548"/>
      <c r="AX61" s="1548"/>
      <c r="AY61" s="1548"/>
      <c r="AZ61" s="1548"/>
      <c r="BA61" s="1548"/>
      <c r="BB61" s="1548"/>
      <c r="BC61" s="1548"/>
      <c r="BD61" s="1548"/>
      <c r="BE61" s="1548"/>
      <c r="BF61" s="1548"/>
      <c r="BG61" s="1548"/>
      <c r="BH61" s="1548"/>
      <c r="BI61" s="1548"/>
      <c r="BJ61" s="1548"/>
      <c r="BK61" s="1548"/>
      <c r="BL61" s="1548"/>
      <c r="BM61" s="1548"/>
      <c r="BN61" s="1548"/>
      <c r="BO61" s="1548"/>
      <c r="BP61" s="1548"/>
      <c r="BQ61" s="1548"/>
      <c r="BR61" s="1548"/>
      <c r="BS61" s="1548"/>
      <c r="BT61" s="1548"/>
      <c r="BU61" s="707"/>
      <c r="BV61" s="525"/>
      <c r="BW61" s="525"/>
    </row>
    <row r="62" customFormat="false" ht="11.25" hidden="false" customHeight="false" outlineLevel="0" collapsed="false">
      <c r="A62" s="524"/>
      <c r="B62" s="1549"/>
      <c r="C62" s="1549"/>
      <c r="D62" s="1549"/>
      <c r="E62" s="1549"/>
      <c r="F62" s="1549"/>
      <c r="G62" s="1549"/>
      <c r="H62" s="1549"/>
      <c r="I62" s="1549"/>
      <c r="J62" s="1549"/>
      <c r="K62" s="1549"/>
      <c r="L62" s="1549"/>
      <c r="M62" s="1549"/>
      <c r="N62" s="1549"/>
      <c r="O62" s="1549"/>
      <c r="P62" s="1548"/>
      <c r="Q62" s="1548"/>
      <c r="R62" s="1548"/>
      <c r="S62" s="1548"/>
      <c r="T62" s="1548"/>
      <c r="U62" s="1548"/>
      <c r="V62" s="1548"/>
      <c r="W62" s="1548"/>
      <c r="X62" s="1548"/>
      <c r="Y62" s="1548"/>
      <c r="Z62" s="1548"/>
      <c r="AA62" s="1548"/>
      <c r="AB62" s="1548"/>
      <c r="AC62" s="1548"/>
      <c r="AD62" s="1548"/>
      <c r="AE62" s="1548"/>
      <c r="AF62" s="1548"/>
      <c r="AG62" s="1548"/>
      <c r="AH62" s="1548"/>
      <c r="AI62" s="1548"/>
      <c r="AJ62" s="1548"/>
      <c r="AK62" s="1548"/>
      <c r="AL62" s="1548"/>
      <c r="AM62" s="1548"/>
      <c r="AN62" s="1548"/>
      <c r="AO62" s="1548"/>
      <c r="AP62" s="1548"/>
      <c r="AQ62" s="1548"/>
      <c r="AR62" s="1548"/>
      <c r="AS62" s="1548"/>
      <c r="AU62" s="1549"/>
      <c r="AV62" s="1549"/>
      <c r="AW62" s="1549"/>
      <c r="AX62" s="1549"/>
      <c r="AY62" s="1549"/>
      <c r="AZ62" s="1549"/>
      <c r="BA62" s="1549"/>
      <c r="BB62" s="1549"/>
      <c r="BC62" s="1549"/>
      <c r="BD62" s="1549"/>
      <c r="BE62" s="1549"/>
      <c r="BF62" s="1549"/>
      <c r="BG62" s="1549"/>
      <c r="BH62" s="1549"/>
      <c r="BI62" s="1549"/>
      <c r="BJ62" s="1549"/>
      <c r="BK62" s="1549"/>
      <c r="BL62" s="1549"/>
      <c r="BM62" s="1549"/>
      <c r="BN62" s="1549"/>
      <c r="BO62" s="1549"/>
      <c r="BP62" s="1549"/>
      <c r="BQ62" s="1549"/>
      <c r="BR62" s="1549"/>
      <c r="BS62" s="1549"/>
      <c r="BT62" s="1549"/>
      <c r="BU62" s="1549"/>
      <c r="BV62" s="1549"/>
      <c r="BW62" s="1549"/>
      <c r="BX62" s="1549"/>
      <c r="BY62" s="1549"/>
    </row>
    <row r="63" customFormat="false" ht="11.25" hidden="false" customHeight="false" outlineLevel="0" collapsed="false">
      <c r="A63" s="524"/>
      <c r="B63" s="525"/>
      <c r="C63" s="525"/>
      <c r="D63" s="525"/>
      <c r="E63" s="525"/>
      <c r="F63" s="525"/>
      <c r="G63" s="525"/>
      <c r="H63" s="525"/>
      <c r="I63" s="525"/>
      <c r="J63" s="525"/>
      <c r="K63" s="525"/>
      <c r="L63" s="525"/>
      <c r="M63" s="525"/>
      <c r="N63" s="525"/>
      <c r="O63" s="525"/>
      <c r="P63" s="525"/>
      <c r="Q63" s="525"/>
      <c r="R63" s="525"/>
      <c r="S63" s="525"/>
      <c r="T63" s="525"/>
      <c r="U63" s="525"/>
      <c r="V63" s="525"/>
      <c r="W63" s="525"/>
      <c r="X63" s="525"/>
      <c r="Y63" s="525"/>
      <c r="Z63" s="525"/>
      <c r="AA63" s="525"/>
      <c r="AB63" s="525"/>
      <c r="AC63" s="525"/>
      <c r="AD63" s="525"/>
      <c r="AE63" s="525"/>
      <c r="AF63" s="525"/>
      <c r="AG63" s="525"/>
      <c r="AH63" s="525"/>
      <c r="AI63" s="525"/>
      <c r="AJ63" s="525"/>
      <c r="AK63" s="525"/>
      <c r="AL63" s="525"/>
      <c r="AM63" s="525"/>
      <c r="AN63" s="525"/>
      <c r="AO63" s="525"/>
      <c r="AP63" s="525"/>
      <c r="AQ63" s="525"/>
      <c r="AR63" s="525"/>
      <c r="AS63" s="525"/>
      <c r="AT63" s="525"/>
      <c r="AU63" s="525"/>
      <c r="AV63" s="525"/>
      <c r="AW63" s="525"/>
      <c r="AX63" s="525"/>
      <c r="AY63" s="525"/>
      <c r="AZ63" s="525"/>
      <c r="BA63" s="525"/>
      <c r="BB63" s="525"/>
      <c r="BC63" s="525"/>
      <c r="BD63" s="525"/>
      <c r="BE63" s="525"/>
      <c r="BF63" s="525"/>
      <c r="BG63" s="525"/>
      <c r="BH63" s="525"/>
      <c r="BI63" s="525"/>
      <c r="BJ63" s="525"/>
      <c r="BK63" s="525"/>
      <c r="BL63" s="525"/>
      <c r="BM63" s="525"/>
      <c r="BN63" s="525"/>
      <c r="BO63" s="525"/>
      <c r="BP63" s="525"/>
      <c r="BQ63" s="525"/>
      <c r="BR63" s="525"/>
      <c r="BS63" s="525"/>
      <c r="BT63" s="525"/>
      <c r="BU63" s="525"/>
      <c r="BV63" s="525"/>
      <c r="BW63" s="525"/>
    </row>
    <row r="64" customFormat="false" ht="11.25" hidden="false" customHeight="false" outlineLevel="0" collapsed="false">
      <c r="A64" s="469"/>
      <c r="B64" s="1416"/>
      <c r="C64" s="1416"/>
      <c r="D64" s="1416"/>
      <c r="E64" s="1416"/>
      <c r="F64" s="1416"/>
      <c r="G64" s="1416"/>
      <c r="H64" s="1416"/>
      <c r="I64" s="1416"/>
      <c r="J64" s="1416"/>
      <c r="K64" s="1416"/>
      <c r="L64" s="1416"/>
      <c r="M64" s="1416"/>
      <c r="N64" s="1416"/>
      <c r="O64" s="1416"/>
      <c r="Q64" s="707"/>
      <c r="R64" s="707"/>
      <c r="S64" s="1416"/>
      <c r="T64" s="1416"/>
      <c r="U64" s="1416"/>
      <c r="V64" s="1416"/>
      <c r="W64" s="1416"/>
      <c r="X64" s="1416"/>
      <c r="Y64" s="1416"/>
      <c r="Z64" s="1416"/>
      <c r="AA64" s="1416"/>
      <c r="AB64" s="1416"/>
      <c r="AC64" s="1416"/>
      <c r="AD64" s="1416"/>
      <c r="AF64" s="1416"/>
      <c r="AG64" s="707"/>
      <c r="AH64" s="1416"/>
      <c r="AI64" s="707"/>
      <c r="AJ64" s="1416"/>
      <c r="AK64" s="1416"/>
      <c r="AL64" s="1416"/>
      <c r="AM64" s="1416"/>
      <c r="AN64" s="1416"/>
      <c r="AO64" s="1416"/>
      <c r="AP64" s="1416"/>
      <c r="AQ64" s="1416"/>
      <c r="AR64" s="1416"/>
      <c r="AS64" s="1416"/>
      <c r="AU64" s="1416"/>
      <c r="AV64" s="1416"/>
      <c r="AW64" s="707"/>
      <c r="AX64" s="1416"/>
      <c r="AY64" s="1416"/>
      <c r="AZ64" s="707"/>
      <c r="BA64" s="1416"/>
      <c r="BB64" s="1416"/>
      <c r="BC64" s="1416"/>
      <c r="BD64" s="1416"/>
      <c r="BE64" s="1416"/>
      <c r="BF64" s="1416"/>
      <c r="BG64" s="1416"/>
      <c r="BH64" s="1416"/>
      <c r="BJ64" s="1416"/>
      <c r="BK64" s="1416"/>
      <c r="BL64" s="1416"/>
      <c r="BM64" s="707"/>
      <c r="BN64" s="1416"/>
      <c r="BO64" s="1416"/>
      <c r="BP64" s="1416"/>
      <c r="BQ64" s="707"/>
      <c r="BR64" s="1416"/>
      <c r="BS64" s="1416"/>
      <c r="BT64" s="1416"/>
      <c r="BU64" s="1416"/>
      <c r="BV64" s="1416"/>
      <c r="BW64" s="1416"/>
    </row>
    <row r="65" customFormat="false" ht="11.25" hidden="false" customHeight="false" outlineLevel="0" collapsed="false">
      <c r="A65" s="469"/>
      <c r="B65" s="715"/>
      <c r="C65" s="715"/>
      <c r="D65" s="715"/>
      <c r="E65" s="715"/>
      <c r="F65" s="715"/>
      <c r="G65" s="715"/>
      <c r="H65" s="715"/>
      <c r="I65" s="715"/>
      <c r="J65" s="715"/>
      <c r="K65" s="715"/>
      <c r="L65" s="715"/>
      <c r="M65" s="715"/>
      <c r="N65" s="715"/>
      <c r="O65" s="715"/>
      <c r="P65" s="715"/>
      <c r="Q65" s="715"/>
      <c r="R65" s="715"/>
      <c r="S65" s="715"/>
      <c r="T65" s="715"/>
      <c r="U65" s="715"/>
      <c r="V65" s="715"/>
      <c r="W65" s="715"/>
      <c r="X65" s="715"/>
      <c r="Y65" s="715"/>
      <c r="Z65" s="715"/>
      <c r="AA65" s="715"/>
      <c r="AB65" s="715"/>
      <c r="AC65" s="715"/>
      <c r="AD65" s="715"/>
      <c r="AE65" s="715"/>
      <c r="AF65" s="715"/>
      <c r="AG65" s="715"/>
      <c r="AH65" s="715"/>
      <c r="AI65" s="715"/>
      <c r="AJ65" s="715"/>
      <c r="AK65" s="715"/>
      <c r="AL65" s="715"/>
      <c r="AM65" s="715"/>
      <c r="AN65" s="715"/>
      <c r="AO65" s="715"/>
      <c r="AP65" s="715"/>
      <c r="AQ65" s="715"/>
      <c r="AR65" s="715"/>
      <c r="AS65" s="715"/>
      <c r="AT65" s="715"/>
      <c r="AU65" s="715"/>
      <c r="AV65" s="715"/>
      <c r="AW65" s="715"/>
      <c r="AX65" s="715"/>
      <c r="AY65" s="715"/>
      <c r="AZ65" s="715"/>
      <c r="BA65" s="715"/>
      <c r="BB65" s="715"/>
      <c r="BC65" s="715"/>
      <c r="BD65" s="715"/>
      <c r="BE65" s="715"/>
      <c r="BF65" s="715"/>
      <c r="BG65" s="715"/>
      <c r="BH65" s="715"/>
      <c r="BI65" s="715"/>
      <c r="BJ65" s="715"/>
      <c r="BK65" s="715"/>
      <c r="BL65" s="715"/>
      <c r="BM65" s="715"/>
      <c r="BN65" s="715"/>
      <c r="BO65" s="715"/>
      <c r="BP65" s="715"/>
      <c r="BQ65" s="715"/>
      <c r="BR65" s="715"/>
      <c r="BS65" s="715"/>
      <c r="BT65" s="715"/>
      <c r="BU65" s="715"/>
      <c r="BV65" s="715"/>
      <c r="BW65" s="715"/>
    </row>
    <row r="66" customFormat="false" ht="11.25" hidden="false" customHeight="false" outlineLevel="0" collapsed="false">
      <c r="A66" s="469"/>
      <c r="B66" s="715"/>
      <c r="C66" s="715"/>
      <c r="D66" s="715"/>
      <c r="E66" s="715"/>
      <c r="F66" s="715"/>
      <c r="G66" s="715"/>
      <c r="H66" s="715"/>
      <c r="I66" s="715"/>
      <c r="J66" s="715"/>
      <c r="K66" s="715"/>
      <c r="L66" s="715"/>
      <c r="M66" s="715"/>
      <c r="N66" s="715"/>
      <c r="O66" s="715"/>
      <c r="P66" s="715"/>
      <c r="Q66" s="715"/>
      <c r="R66" s="715"/>
      <c r="S66" s="715"/>
      <c r="T66" s="715"/>
      <c r="U66" s="715"/>
      <c r="V66" s="715"/>
      <c r="W66" s="715"/>
      <c r="X66" s="715"/>
      <c r="Y66" s="715"/>
      <c r="Z66" s="715"/>
      <c r="AA66" s="715"/>
      <c r="AB66" s="715"/>
      <c r="AC66" s="715"/>
      <c r="AD66" s="715"/>
      <c r="AE66" s="715"/>
      <c r="AF66" s="715"/>
      <c r="AG66" s="715"/>
      <c r="AH66" s="715"/>
      <c r="AI66" s="715"/>
      <c r="AJ66" s="715"/>
      <c r="AK66" s="715"/>
      <c r="AL66" s="715"/>
      <c r="AM66" s="715"/>
      <c r="AN66" s="715"/>
      <c r="AO66" s="715"/>
      <c r="AP66" s="715"/>
      <c r="AQ66" s="715"/>
      <c r="AR66" s="715"/>
      <c r="AS66" s="715"/>
      <c r="AT66" s="715"/>
      <c r="AU66" s="715"/>
      <c r="AV66" s="715"/>
      <c r="AW66" s="715"/>
      <c r="AX66" s="715"/>
      <c r="AY66" s="715"/>
      <c r="AZ66" s="715"/>
      <c r="BA66" s="715"/>
      <c r="BB66" s="715"/>
      <c r="BC66" s="715"/>
      <c r="BD66" s="715"/>
      <c r="BE66" s="715"/>
      <c r="BF66" s="715"/>
      <c r="BG66" s="715"/>
      <c r="BH66" s="715"/>
      <c r="BI66" s="715"/>
      <c r="BJ66" s="715"/>
      <c r="BK66" s="715"/>
      <c r="BL66" s="715"/>
      <c r="BM66" s="715"/>
      <c r="BN66" s="715"/>
      <c r="BO66" s="715"/>
      <c r="BP66" s="715"/>
      <c r="BQ66" s="715"/>
      <c r="BR66" s="715"/>
      <c r="BS66" s="715"/>
      <c r="BT66" s="715"/>
      <c r="BU66" s="715"/>
      <c r="BV66" s="715"/>
      <c r="BW66" s="715"/>
    </row>
    <row r="67" customFormat="false" ht="11.25" hidden="false" customHeight="false" outlineLevel="0" collapsed="false">
      <c r="A67" s="469"/>
      <c r="B67" s="715"/>
      <c r="C67" s="715"/>
      <c r="D67" s="715"/>
      <c r="E67" s="715"/>
      <c r="F67" s="715"/>
      <c r="G67" s="715"/>
      <c r="H67" s="715"/>
      <c r="I67" s="715"/>
      <c r="J67" s="715"/>
      <c r="K67" s="715"/>
      <c r="L67" s="715"/>
      <c r="M67" s="715"/>
      <c r="N67" s="715"/>
      <c r="O67" s="715"/>
      <c r="P67" s="715"/>
      <c r="Q67" s="715"/>
      <c r="R67" s="715"/>
      <c r="S67" s="715"/>
      <c r="T67" s="715"/>
      <c r="U67" s="715"/>
      <c r="V67" s="715"/>
      <c r="W67" s="715"/>
      <c r="X67" s="715"/>
      <c r="Y67" s="715"/>
      <c r="Z67" s="715"/>
      <c r="AA67" s="715"/>
      <c r="AB67" s="715"/>
      <c r="AC67" s="715"/>
      <c r="AD67" s="715"/>
      <c r="AE67" s="715"/>
      <c r="AF67" s="715"/>
      <c r="AG67" s="715"/>
      <c r="AH67" s="715"/>
      <c r="AI67" s="715"/>
      <c r="AJ67" s="715"/>
      <c r="AK67" s="715"/>
      <c r="AL67" s="715"/>
      <c r="AM67" s="715"/>
      <c r="AN67" s="715"/>
      <c r="AO67" s="715"/>
      <c r="AP67" s="715"/>
      <c r="AQ67" s="715"/>
      <c r="AR67" s="715"/>
      <c r="AS67" s="715"/>
      <c r="AT67" s="715"/>
      <c r="AU67" s="715"/>
      <c r="AV67" s="715"/>
      <c r="AW67" s="715"/>
      <c r="AX67" s="715"/>
      <c r="AY67" s="715"/>
      <c r="AZ67" s="715"/>
      <c r="BA67" s="715"/>
      <c r="BB67" s="715"/>
      <c r="BC67" s="715"/>
      <c r="BD67" s="715"/>
      <c r="BE67" s="715"/>
      <c r="BF67" s="715"/>
      <c r="BG67" s="715"/>
      <c r="BH67" s="715"/>
      <c r="BI67" s="715"/>
      <c r="BJ67" s="715"/>
      <c r="BK67" s="715"/>
      <c r="BL67" s="715"/>
      <c r="BM67" s="715"/>
      <c r="BN67" s="715"/>
      <c r="BO67" s="715"/>
      <c r="BP67" s="715"/>
      <c r="BQ67" s="715"/>
      <c r="BR67" s="715"/>
      <c r="BS67" s="715"/>
      <c r="BT67" s="715"/>
      <c r="BU67" s="715"/>
      <c r="BV67" s="715"/>
      <c r="BW67" s="715"/>
    </row>
    <row r="68" customFormat="false" ht="11.25" hidden="false" customHeight="false" outlineLevel="0" collapsed="false">
      <c r="A68" s="469"/>
      <c r="B68" s="715"/>
      <c r="C68" s="715"/>
      <c r="D68" s="715"/>
      <c r="E68" s="715"/>
      <c r="F68" s="715"/>
      <c r="G68" s="715"/>
      <c r="H68" s="715"/>
      <c r="I68" s="715"/>
      <c r="J68" s="715"/>
      <c r="K68" s="715"/>
      <c r="L68" s="715"/>
      <c r="M68" s="715"/>
      <c r="N68" s="715"/>
      <c r="O68" s="715"/>
      <c r="P68" s="715"/>
      <c r="Q68" s="715"/>
      <c r="R68" s="715"/>
      <c r="S68" s="715"/>
      <c r="T68" s="715"/>
      <c r="U68" s="715"/>
      <c r="V68" s="715"/>
      <c r="W68" s="715"/>
      <c r="X68" s="715"/>
      <c r="Y68" s="715"/>
      <c r="Z68" s="715"/>
      <c r="AA68" s="715"/>
      <c r="AB68" s="715"/>
      <c r="AC68" s="715"/>
      <c r="AD68" s="715"/>
      <c r="AE68" s="715"/>
      <c r="AF68" s="715"/>
      <c r="AG68" s="715"/>
      <c r="AH68" s="715"/>
      <c r="AI68" s="715"/>
      <c r="AJ68" s="715"/>
      <c r="AK68" s="715"/>
      <c r="AL68" s="715"/>
      <c r="AM68" s="715"/>
      <c r="AN68" s="715"/>
      <c r="AO68" s="715"/>
      <c r="AP68" s="715"/>
      <c r="AQ68" s="715"/>
      <c r="AR68" s="715"/>
      <c r="AS68" s="715"/>
      <c r="AT68" s="715"/>
      <c r="AU68" s="715"/>
      <c r="AV68" s="715"/>
      <c r="AW68" s="715"/>
      <c r="AX68" s="715"/>
      <c r="AY68" s="715"/>
      <c r="AZ68" s="715"/>
      <c r="BA68" s="715"/>
      <c r="BB68" s="715"/>
      <c r="BC68" s="715"/>
      <c r="BD68" s="715"/>
      <c r="BE68" s="715"/>
      <c r="BF68" s="715"/>
      <c r="BG68" s="715"/>
      <c r="BH68" s="715"/>
      <c r="BI68" s="715"/>
      <c r="BJ68" s="715"/>
      <c r="BK68" s="715"/>
      <c r="BL68" s="715"/>
      <c r="BM68" s="715"/>
      <c r="BN68" s="715"/>
      <c r="BO68" s="715"/>
      <c r="BP68" s="715"/>
      <c r="BQ68" s="715"/>
      <c r="BR68" s="715"/>
      <c r="BS68" s="715"/>
      <c r="BT68" s="715"/>
      <c r="BU68" s="715"/>
      <c r="BV68" s="715"/>
      <c r="BW68" s="715"/>
    </row>
    <row r="69" customFormat="false" ht="11.25" hidden="false" customHeight="false" outlineLevel="0" collapsed="false">
      <c r="B69" s="715"/>
      <c r="C69" s="715"/>
      <c r="D69" s="715"/>
      <c r="E69" s="715"/>
      <c r="F69" s="715"/>
      <c r="G69" s="715"/>
      <c r="H69" s="715"/>
      <c r="I69" s="715"/>
      <c r="J69" s="715"/>
      <c r="K69" s="715"/>
      <c r="L69" s="715"/>
      <c r="M69" s="715"/>
      <c r="N69" s="715"/>
      <c r="O69" s="715"/>
      <c r="P69" s="715"/>
      <c r="Q69" s="715"/>
      <c r="R69" s="715"/>
      <c r="S69" s="715"/>
      <c r="T69" s="715"/>
      <c r="U69" s="715"/>
      <c r="V69" s="715"/>
      <c r="W69" s="715"/>
      <c r="X69" s="715"/>
      <c r="Y69" s="715"/>
      <c r="Z69" s="715"/>
      <c r="AA69" s="715"/>
      <c r="AB69" s="715"/>
      <c r="AC69" s="715"/>
      <c r="AD69" s="715"/>
      <c r="AE69" s="715"/>
      <c r="AF69" s="715"/>
      <c r="AG69" s="715"/>
      <c r="AH69" s="715"/>
      <c r="AI69" s="715"/>
      <c r="AJ69" s="715"/>
      <c r="AK69" s="715"/>
      <c r="AL69" s="715"/>
      <c r="AM69" s="715"/>
      <c r="AN69" s="715"/>
      <c r="AO69" s="715"/>
      <c r="AP69" s="715"/>
      <c r="AQ69" s="715"/>
      <c r="AR69" s="715"/>
      <c r="AS69" s="715"/>
      <c r="AT69" s="715"/>
      <c r="AU69" s="715"/>
      <c r="AV69" s="715"/>
      <c r="AW69" s="715"/>
      <c r="AX69" s="715"/>
      <c r="AY69" s="715"/>
      <c r="AZ69" s="715"/>
      <c r="BA69" s="715"/>
      <c r="BB69" s="715"/>
      <c r="BC69" s="715"/>
      <c r="BD69" s="715"/>
      <c r="BE69" s="715"/>
      <c r="BF69" s="715"/>
      <c r="BG69" s="715"/>
      <c r="BH69" s="715"/>
      <c r="BI69" s="715"/>
      <c r="BJ69" s="715"/>
      <c r="BK69" s="715"/>
      <c r="BL69" s="715"/>
      <c r="BM69" s="715"/>
      <c r="BN69" s="715"/>
      <c r="BO69" s="715"/>
      <c r="BP69" s="715"/>
      <c r="BQ69" s="715"/>
      <c r="BR69" s="715"/>
      <c r="BS69" s="715"/>
      <c r="BT69" s="715"/>
      <c r="BU69" s="715"/>
      <c r="BV69" s="715"/>
      <c r="BW69" s="715"/>
    </row>
    <row r="70" customFormat="false" ht="11.25" hidden="false" customHeight="false" outlineLevel="0" collapsed="false">
      <c r="B70" s="715"/>
      <c r="C70" s="715"/>
      <c r="D70" s="715"/>
      <c r="E70" s="715"/>
      <c r="F70" s="715"/>
      <c r="G70" s="715"/>
      <c r="H70" s="715"/>
      <c r="I70" s="715"/>
      <c r="J70" s="715"/>
      <c r="K70" s="715"/>
      <c r="L70" s="715"/>
      <c r="M70" s="715"/>
      <c r="N70" s="715"/>
      <c r="O70" s="715"/>
      <c r="P70" s="715"/>
      <c r="Q70" s="715"/>
      <c r="R70" s="715"/>
      <c r="S70" s="715"/>
      <c r="T70" s="715"/>
      <c r="U70" s="715"/>
      <c r="V70" s="715"/>
      <c r="W70" s="715"/>
      <c r="X70" s="715"/>
      <c r="Y70" s="715"/>
      <c r="Z70" s="715"/>
      <c r="AA70" s="715"/>
      <c r="AB70" s="715"/>
      <c r="AC70" s="715"/>
      <c r="AD70" s="715"/>
      <c r="AE70" s="715"/>
      <c r="AF70" s="715"/>
      <c r="AG70" s="715"/>
      <c r="AH70" s="715"/>
      <c r="AI70" s="715"/>
      <c r="AJ70" s="715"/>
      <c r="AK70" s="715"/>
      <c r="AL70" s="715"/>
      <c r="AM70" s="715"/>
      <c r="AN70" s="715"/>
      <c r="AO70" s="715"/>
      <c r="AP70" s="715"/>
      <c r="AQ70" s="715"/>
      <c r="AR70" s="715"/>
      <c r="AS70" s="715"/>
      <c r="AT70" s="715"/>
      <c r="AU70" s="715"/>
      <c r="AV70" s="715"/>
      <c r="AW70" s="715"/>
      <c r="AX70" s="715"/>
      <c r="AY70" s="715"/>
      <c r="AZ70" s="715"/>
      <c r="BA70" s="715"/>
      <c r="BB70" s="715"/>
      <c r="BC70" s="715"/>
      <c r="BD70" s="715"/>
      <c r="BE70" s="715"/>
      <c r="BF70" s="715"/>
      <c r="BG70" s="715"/>
      <c r="BH70" s="715"/>
      <c r="BI70" s="715"/>
      <c r="BJ70" s="715"/>
      <c r="BK70" s="715"/>
      <c r="BL70" s="715"/>
      <c r="BM70" s="715"/>
      <c r="BN70" s="715"/>
      <c r="BO70" s="715"/>
      <c r="BP70" s="715"/>
      <c r="BQ70" s="715"/>
      <c r="BR70" s="715"/>
      <c r="BS70" s="715"/>
      <c r="BT70" s="715"/>
      <c r="BU70" s="715"/>
      <c r="BV70" s="715"/>
      <c r="BW70" s="715"/>
    </row>
    <row r="71" customFormat="false" ht="11.25" hidden="false" customHeight="false" outlineLevel="0" collapsed="false">
      <c r="B71" s="715"/>
      <c r="C71" s="715"/>
      <c r="D71" s="715"/>
      <c r="E71" s="715"/>
      <c r="F71" s="715"/>
      <c r="G71" s="715"/>
      <c r="H71" s="715"/>
      <c r="I71" s="715"/>
      <c r="J71" s="715"/>
      <c r="K71" s="715"/>
      <c r="L71" s="715"/>
      <c r="M71" s="715"/>
      <c r="N71" s="715"/>
      <c r="O71" s="715"/>
      <c r="P71" s="715"/>
      <c r="Q71" s="715"/>
      <c r="R71" s="715"/>
      <c r="S71" s="715"/>
      <c r="T71" s="715"/>
      <c r="U71" s="715"/>
      <c r="V71" s="715"/>
      <c r="W71" s="715"/>
      <c r="X71" s="715"/>
      <c r="Y71" s="715"/>
      <c r="Z71" s="715"/>
      <c r="AA71" s="715"/>
      <c r="AB71" s="715"/>
      <c r="AC71" s="715"/>
      <c r="AD71" s="715"/>
      <c r="AE71" s="715"/>
      <c r="AF71" s="715"/>
      <c r="AG71" s="715"/>
      <c r="AH71" s="715"/>
      <c r="AI71" s="715"/>
      <c r="AJ71" s="715"/>
      <c r="AK71" s="715"/>
      <c r="AL71" s="715"/>
      <c r="AM71" s="715"/>
      <c r="AN71" s="715"/>
      <c r="AO71" s="715"/>
      <c r="AP71" s="715"/>
      <c r="AQ71" s="715"/>
      <c r="AR71" s="715"/>
      <c r="AS71" s="715"/>
      <c r="AT71" s="715"/>
      <c r="AU71" s="715"/>
      <c r="AV71" s="715"/>
      <c r="AW71" s="715"/>
      <c r="AX71" s="715"/>
      <c r="AY71" s="715"/>
      <c r="AZ71" s="715"/>
      <c r="BA71" s="715"/>
      <c r="BB71" s="715"/>
      <c r="BC71" s="715"/>
      <c r="BD71" s="715"/>
      <c r="BE71" s="715"/>
      <c r="BF71" s="715"/>
      <c r="BG71" s="715"/>
      <c r="BH71" s="715"/>
      <c r="BI71" s="715"/>
      <c r="BJ71" s="715"/>
      <c r="BK71" s="715"/>
      <c r="BL71" s="715"/>
      <c r="BM71" s="715"/>
      <c r="BN71" s="715"/>
      <c r="BO71" s="715"/>
      <c r="BP71" s="715"/>
      <c r="BQ71" s="715"/>
      <c r="BR71" s="715"/>
      <c r="BS71" s="715"/>
      <c r="BT71" s="715"/>
      <c r="BU71" s="715"/>
      <c r="BV71" s="715"/>
      <c r="BW71" s="715"/>
    </row>
    <row r="72" customFormat="false" ht="11.25" hidden="false" customHeight="false" outlineLevel="0" collapsed="false">
      <c r="B72" s="715"/>
      <c r="C72" s="715"/>
      <c r="D72" s="715"/>
      <c r="E72" s="715"/>
      <c r="F72" s="715"/>
      <c r="G72" s="715"/>
      <c r="H72" s="715"/>
      <c r="I72" s="715"/>
      <c r="J72" s="715"/>
      <c r="K72" s="715"/>
      <c r="L72" s="715"/>
      <c r="M72" s="715"/>
      <c r="N72" s="715"/>
      <c r="O72" s="715"/>
      <c r="P72" s="715"/>
      <c r="Q72" s="715"/>
      <c r="R72" s="715"/>
      <c r="S72" s="715"/>
      <c r="T72" s="715"/>
      <c r="U72" s="715"/>
      <c r="V72" s="715"/>
      <c r="W72" s="715"/>
      <c r="X72" s="715"/>
      <c r="Y72" s="715"/>
      <c r="Z72" s="715"/>
      <c r="AA72" s="715"/>
      <c r="AB72" s="715"/>
      <c r="AC72" s="715"/>
      <c r="AD72" s="715"/>
      <c r="AE72" s="715"/>
      <c r="AF72" s="715"/>
      <c r="AG72" s="715"/>
      <c r="AH72" s="715"/>
      <c r="AI72" s="715"/>
      <c r="AJ72" s="715"/>
      <c r="AK72" s="715"/>
      <c r="AL72" s="715"/>
      <c r="AM72" s="715"/>
      <c r="AN72" s="715"/>
      <c r="AO72" s="715"/>
      <c r="AP72" s="715"/>
      <c r="AQ72" s="715"/>
      <c r="AR72" s="715"/>
      <c r="AS72" s="715"/>
      <c r="AT72" s="715"/>
      <c r="AU72" s="715"/>
      <c r="AV72" s="715"/>
      <c r="AW72" s="715"/>
      <c r="AX72" s="715"/>
      <c r="AY72" s="715"/>
      <c r="AZ72" s="715"/>
      <c r="BA72" s="715"/>
      <c r="BB72" s="715"/>
      <c r="BC72" s="715"/>
      <c r="BD72" s="715"/>
      <c r="BE72" s="715"/>
      <c r="BF72" s="715"/>
      <c r="BG72" s="715"/>
      <c r="BH72" s="715"/>
      <c r="BI72" s="715"/>
      <c r="BJ72" s="715"/>
      <c r="BK72" s="715"/>
      <c r="BL72" s="715"/>
      <c r="BM72" s="715"/>
      <c r="BN72" s="715"/>
      <c r="BO72" s="715"/>
      <c r="BP72" s="715"/>
      <c r="BQ72" s="715"/>
      <c r="BR72" s="715"/>
      <c r="BS72" s="715"/>
      <c r="BT72" s="715"/>
      <c r="BU72" s="715"/>
      <c r="BV72" s="715"/>
      <c r="BW72" s="715"/>
    </row>
    <row r="73" customFormat="false" ht="11.25" hidden="false" customHeight="false" outlineLevel="0" collapsed="false">
      <c r="B73" s="254"/>
      <c r="C73" s="254"/>
      <c r="D73" s="254"/>
      <c r="E73" s="254"/>
      <c r="F73" s="254"/>
      <c r="G73" s="254"/>
      <c r="H73" s="254"/>
      <c r="I73" s="254"/>
      <c r="J73" s="254"/>
      <c r="K73" s="254"/>
      <c r="L73" s="254"/>
      <c r="M73" s="254"/>
      <c r="N73" s="254"/>
      <c r="O73" s="254"/>
      <c r="P73" s="254"/>
      <c r="Q73" s="254"/>
      <c r="R73" s="254"/>
      <c r="S73" s="254"/>
      <c r="T73" s="254"/>
      <c r="U73" s="254"/>
      <c r="V73" s="254"/>
      <c r="W73" s="254"/>
      <c r="X73" s="254"/>
      <c r="Y73" s="254"/>
      <c r="Z73" s="254"/>
      <c r="AA73" s="254"/>
      <c r="AB73" s="254"/>
      <c r="AC73" s="254"/>
      <c r="AD73" s="254"/>
      <c r="AE73" s="254"/>
      <c r="AF73" s="254"/>
      <c r="AG73" s="254"/>
      <c r="AH73" s="254"/>
      <c r="AI73" s="254"/>
      <c r="AJ73" s="254"/>
      <c r="AK73" s="254"/>
      <c r="AL73" s="254"/>
      <c r="AM73" s="254"/>
      <c r="AN73" s="254"/>
      <c r="AO73" s="254"/>
      <c r="AP73" s="254"/>
      <c r="AQ73" s="254"/>
      <c r="AR73" s="254"/>
      <c r="AS73" s="254"/>
      <c r="AT73" s="254"/>
      <c r="AU73" s="254"/>
      <c r="AV73" s="254"/>
      <c r="AW73" s="254"/>
      <c r="AX73" s="254"/>
      <c r="AY73" s="254"/>
      <c r="AZ73" s="254"/>
      <c r="BA73" s="254"/>
      <c r="BB73" s="254"/>
      <c r="BC73" s="254"/>
      <c r="BD73" s="254"/>
      <c r="BE73" s="254"/>
      <c r="BF73" s="254"/>
      <c r="BG73" s="254"/>
      <c r="BH73" s="254"/>
      <c r="BI73" s="254"/>
      <c r="BJ73" s="254"/>
      <c r="BK73" s="254"/>
      <c r="BL73" s="254"/>
      <c r="BM73" s="254"/>
      <c r="BN73" s="254"/>
      <c r="BO73" s="254"/>
      <c r="BP73" s="254"/>
      <c r="BQ73" s="254"/>
      <c r="BR73" s="254"/>
      <c r="BS73" s="254"/>
      <c r="BT73" s="254"/>
      <c r="BU73" s="254"/>
      <c r="BV73" s="254"/>
      <c r="BW73" s="254"/>
    </row>
    <row r="74" customFormat="false" ht="11.25" hidden="false" customHeight="false" outlineLevel="0" collapsed="false">
      <c r="B74" s="254"/>
      <c r="C74" s="254"/>
      <c r="D74" s="254"/>
      <c r="E74" s="254"/>
      <c r="F74" s="254"/>
      <c r="G74" s="254"/>
      <c r="H74" s="254"/>
      <c r="I74" s="254"/>
      <c r="J74" s="254"/>
      <c r="K74" s="254"/>
      <c r="L74" s="254"/>
      <c r="M74" s="254"/>
      <c r="N74" s="254"/>
      <c r="O74" s="254"/>
      <c r="P74" s="254"/>
      <c r="Q74" s="254"/>
      <c r="R74" s="254"/>
      <c r="S74" s="254"/>
      <c r="T74" s="254"/>
      <c r="U74" s="254"/>
      <c r="V74" s="254"/>
      <c r="W74" s="254"/>
      <c r="X74" s="254"/>
      <c r="Y74" s="254"/>
      <c r="Z74" s="254"/>
      <c r="AA74" s="254"/>
      <c r="AB74" s="254"/>
      <c r="AC74" s="254"/>
      <c r="AD74" s="254"/>
      <c r="AE74" s="254"/>
      <c r="AF74" s="254"/>
      <c r="AG74" s="254"/>
      <c r="AH74" s="254"/>
      <c r="AI74" s="254"/>
      <c r="AJ74" s="254"/>
      <c r="AK74" s="254"/>
      <c r="AL74" s="254"/>
      <c r="AM74" s="254"/>
      <c r="AN74" s="254"/>
      <c r="AO74" s="254"/>
      <c r="AP74" s="254"/>
      <c r="AQ74" s="254"/>
      <c r="AR74" s="254"/>
      <c r="AS74" s="254"/>
      <c r="AT74" s="254"/>
      <c r="AU74" s="254"/>
      <c r="AV74" s="254"/>
      <c r="AW74" s="254"/>
      <c r="AX74" s="254"/>
      <c r="AY74" s="254"/>
      <c r="AZ74" s="254"/>
      <c r="BA74" s="254"/>
      <c r="BB74" s="254"/>
      <c r="BC74" s="254"/>
      <c r="BD74" s="254"/>
      <c r="BE74" s="254"/>
      <c r="BF74" s="254"/>
      <c r="BG74" s="254"/>
      <c r="BH74" s="254"/>
      <c r="BI74" s="254"/>
      <c r="BJ74" s="254"/>
      <c r="BK74" s="254"/>
      <c r="BL74" s="254"/>
      <c r="BM74" s="254"/>
      <c r="BN74" s="254"/>
      <c r="BO74" s="254"/>
      <c r="BP74" s="254"/>
      <c r="BQ74" s="254"/>
      <c r="BR74" s="254"/>
      <c r="BS74" s="254"/>
      <c r="BT74" s="254"/>
      <c r="BU74" s="254"/>
      <c r="BV74" s="254"/>
      <c r="BW74" s="254"/>
    </row>
    <row r="75" customFormat="false" ht="11.25" hidden="false" customHeight="false" outlineLevel="0" collapsed="false">
      <c r="B75" s="254"/>
      <c r="C75" s="254"/>
      <c r="D75" s="254"/>
      <c r="E75" s="254"/>
      <c r="F75" s="254"/>
      <c r="G75" s="254"/>
      <c r="H75" s="254"/>
      <c r="I75" s="254"/>
      <c r="J75" s="254"/>
      <c r="K75" s="254"/>
      <c r="L75" s="254"/>
      <c r="M75" s="254"/>
      <c r="N75" s="254"/>
      <c r="O75" s="254"/>
      <c r="P75" s="254"/>
      <c r="Q75" s="254"/>
      <c r="R75" s="254"/>
      <c r="S75" s="254"/>
      <c r="T75" s="254"/>
      <c r="U75" s="254"/>
      <c r="V75" s="254"/>
      <c r="W75" s="254"/>
      <c r="X75" s="254"/>
      <c r="Y75" s="254"/>
      <c r="Z75" s="254"/>
      <c r="AA75" s="254"/>
      <c r="AB75" s="254"/>
      <c r="AC75" s="254"/>
      <c r="AD75" s="254"/>
      <c r="AE75" s="254"/>
      <c r="AF75" s="254"/>
      <c r="AG75" s="254"/>
      <c r="AH75" s="254"/>
      <c r="AI75" s="254"/>
      <c r="AJ75" s="254"/>
      <c r="AK75" s="254"/>
      <c r="AL75" s="254"/>
      <c r="AM75" s="254"/>
      <c r="AN75" s="254"/>
      <c r="AO75" s="254"/>
      <c r="AP75" s="254"/>
      <c r="AQ75" s="254"/>
      <c r="AR75" s="254"/>
      <c r="AS75" s="254"/>
      <c r="AT75" s="254"/>
      <c r="AU75" s="254"/>
      <c r="AV75" s="254"/>
      <c r="AW75" s="254"/>
      <c r="AX75" s="254"/>
      <c r="AY75" s="254"/>
      <c r="AZ75" s="254"/>
      <c r="BA75" s="254"/>
      <c r="BB75" s="254"/>
      <c r="BC75" s="254"/>
      <c r="BD75" s="254"/>
      <c r="BE75" s="254"/>
      <c r="BF75" s="254"/>
      <c r="BG75" s="254"/>
      <c r="BH75" s="254"/>
      <c r="BI75" s="254"/>
      <c r="BJ75" s="254"/>
      <c r="BK75" s="254"/>
      <c r="BL75" s="254"/>
      <c r="BM75" s="254"/>
      <c r="BN75" s="254"/>
      <c r="BO75" s="254"/>
      <c r="BP75" s="254"/>
      <c r="BQ75" s="254"/>
      <c r="BR75" s="254"/>
      <c r="BS75" s="254"/>
      <c r="BT75" s="254"/>
      <c r="BU75" s="254"/>
      <c r="BV75" s="254"/>
      <c r="BW75" s="254"/>
    </row>
    <row r="76" customFormat="false" ht="11.25" hidden="false" customHeight="false" outlineLevel="0" collapsed="false">
      <c r="B76" s="254"/>
      <c r="C76" s="254"/>
      <c r="D76" s="254"/>
      <c r="E76" s="254"/>
      <c r="F76" s="254"/>
      <c r="G76" s="254"/>
      <c r="H76" s="254"/>
      <c r="I76" s="254"/>
      <c r="J76" s="254"/>
      <c r="K76" s="254"/>
      <c r="L76" s="254"/>
      <c r="M76" s="254"/>
      <c r="N76" s="254"/>
      <c r="O76" s="254"/>
      <c r="P76" s="254"/>
      <c r="Q76" s="254"/>
      <c r="R76" s="254"/>
      <c r="S76" s="254"/>
      <c r="T76" s="254"/>
      <c r="U76" s="254"/>
      <c r="V76" s="254"/>
      <c r="W76" s="254"/>
      <c r="X76" s="254"/>
      <c r="Y76" s="254"/>
      <c r="Z76" s="254"/>
      <c r="AA76" s="254"/>
      <c r="AB76" s="254"/>
      <c r="AC76" s="254"/>
      <c r="AD76" s="254"/>
      <c r="AE76" s="254"/>
      <c r="AF76" s="254"/>
      <c r="AG76" s="254"/>
      <c r="AH76" s="254"/>
      <c r="AI76" s="254"/>
      <c r="AJ76" s="254"/>
      <c r="AK76" s="254"/>
      <c r="AL76" s="254"/>
      <c r="AM76" s="254"/>
      <c r="AN76" s="254"/>
      <c r="AO76" s="254"/>
      <c r="AP76" s="254"/>
      <c r="AQ76" s="254"/>
      <c r="AR76" s="254"/>
      <c r="AS76" s="254"/>
      <c r="AT76" s="254"/>
      <c r="AU76" s="254"/>
      <c r="AV76" s="254"/>
      <c r="AW76" s="254"/>
      <c r="AX76" s="254"/>
      <c r="AY76" s="254"/>
      <c r="AZ76" s="254"/>
      <c r="BA76" s="254"/>
      <c r="BB76" s="254"/>
      <c r="BC76" s="254"/>
      <c r="BD76" s="254"/>
      <c r="BE76" s="254"/>
      <c r="BF76" s="254"/>
      <c r="BG76" s="254"/>
      <c r="BH76" s="254"/>
      <c r="BI76" s="254"/>
      <c r="BJ76" s="254"/>
      <c r="BK76" s="254"/>
      <c r="BL76" s="254"/>
      <c r="BM76" s="254"/>
      <c r="BN76" s="254"/>
      <c r="BO76" s="254"/>
      <c r="BP76" s="254"/>
      <c r="BQ76" s="254"/>
      <c r="BR76" s="254"/>
      <c r="BS76" s="254"/>
      <c r="BT76" s="254"/>
      <c r="BU76" s="254"/>
      <c r="BV76" s="254"/>
      <c r="BW76" s="254"/>
    </row>
    <row r="77" customFormat="false" ht="11.25" hidden="false" customHeight="false" outlineLevel="0" collapsed="false">
      <c r="B77" s="254"/>
      <c r="C77" s="254"/>
      <c r="D77" s="254"/>
      <c r="E77" s="254"/>
      <c r="F77" s="254"/>
      <c r="G77" s="254"/>
      <c r="H77" s="254"/>
      <c r="I77" s="254"/>
      <c r="J77" s="254"/>
      <c r="K77" s="254"/>
      <c r="L77" s="254"/>
      <c r="M77" s="254"/>
      <c r="N77" s="254"/>
      <c r="O77" s="254"/>
      <c r="P77" s="254"/>
      <c r="Q77" s="254"/>
      <c r="R77" s="254"/>
      <c r="S77" s="254"/>
      <c r="T77" s="254"/>
      <c r="U77" s="254"/>
      <c r="V77" s="254"/>
      <c r="W77" s="254"/>
      <c r="X77" s="254"/>
      <c r="Y77" s="254"/>
      <c r="Z77" s="254"/>
      <c r="AA77" s="254"/>
      <c r="AB77" s="254"/>
      <c r="AC77" s="254"/>
      <c r="AD77" s="254"/>
      <c r="AE77" s="254"/>
      <c r="AF77" s="254"/>
      <c r="AG77" s="254"/>
      <c r="AH77" s="254"/>
      <c r="AI77" s="254"/>
      <c r="AJ77" s="254"/>
      <c r="AK77" s="254"/>
      <c r="AL77" s="254"/>
      <c r="AM77" s="254"/>
      <c r="AN77" s="254"/>
      <c r="AO77" s="254"/>
      <c r="AP77" s="254"/>
      <c r="AQ77" s="254"/>
      <c r="AR77" s="254"/>
      <c r="AS77" s="254"/>
      <c r="AT77" s="254"/>
      <c r="AU77" s="254"/>
      <c r="AV77" s="254"/>
      <c r="AW77" s="254"/>
      <c r="AX77" s="254"/>
      <c r="AY77" s="254"/>
      <c r="AZ77" s="254"/>
      <c r="BA77" s="254"/>
      <c r="BB77" s="254"/>
      <c r="BC77" s="254"/>
      <c r="BD77" s="254"/>
      <c r="BE77" s="254"/>
      <c r="BF77" s="254"/>
      <c r="BG77" s="254"/>
      <c r="BH77" s="254"/>
      <c r="BI77" s="254"/>
      <c r="BJ77" s="254"/>
      <c r="BK77" s="254"/>
      <c r="BL77" s="254"/>
      <c r="BM77" s="254"/>
      <c r="BN77" s="254"/>
      <c r="BO77" s="254"/>
      <c r="BP77" s="254"/>
      <c r="BQ77" s="254"/>
      <c r="BR77" s="254"/>
      <c r="BS77" s="254"/>
      <c r="BT77" s="254"/>
      <c r="BU77" s="254"/>
      <c r="BV77" s="254"/>
      <c r="BW77" s="254"/>
    </row>
    <row r="78" customFormat="false" ht="11.25" hidden="false" customHeight="false" outlineLevel="0" collapsed="false">
      <c r="B78" s="254"/>
      <c r="C78" s="254"/>
      <c r="D78" s="254"/>
      <c r="E78" s="254"/>
      <c r="F78" s="254"/>
      <c r="G78" s="254"/>
      <c r="H78" s="254"/>
      <c r="I78" s="254"/>
      <c r="J78" s="254"/>
      <c r="K78" s="254"/>
      <c r="L78" s="254"/>
      <c r="M78" s="254"/>
      <c r="N78" s="254"/>
      <c r="O78" s="254"/>
      <c r="P78" s="254"/>
      <c r="Q78" s="254"/>
      <c r="R78" s="254"/>
      <c r="S78" s="254"/>
      <c r="T78" s="254"/>
      <c r="U78" s="254"/>
      <c r="V78" s="254"/>
      <c r="W78" s="254"/>
      <c r="X78" s="254"/>
      <c r="Y78" s="254"/>
      <c r="Z78" s="254"/>
      <c r="AA78" s="254"/>
      <c r="AB78" s="254"/>
      <c r="AC78" s="254"/>
      <c r="AD78" s="254"/>
      <c r="AE78" s="254"/>
      <c r="AF78" s="254"/>
      <c r="AG78" s="254"/>
      <c r="AH78" s="254"/>
      <c r="AI78" s="254"/>
      <c r="AJ78" s="254"/>
      <c r="AK78" s="254"/>
      <c r="AL78" s="254"/>
      <c r="AM78" s="254"/>
      <c r="AN78" s="254"/>
      <c r="AO78" s="254"/>
      <c r="AP78" s="254"/>
      <c r="AQ78" s="254"/>
      <c r="AR78" s="254"/>
      <c r="AS78" s="254"/>
      <c r="AT78" s="254"/>
      <c r="AU78" s="254"/>
      <c r="AV78" s="254"/>
      <c r="AW78" s="254"/>
      <c r="AX78" s="254"/>
      <c r="AY78" s="254"/>
      <c r="AZ78" s="254"/>
      <c r="BA78" s="254"/>
      <c r="BB78" s="254"/>
      <c r="BC78" s="254"/>
      <c r="BD78" s="254"/>
      <c r="BE78" s="254"/>
      <c r="BF78" s="254"/>
      <c r="BG78" s="254"/>
      <c r="BH78" s="254"/>
      <c r="BI78" s="254"/>
      <c r="BJ78" s="254"/>
      <c r="BK78" s="254"/>
      <c r="BL78" s="254"/>
      <c r="BM78" s="254"/>
      <c r="BN78" s="254"/>
      <c r="BO78" s="254"/>
      <c r="BP78" s="254"/>
      <c r="BQ78" s="254"/>
      <c r="BR78" s="254"/>
      <c r="BS78" s="254"/>
      <c r="BT78" s="254"/>
      <c r="BU78" s="254"/>
      <c r="BV78" s="254"/>
      <c r="BW78" s="254"/>
    </row>
    <row r="79" customFormat="false" ht="11.25" hidden="false" customHeight="false" outlineLevel="0" collapsed="false">
      <c r="B79" s="254"/>
      <c r="C79" s="254"/>
      <c r="D79" s="254"/>
      <c r="E79" s="254"/>
      <c r="F79" s="254"/>
      <c r="G79" s="254"/>
      <c r="H79" s="254"/>
      <c r="I79" s="254"/>
      <c r="J79" s="254"/>
      <c r="K79" s="254"/>
      <c r="L79" s="254"/>
      <c r="M79" s="254"/>
      <c r="N79" s="254"/>
      <c r="O79" s="254"/>
      <c r="P79" s="254"/>
      <c r="Q79" s="254"/>
      <c r="R79" s="254"/>
      <c r="S79" s="254"/>
      <c r="T79" s="254"/>
      <c r="U79" s="254"/>
      <c r="V79" s="254"/>
      <c r="W79" s="254"/>
      <c r="X79" s="254"/>
      <c r="Y79" s="254"/>
      <c r="Z79" s="254"/>
      <c r="AA79" s="254"/>
      <c r="AB79" s="254"/>
      <c r="AC79" s="254"/>
      <c r="AD79" s="254"/>
      <c r="AE79" s="254"/>
      <c r="AF79" s="254"/>
      <c r="AG79" s="254"/>
      <c r="AH79" s="254"/>
      <c r="AI79" s="254"/>
      <c r="AJ79" s="254"/>
      <c r="AK79" s="254"/>
      <c r="AL79" s="254"/>
      <c r="AM79" s="254"/>
      <c r="AN79" s="254"/>
      <c r="AO79" s="254"/>
      <c r="AP79" s="254"/>
      <c r="AQ79" s="254"/>
      <c r="AR79" s="254"/>
      <c r="AS79" s="254"/>
      <c r="AT79" s="254"/>
      <c r="AU79" s="254"/>
      <c r="AV79" s="254"/>
      <c r="AW79" s="254"/>
      <c r="AX79" s="254"/>
      <c r="AY79" s="254"/>
      <c r="AZ79" s="254"/>
      <c r="BA79" s="254"/>
      <c r="BB79" s="254"/>
      <c r="BC79" s="254"/>
      <c r="BD79" s="254"/>
      <c r="BE79" s="254"/>
      <c r="BF79" s="254"/>
      <c r="BG79" s="254"/>
      <c r="BH79" s="254"/>
      <c r="BI79" s="254"/>
      <c r="BJ79" s="254"/>
      <c r="BK79" s="254"/>
      <c r="BL79" s="254"/>
      <c r="BM79" s="254"/>
      <c r="BN79" s="254"/>
      <c r="BO79" s="254"/>
      <c r="BP79" s="254"/>
      <c r="BQ79" s="254"/>
      <c r="BR79" s="254"/>
      <c r="BS79" s="254"/>
      <c r="BT79" s="254"/>
      <c r="BU79" s="254"/>
      <c r="BV79" s="254"/>
      <c r="BW79" s="254"/>
    </row>
    <row r="80" customFormat="false" ht="11.25" hidden="false" customHeight="false" outlineLevel="0" collapsed="false">
      <c r="B80" s="254"/>
      <c r="C80" s="254"/>
      <c r="D80" s="254"/>
      <c r="E80" s="254"/>
      <c r="F80" s="254"/>
      <c r="G80" s="254"/>
      <c r="H80" s="254"/>
      <c r="I80" s="254"/>
      <c r="J80" s="254"/>
      <c r="K80" s="254"/>
      <c r="L80" s="254"/>
      <c r="M80" s="254"/>
      <c r="N80" s="254"/>
      <c r="O80" s="254"/>
      <c r="P80" s="254"/>
      <c r="Q80" s="254"/>
      <c r="R80" s="254"/>
      <c r="S80" s="254"/>
      <c r="T80" s="254"/>
      <c r="U80" s="254"/>
      <c r="V80" s="254"/>
      <c r="W80" s="254"/>
      <c r="X80" s="254"/>
      <c r="Y80" s="254"/>
      <c r="Z80" s="254"/>
      <c r="AA80" s="254"/>
      <c r="AB80" s="254"/>
      <c r="AC80" s="254"/>
      <c r="AD80" s="254"/>
      <c r="AE80" s="254"/>
      <c r="AF80" s="254"/>
      <c r="AG80" s="254"/>
      <c r="AH80" s="254"/>
      <c r="AI80" s="254"/>
      <c r="AJ80" s="254"/>
      <c r="AK80" s="254"/>
      <c r="AL80" s="254"/>
      <c r="AM80" s="254"/>
      <c r="AN80" s="254"/>
      <c r="AO80" s="254"/>
      <c r="AP80" s="254"/>
      <c r="AQ80" s="254"/>
      <c r="AR80" s="254"/>
      <c r="AS80" s="254"/>
      <c r="AT80" s="254"/>
      <c r="AU80" s="254"/>
      <c r="AV80" s="254"/>
      <c r="AW80" s="254"/>
      <c r="AX80" s="254"/>
      <c r="AY80" s="254"/>
      <c r="AZ80" s="254"/>
      <c r="BA80" s="254"/>
      <c r="BB80" s="254"/>
      <c r="BC80" s="254"/>
      <c r="BD80" s="254"/>
      <c r="BE80" s="254"/>
      <c r="BF80" s="254"/>
      <c r="BG80" s="254"/>
      <c r="BH80" s="254"/>
      <c r="BI80" s="254"/>
      <c r="BJ80" s="254"/>
      <c r="BK80" s="254"/>
      <c r="BL80" s="254"/>
      <c r="BM80" s="254"/>
      <c r="BN80" s="254"/>
      <c r="BO80" s="254"/>
      <c r="BP80" s="254"/>
      <c r="BQ80" s="254"/>
      <c r="BR80" s="254"/>
      <c r="BS80" s="254"/>
      <c r="BT80" s="254"/>
      <c r="BU80" s="254"/>
      <c r="BV80" s="254"/>
      <c r="BW80" s="254"/>
    </row>
    <row r="81" customFormat="false" ht="11.25" hidden="false" customHeight="false" outlineLevel="0" collapsed="false">
      <c r="B81" s="254"/>
      <c r="C81" s="254"/>
      <c r="D81" s="254"/>
      <c r="E81" s="254"/>
      <c r="F81" s="254"/>
      <c r="G81" s="254"/>
      <c r="H81" s="254"/>
      <c r="I81" s="254"/>
      <c r="J81" s="254"/>
      <c r="K81" s="254"/>
      <c r="L81" s="254"/>
      <c r="M81" s="254"/>
      <c r="N81" s="254"/>
      <c r="O81" s="254"/>
      <c r="P81" s="254"/>
      <c r="Q81" s="254"/>
      <c r="R81" s="254"/>
      <c r="S81" s="254"/>
      <c r="T81" s="254"/>
      <c r="U81" s="254"/>
      <c r="V81" s="254"/>
      <c r="W81" s="254"/>
      <c r="X81" s="254"/>
      <c r="Y81" s="254"/>
      <c r="Z81" s="254"/>
      <c r="AA81" s="254"/>
      <c r="AB81" s="254"/>
      <c r="AC81" s="254"/>
      <c r="AD81" s="254"/>
      <c r="AE81" s="254"/>
      <c r="AF81" s="254"/>
      <c r="AG81" s="254"/>
      <c r="AH81" s="254"/>
      <c r="AI81" s="254"/>
      <c r="AJ81" s="254"/>
      <c r="AK81" s="254"/>
      <c r="AL81" s="254"/>
      <c r="AM81" s="254"/>
      <c r="AN81" s="254"/>
      <c r="AO81" s="254"/>
      <c r="AP81" s="254"/>
      <c r="AQ81" s="254"/>
      <c r="AR81" s="254"/>
      <c r="AS81" s="254"/>
      <c r="AT81" s="254"/>
      <c r="AU81" s="254"/>
      <c r="AV81" s="254"/>
      <c r="AW81" s="254"/>
      <c r="AX81" s="254"/>
      <c r="AY81" s="254"/>
      <c r="AZ81" s="254"/>
      <c r="BA81" s="254"/>
      <c r="BB81" s="254"/>
      <c r="BC81" s="254"/>
      <c r="BD81" s="254"/>
      <c r="BE81" s="254"/>
      <c r="BF81" s="254"/>
      <c r="BG81" s="254"/>
      <c r="BH81" s="254"/>
      <c r="BI81" s="254"/>
      <c r="BJ81" s="254"/>
      <c r="BK81" s="254"/>
      <c r="BL81" s="254"/>
      <c r="BM81" s="254"/>
      <c r="BN81" s="254"/>
      <c r="BO81" s="254"/>
      <c r="BP81" s="254"/>
      <c r="BQ81" s="254"/>
      <c r="BR81" s="254"/>
      <c r="BS81" s="254"/>
      <c r="BT81" s="254"/>
      <c r="BU81" s="254"/>
      <c r="BV81" s="254"/>
      <c r="BW81" s="254"/>
    </row>
    <row r="82" customFormat="false" ht="11.25" hidden="false" customHeight="false" outlineLevel="0" collapsed="false">
      <c r="B82" s="254"/>
      <c r="C82" s="254"/>
      <c r="D82" s="254"/>
      <c r="E82" s="254"/>
      <c r="F82" s="254"/>
      <c r="G82" s="254"/>
      <c r="H82" s="254"/>
      <c r="I82" s="254"/>
      <c r="J82" s="254"/>
      <c r="K82" s="254"/>
      <c r="L82" s="254"/>
      <c r="M82" s="254"/>
      <c r="N82" s="254"/>
      <c r="O82" s="254"/>
      <c r="P82" s="254"/>
      <c r="Q82" s="254"/>
      <c r="R82" s="254"/>
      <c r="S82" s="254"/>
      <c r="T82" s="254"/>
      <c r="U82" s="254"/>
      <c r="V82" s="254"/>
      <c r="W82" s="254"/>
      <c r="X82" s="254"/>
      <c r="Y82" s="254"/>
      <c r="Z82" s="254"/>
      <c r="AA82" s="254"/>
      <c r="AB82" s="254"/>
      <c r="AC82" s="254"/>
      <c r="AD82" s="254"/>
      <c r="AE82" s="254"/>
      <c r="AF82" s="254"/>
      <c r="AG82" s="254"/>
      <c r="AH82" s="254"/>
      <c r="AI82" s="254"/>
      <c r="AJ82" s="254"/>
      <c r="AK82" s="254"/>
      <c r="AL82" s="254"/>
      <c r="AM82" s="254"/>
      <c r="AN82" s="254"/>
      <c r="AO82" s="254"/>
      <c r="AP82" s="254"/>
      <c r="AQ82" s="254"/>
      <c r="AR82" s="254"/>
      <c r="AS82" s="254"/>
      <c r="AT82" s="254"/>
      <c r="AU82" s="254"/>
      <c r="AV82" s="254"/>
      <c r="AW82" s="254"/>
      <c r="AX82" s="254"/>
      <c r="AY82" s="254"/>
      <c r="AZ82" s="254"/>
      <c r="BA82" s="254"/>
      <c r="BB82" s="254"/>
      <c r="BC82" s="254"/>
      <c r="BD82" s="254"/>
      <c r="BE82" s="254"/>
      <c r="BF82" s="254"/>
      <c r="BG82" s="254"/>
      <c r="BH82" s="254"/>
      <c r="BI82" s="254"/>
      <c r="BJ82" s="254"/>
      <c r="BK82" s="254"/>
      <c r="BL82" s="254"/>
      <c r="BM82" s="254"/>
      <c r="BN82" s="254"/>
      <c r="BO82" s="254"/>
      <c r="BP82" s="254"/>
      <c r="BQ82" s="254"/>
      <c r="BR82" s="254"/>
      <c r="BS82" s="254"/>
      <c r="BT82" s="254"/>
      <c r="BU82" s="254"/>
      <c r="BV82" s="254"/>
      <c r="BW82" s="254"/>
    </row>
    <row r="83" customFormat="false" ht="11.25" hidden="false" customHeight="false" outlineLevel="0" collapsed="false">
      <c r="B83" s="254"/>
      <c r="C83" s="254"/>
      <c r="D83" s="254"/>
      <c r="E83" s="254"/>
      <c r="F83" s="254"/>
      <c r="G83" s="254"/>
      <c r="H83" s="254"/>
      <c r="I83" s="254"/>
      <c r="J83" s="254"/>
      <c r="K83" s="254"/>
      <c r="L83" s="254"/>
      <c r="M83" s="254"/>
      <c r="N83" s="254"/>
      <c r="O83" s="254"/>
      <c r="P83" s="254"/>
      <c r="Q83" s="254"/>
      <c r="R83" s="254"/>
      <c r="S83" s="254"/>
      <c r="T83" s="254"/>
      <c r="U83" s="254"/>
      <c r="V83" s="254"/>
      <c r="W83" s="254"/>
      <c r="X83" s="254"/>
      <c r="Y83" s="254"/>
      <c r="Z83" s="254"/>
      <c r="AA83" s="254"/>
      <c r="AB83" s="254"/>
      <c r="AC83" s="254"/>
      <c r="AD83" s="254"/>
      <c r="AE83" s="254"/>
      <c r="AF83" s="254"/>
      <c r="AG83" s="254"/>
      <c r="AH83" s="254"/>
      <c r="AI83" s="254"/>
      <c r="AJ83" s="254"/>
      <c r="AK83" s="254"/>
      <c r="AL83" s="254"/>
      <c r="AM83" s="254"/>
      <c r="AN83" s="254"/>
      <c r="AO83" s="254"/>
      <c r="AP83" s="254"/>
      <c r="AQ83" s="254"/>
      <c r="AR83" s="254"/>
      <c r="AS83" s="254"/>
      <c r="AT83" s="254"/>
      <c r="AU83" s="254"/>
      <c r="AV83" s="254"/>
      <c r="AW83" s="254"/>
      <c r="AX83" s="254"/>
      <c r="AY83" s="254"/>
      <c r="AZ83" s="254"/>
      <c r="BA83" s="254"/>
      <c r="BB83" s="254"/>
      <c r="BC83" s="254"/>
      <c r="BD83" s="254"/>
      <c r="BE83" s="254"/>
      <c r="BF83" s="254"/>
      <c r="BG83" s="254"/>
      <c r="BH83" s="254"/>
      <c r="BI83" s="254"/>
      <c r="BJ83" s="254"/>
      <c r="BK83" s="254"/>
      <c r="BL83" s="254"/>
      <c r="BM83" s="254"/>
      <c r="BN83" s="254"/>
      <c r="BO83" s="254"/>
      <c r="BP83" s="254"/>
      <c r="BQ83" s="254"/>
      <c r="BR83" s="254"/>
      <c r="BS83" s="254"/>
      <c r="BT83" s="254"/>
      <c r="BU83" s="254"/>
      <c r="BV83" s="254"/>
      <c r="BW83" s="254"/>
    </row>
    <row r="84" customFormat="false" ht="11.25" hidden="false" customHeight="false" outlineLevel="0" collapsed="false">
      <c r="B84" s="254"/>
      <c r="C84" s="254"/>
      <c r="D84" s="254"/>
      <c r="E84" s="254"/>
      <c r="F84" s="254"/>
      <c r="G84" s="254"/>
      <c r="H84" s="254"/>
      <c r="I84" s="254"/>
      <c r="J84" s="254"/>
      <c r="K84" s="254"/>
      <c r="L84" s="254"/>
      <c r="M84" s="254"/>
      <c r="N84" s="254"/>
      <c r="O84" s="254"/>
      <c r="P84" s="254"/>
      <c r="Q84" s="254"/>
      <c r="R84" s="254"/>
      <c r="S84" s="254"/>
      <c r="T84" s="254"/>
      <c r="U84" s="254"/>
      <c r="V84" s="254"/>
      <c r="W84" s="254"/>
      <c r="X84" s="254"/>
      <c r="Y84" s="254"/>
      <c r="Z84" s="254"/>
      <c r="AA84" s="254"/>
      <c r="AB84" s="254"/>
      <c r="AC84" s="254"/>
      <c r="AD84" s="254"/>
      <c r="AE84" s="254"/>
      <c r="AF84" s="254"/>
      <c r="AG84" s="254"/>
      <c r="AH84" s="254"/>
      <c r="AI84" s="254"/>
      <c r="AJ84" s="254"/>
      <c r="AK84" s="254"/>
      <c r="AL84" s="254"/>
      <c r="AM84" s="254"/>
      <c r="AN84" s="254"/>
      <c r="AO84" s="254"/>
      <c r="AP84" s="254"/>
      <c r="AQ84" s="254"/>
      <c r="AR84" s="254"/>
      <c r="AS84" s="254"/>
      <c r="AT84" s="254"/>
      <c r="AU84" s="254"/>
      <c r="AV84" s="254"/>
      <c r="AW84" s="254"/>
      <c r="AX84" s="254"/>
      <c r="AY84" s="254"/>
      <c r="AZ84" s="254"/>
      <c r="BA84" s="254"/>
      <c r="BB84" s="254"/>
      <c r="BC84" s="254"/>
      <c r="BD84" s="254"/>
      <c r="BE84" s="254"/>
      <c r="BF84" s="254"/>
      <c r="BG84" s="254"/>
      <c r="BH84" s="254"/>
      <c r="BI84" s="254"/>
      <c r="BJ84" s="254"/>
      <c r="BK84" s="254"/>
      <c r="BL84" s="254"/>
      <c r="BM84" s="254"/>
      <c r="BN84" s="254"/>
      <c r="BO84" s="254"/>
      <c r="BP84" s="254"/>
      <c r="BQ84" s="254"/>
      <c r="BR84" s="254"/>
      <c r="BS84" s="254"/>
      <c r="BT84" s="254"/>
      <c r="BU84" s="254"/>
      <c r="BV84" s="254"/>
      <c r="BW84" s="254"/>
    </row>
    <row r="85" customFormat="false" ht="11.25" hidden="false" customHeight="false" outlineLevel="0" collapsed="false">
      <c r="B85" s="254"/>
      <c r="C85" s="254"/>
      <c r="D85" s="254"/>
      <c r="E85" s="254"/>
      <c r="F85" s="254"/>
      <c r="G85" s="254"/>
      <c r="H85" s="254"/>
      <c r="I85" s="254"/>
      <c r="J85" s="254"/>
      <c r="K85" s="254"/>
      <c r="L85" s="254"/>
      <c r="M85" s="254"/>
      <c r="N85" s="254"/>
      <c r="O85" s="254"/>
      <c r="P85" s="254"/>
      <c r="Q85" s="254"/>
      <c r="R85" s="254"/>
      <c r="S85" s="254"/>
      <c r="T85" s="254"/>
      <c r="U85" s="254"/>
      <c r="V85" s="254"/>
      <c r="W85" s="254"/>
      <c r="X85" s="254"/>
      <c r="Y85" s="254"/>
      <c r="Z85" s="254"/>
      <c r="AA85" s="254"/>
      <c r="AB85" s="254"/>
      <c r="AC85" s="254"/>
      <c r="AD85" s="254"/>
      <c r="AE85" s="254"/>
      <c r="AF85" s="254"/>
      <c r="AG85" s="254"/>
      <c r="AH85" s="254"/>
      <c r="AI85" s="254"/>
      <c r="AJ85" s="254"/>
      <c r="AK85" s="254"/>
      <c r="AL85" s="254"/>
      <c r="AM85" s="254"/>
      <c r="AN85" s="254"/>
      <c r="AO85" s="254"/>
      <c r="AP85" s="254"/>
      <c r="AQ85" s="254"/>
      <c r="AR85" s="254"/>
      <c r="AS85" s="254"/>
      <c r="AT85" s="254"/>
      <c r="AU85" s="254"/>
      <c r="AV85" s="254"/>
      <c r="AW85" s="254"/>
      <c r="AX85" s="254"/>
      <c r="AY85" s="254"/>
      <c r="AZ85" s="254"/>
      <c r="BA85" s="254"/>
      <c r="BB85" s="254"/>
      <c r="BC85" s="254"/>
      <c r="BD85" s="254"/>
      <c r="BE85" s="254"/>
      <c r="BF85" s="254"/>
      <c r="BG85" s="254"/>
      <c r="BH85" s="254"/>
      <c r="BI85" s="254"/>
      <c r="BJ85" s="254"/>
      <c r="BK85" s="254"/>
      <c r="BL85" s="254"/>
      <c r="BM85" s="254"/>
      <c r="BN85" s="254"/>
      <c r="BO85" s="254"/>
      <c r="BP85" s="254"/>
      <c r="BQ85" s="254"/>
      <c r="BR85" s="254"/>
      <c r="BS85" s="254"/>
      <c r="BT85" s="254"/>
      <c r="BU85" s="254"/>
      <c r="BV85" s="254"/>
      <c r="BW85" s="254"/>
    </row>
    <row r="86" customFormat="false" ht="11.25" hidden="false" customHeight="false" outlineLevel="0" collapsed="false">
      <c r="B86" s="254"/>
      <c r="C86" s="254"/>
      <c r="D86" s="254"/>
      <c r="E86" s="254"/>
      <c r="F86" s="254"/>
      <c r="G86" s="254"/>
      <c r="H86" s="254"/>
      <c r="I86" s="254"/>
      <c r="J86" s="254"/>
      <c r="K86" s="254"/>
      <c r="L86" s="254"/>
      <c r="M86" s="254"/>
      <c r="N86" s="254"/>
      <c r="O86" s="254"/>
      <c r="P86" s="254"/>
      <c r="Q86" s="254"/>
      <c r="R86" s="254"/>
      <c r="S86" s="254"/>
      <c r="T86" s="254"/>
      <c r="U86" s="254"/>
      <c r="V86" s="254"/>
      <c r="W86" s="254"/>
      <c r="X86" s="254"/>
      <c r="Y86" s="254"/>
      <c r="Z86" s="254"/>
      <c r="AA86" s="254"/>
      <c r="AB86" s="254"/>
      <c r="AC86" s="254"/>
      <c r="AD86" s="254"/>
      <c r="AE86" s="254"/>
      <c r="AF86" s="254"/>
      <c r="AG86" s="254"/>
      <c r="AH86" s="254"/>
      <c r="AI86" s="254"/>
      <c r="AJ86" s="254"/>
      <c r="AK86" s="254"/>
      <c r="AL86" s="254"/>
      <c r="AM86" s="254"/>
      <c r="AN86" s="254"/>
      <c r="AO86" s="254"/>
      <c r="AP86" s="254"/>
      <c r="AQ86" s="254"/>
      <c r="AR86" s="254"/>
      <c r="AS86" s="254"/>
      <c r="AT86" s="254"/>
      <c r="AU86" s="254"/>
      <c r="AV86" s="254"/>
      <c r="AW86" s="254"/>
      <c r="AX86" s="254"/>
      <c r="AY86" s="254"/>
      <c r="AZ86" s="254"/>
      <c r="BA86" s="254"/>
      <c r="BB86" s="254"/>
      <c r="BC86" s="254"/>
      <c r="BD86" s="254"/>
      <c r="BE86" s="254"/>
      <c r="BF86" s="254"/>
      <c r="BG86" s="254"/>
      <c r="BH86" s="254"/>
      <c r="BI86" s="254"/>
      <c r="BJ86" s="254"/>
      <c r="BK86" s="254"/>
      <c r="BL86" s="254"/>
      <c r="BM86" s="254"/>
      <c r="BN86" s="254"/>
      <c r="BO86" s="254"/>
      <c r="BP86" s="254"/>
      <c r="BQ86" s="254"/>
      <c r="BR86" s="254"/>
      <c r="BS86" s="254"/>
      <c r="BT86" s="254"/>
      <c r="BU86" s="254"/>
      <c r="BV86" s="254"/>
      <c r="BW86" s="254"/>
    </row>
    <row r="87" customFormat="false" ht="11.25" hidden="false" customHeight="false" outlineLevel="0" collapsed="false">
      <c r="B87" s="254"/>
    </row>
  </sheetData>
  <mergeCells count="123">
    <mergeCell ref="F1:G1"/>
    <mergeCell ref="M1:O1"/>
    <mergeCell ref="U1:V1"/>
    <mergeCell ref="AB1:AD1"/>
    <mergeCell ref="AJ1:AK1"/>
    <mergeCell ref="AQ1:AS1"/>
    <mergeCell ref="AY1:AZ1"/>
    <mergeCell ref="BF1:BH1"/>
    <mergeCell ref="BN1:BO1"/>
    <mergeCell ref="BU1:BW1"/>
    <mergeCell ref="AC2:AD2"/>
    <mergeCell ref="A3:A6"/>
    <mergeCell ref="B3:C3"/>
    <mergeCell ref="D3:E3"/>
    <mergeCell ref="F3:G3"/>
    <mergeCell ref="H3:I3"/>
    <mergeCell ref="J3:K3"/>
    <mergeCell ref="L3:M3"/>
    <mergeCell ref="N3:O3"/>
    <mergeCell ref="P3:P6"/>
    <mergeCell ref="Q3:R3"/>
    <mergeCell ref="S3:T3"/>
    <mergeCell ref="U3:V3"/>
    <mergeCell ref="W3:X3"/>
    <mergeCell ref="Y3:Z3"/>
    <mergeCell ref="AA3:AB3"/>
    <mergeCell ref="AC3:AD3"/>
    <mergeCell ref="AE3:AE6"/>
    <mergeCell ref="AF3:AG3"/>
    <mergeCell ref="AH3:AI3"/>
    <mergeCell ref="AJ3:AK3"/>
    <mergeCell ref="AL3:AM3"/>
    <mergeCell ref="AN3:AO3"/>
    <mergeCell ref="AP3:AQ3"/>
    <mergeCell ref="AR3:AS3"/>
    <mergeCell ref="AT3:AT6"/>
    <mergeCell ref="AU3:AV3"/>
    <mergeCell ref="AW3:AX3"/>
    <mergeCell ref="AY3:AZ3"/>
    <mergeCell ref="BA3:BB3"/>
    <mergeCell ref="BC3:BD3"/>
    <mergeCell ref="BE3:BF3"/>
    <mergeCell ref="BG3:BH3"/>
    <mergeCell ref="BI3:BI6"/>
    <mergeCell ref="BJ3:BK3"/>
    <mergeCell ref="BL3:BM3"/>
    <mergeCell ref="BN3:BO3"/>
    <mergeCell ref="BP3:BQ3"/>
    <mergeCell ref="BR3:BS3"/>
    <mergeCell ref="BT3:BU3"/>
    <mergeCell ref="BV3:BW3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F4:AF5"/>
    <mergeCell ref="AG4:AG5"/>
    <mergeCell ref="AH4:AH5"/>
    <mergeCell ref="AI4:AI5"/>
    <mergeCell ref="AJ4:AJ5"/>
    <mergeCell ref="AK4:AK5"/>
    <mergeCell ref="AL4:AL5"/>
    <mergeCell ref="AM4:AM5"/>
    <mergeCell ref="AN4:AN5"/>
    <mergeCell ref="AO4:AO5"/>
    <mergeCell ref="AP4:AP5"/>
    <mergeCell ref="AQ4:AQ5"/>
    <mergeCell ref="AR4:AR5"/>
    <mergeCell ref="AS4:AS5"/>
    <mergeCell ref="AU4:AU5"/>
    <mergeCell ref="AV4:AV5"/>
    <mergeCell ref="AW4:AW5"/>
    <mergeCell ref="AX4:AX5"/>
    <mergeCell ref="AY4:AY5"/>
    <mergeCell ref="AZ4:AZ5"/>
    <mergeCell ref="BA4:BA5"/>
    <mergeCell ref="BB4:BB5"/>
    <mergeCell ref="BC4:BC5"/>
    <mergeCell ref="BD4:BD5"/>
    <mergeCell ref="BE4:BE5"/>
    <mergeCell ref="BF4:BF5"/>
    <mergeCell ref="BG4:BG5"/>
    <mergeCell ref="BH4:BH5"/>
    <mergeCell ref="BJ4:BJ5"/>
    <mergeCell ref="BK4:BK5"/>
    <mergeCell ref="BL4:BL5"/>
    <mergeCell ref="BM4:BM5"/>
    <mergeCell ref="BN4:BN5"/>
    <mergeCell ref="BO4:BO5"/>
    <mergeCell ref="BP4:BP5"/>
    <mergeCell ref="BQ4:BQ5"/>
    <mergeCell ref="BR4:BR5"/>
    <mergeCell ref="BS4:BS5"/>
    <mergeCell ref="BT4:BT5"/>
    <mergeCell ref="BU4:BU5"/>
    <mergeCell ref="BV4:BV5"/>
    <mergeCell ref="BW4:BW5"/>
    <mergeCell ref="I56:M56"/>
    <mergeCell ref="AF56:AK56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1" scale="100" firstPageNumber="86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>&amp;C&amp;"Times New Roman,Regular"&amp;8&amp;P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6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1" ySplit="3" topLeftCell="B46" activePane="bottomRight" state="frozen"/>
      <selection pane="topLeft" activeCell="A1" activeCellId="0" sqref="A1"/>
      <selection pane="topRight" activeCell="B1" activeCellId="0" sqref="B1"/>
      <selection pane="bottomLeft" activeCell="A46" activeCellId="0" sqref="A46"/>
      <selection pane="bottomRight" activeCell="A4" activeCellId="0" sqref="A4"/>
    </sheetView>
  </sheetViews>
  <sheetFormatPr defaultColWidth="9.15625" defaultRowHeight="11.25" zeroHeight="false" outlineLevelRow="0" outlineLevelCol="0"/>
  <cols>
    <col collapsed="false" customWidth="true" hidden="false" outlineLevel="0" max="1" min="1" style="107" width="12.71"/>
    <col collapsed="false" customWidth="true" hidden="false" outlineLevel="0" max="2" min="2" style="107" width="9.42"/>
    <col collapsed="false" customWidth="true" hidden="false" outlineLevel="0" max="3" min="3" style="107" width="10.14"/>
    <col collapsed="false" customWidth="false" hidden="false" outlineLevel="0" max="4" min="4" style="107" width="9.14"/>
    <col collapsed="false" customWidth="true" hidden="false" outlineLevel="0" max="5" min="5" style="107" width="8.14"/>
    <col collapsed="false" customWidth="true" hidden="false" outlineLevel="0" max="6" min="6" style="107" width="8.86"/>
    <col collapsed="false" customWidth="true" hidden="false" outlineLevel="0" max="7" min="7" style="107" width="8.42"/>
    <col collapsed="false" customWidth="true" hidden="false" outlineLevel="0" max="8" min="8" style="107" width="7.71"/>
    <col collapsed="false" customWidth="true" hidden="false" outlineLevel="0" max="9" min="9" style="107" width="8.42"/>
    <col collapsed="false" customWidth="true" hidden="false" outlineLevel="0" max="10" min="10" style="107" width="7.29"/>
    <col collapsed="false" customWidth="true" hidden="false" outlineLevel="0" max="11" min="11" style="107" width="7.15"/>
    <col collapsed="false" customWidth="true" hidden="false" outlineLevel="0" max="12" min="12" style="107" width="7.71"/>
    <col collapsed="false" customWidth="true" hidden="false" outlineLevel="0" max="13" min="13" style="107" width="7.86"/>
    <col collapsed="false" customWidth="true" hidden="false" outlineLevel="0" max="14" min="14" style="107" width="7.57"/>
    <col collapsed="false" customWidth="true" hidden="false" outlineLevel="0" max="15" min="15" style="107" width="7.42"/>
    <col collapsed="false" customWidth="true" hidden="false" outlineLevel="0" max="17" min="16" style="107" width="7.29"/>
    <col collapsed="false" customWidth="true" hidden="false" outlineLevel="0" max="18" min="18" style="107" width="9"/>
    <col collapsed="false" customWidth="true" hidden="false" outlineLevel="0" max="19" min="19" style="107" width="9.29"/>
    <col collapsed="false" customWidth="true" hidden="false" outlineLevel="0" max="20" min="20" style="107" width="8.29"/>
    <col collapsed="false" customWidth="true" hidden="false" outlineLevel="0" max="21" min="21" style="107" width="8.42"/>
    <col collapsed="false" customWidth="true" hidden="false" outlineLevel="0" max="22" min="22" style="107" width="8.57"/>
    <col collapsed="false" customWidth="true" hidden="false" outlineLevel="0" max="23" min="23" style="107" width="8.29"/>
    <col collapsed="false" customWidth="true" hidden="false" outlineLevel="0" max="24" min="24" style="107" width="8.86"/>
    <col collapsed="false" customWidth="true" hidden="false" outlineLevel="0" max="25" min="25" style="107" width="8.14"/>
    <col collapsed="false" customWidth="true" hidden="false" outlineLevel="0" max="26" min="26" style="107" width="8.57"/>
    <col collapsed="false" customWidth="true" hidden="false" outlineLevel="0" max="27" min="27" style="107" width="9"/>
    <col collapsed="false" customWidth="false" hidden="false" outlineLevel="0" max="28" min="28" style="107" width="9.14"/>
    <col collapsed="false" customWidth="true" hidden="false" outlineLevel="0" max="29" min="29" style="107" width="8.57"/>
    <col collapsed="false" customWidth="true" hidden="false" outlineLevel="0" max="30" min="30" style="107" width="9.42"/>
    <col collapsed="false" customWidth="true" hidden="false" outlineLevel="0" max="31" min="31" style="107" width="9"/>
    <col collapsed="false" customWidth="true" hidden="false" outlineLevel="0" max="32" min="32" style="107" width="8.29"/>
    <col collapsed="false" customWidth="true" hidden="false" outlineLevel="0" max="33" min="33" style="107" width="7.71"/>
    <col collapsed="false" customWidth="true" hidden="false" outlineLevel="0" max="34" min="34" style="107" width="8.57"/>
    <col collapsed="false" customWidth="true" hidden="false" outlineLevel="0" max="35" min="35" style="107" width="7.42"/>
    <col collapsed="false" customWidth="true" hidden="false" outlineLevel="0" max="36" min="36" style="107" width="8.57"/>
    <col collapsed="false" customWidth="true" hidden="false" outlineLevel="0" max="37" min="37" style="107" width="10"/>
    <col collapsed="false" customWidth="true" hidden="false" outlineLevel="0" max="38" min="38" style="107" width="13.29"/>
    <col collapsed="false" customWidth="true" hidden="false" outlineLevel="0" max="39" min="39" style="107" width="15.42"/>
    <col collapsed="false" customWidth="true" hidden="false" outlineLevel="0" max="40" min="40" style="107" width="12.71"/>
    <col collapsed="false" customWidth="false" hidden="false" outlineLevel="0" max="42" min="41" style="107" width="9.14"/>
    <col collapsed="false" customWidth="true" hidden="false" outlineLevel="0" max="43" min="43" style="107" width="12.14"/>
    <col collapsed="false" customWidth="false" hidden="false" outlineLevel="0" max="1024" min="44" style="107" width="9.14"/>
  </cols>
  <sheetData>
    <row r="1" s="1553" customFormat="true" ht="15" hidden="false" customHeight="true" outlineLevel="0" collapsed="false">
      <c r="A1" s="1550" t="s">
        <v>2545</v>
      </c>
      <c r="B1" s="1550"/>
      <c r="C1" s="1550"/>
      <c r="D1" s="1550"/>
      <c r="E1" s="1550"/>
      <c r="F1" s="1550"/>
      <c r="G1" s="1550"/>
      <c r="H1" s="1550"/>
      <c r="I1" s="1368" t="s">
        <v>2546</v>
      </c>
      <c r="J1" s="1368"/>
      <c r="K1" s="1368"/>
      <c r="L1" s="1368"/>
      <c r="M1" s="1368"/>
      <c r="N1" s="1368"/>
      <c r="O1" s="1551"/>
      <c r="P1" s="1552" t="s">
        <v>2547</v>
      </c>
      <c r="Q1" s="1552"/>
      <c r="R1" s="1552"/>
      <c r="S1" s="1550" t="s">
        <v>2548</v>
      </c>
      <c r="T1" s="1550"/>
      <c r="U1" s="1550"/>
      <c r="V1" s="1550"/>
      <c r="W1" s="1550"/>
      <c r="X1" s="1550"/>
      <c r="Y1" s="1550"/>
      <c r="Z1" s="1550"/>
      <c r="AA1" s="1550"/>
      <c r="AB1" s="1368" t="s">
        <v>2546</v>
      </c>
      <c r="AC1" s="1368"/>
      <c r="AD1" s="1368"/>
      <c r="AE1" s="1368"/>
      <c r="AF1" s="1368"/>
      <c r="AG1" s="1551"/>
      <c r="AH1" s="1552" t="s">
        <v>2549</v>
      </c>
      <c r="AI1" s="1552"/>
      <c r="AJ1" s="1552"/>
    </row>
    <row r="2" s="730" customFormat="true" ht="10.5" hidden="false" customHeight="true" outlineLevel="0" collapsed="false">
      <c r="A2" s="707"/>
      <c r="B2" s="707"/>
      <c r="C2" s="707"/>
      <c r="E2" s="1423"/>
      <c r="H2" s="839"/>
      <c r="I2" s="1411"/>
      <c r="J2" s="839"/>
      <c r="K2" s="839"/>
      <c r="L2" s="839"/>
      <c r="M2" s="839"/>
      <c r="N2" s="839"/>
      <c r="O2" s="707"/>
      <c r="P2" s="707"/>
      <c r="Q2" s="1411" t="s">
        <v>2550</v>
      </c>
      <c r="R2" s="1411"/>
      <c r="W2" s="1423"/>
      <c r="AI2" s="1411" t="s">
        <v>2550</v>
      </c>
      <c r="AJ2" s="1411"/>
    </row>
    <row r="3" s="931" customFormat="true" ht="39" hidden="false" customHeight="true" outlineLevel="0" collapsed="false">
      <c r="A3" s="749" t="s">
        <v>2551</v>
      </c>
      <c r="B3" s="749" t="s">
        <v>2504</v>
      </c>
      <c r="C3" s="749" t="s">
        <v>2552</v>
      </c>
      <c r="D3" s="749" t="s">
        <v>2506</v>
      </c>
      <c r="E3" s="749" t="s">
        <v>2507</v>
      </c>
      <c r="F3" s="749" t="s">
        <v>2553</v>
      </c>
      <c r="G3" s="749" t="s">
        <v>2554</v>
      </c>
      <c r="H3" s="749" t="s">
        <v>2555</v>
      </c>
      <c r="I3" s="749" t="s">
        <v>2556</v>
      </c>
      <c r="J3" s="749" t="s">
        <v>2512</v>
      </c>
      <c r="K3" s="749" t="s">
        <v>2557</v>
      </c>
      <c r="L3" s="749" t="s">
        <v>2514</v>
      </c>
      <c r="M3" s="749" t="s">
        <v>2558</v>
      </c>
      <c r="N3" s="749" t="s">
        <v>2559</v>
      </c>
      <c r="O3" s="749" t="s">
        <v>2560</v>
      </c>
      <c r="P3" s="749" t="s">
        <v>2561</v>
      </c>
      <c r="Q3" s="749" t="s">
        <v>2519</v>
      </c>
      <c r="R3" s="749" t="s">
        <v>2520</v>
      </c>
      <c r="S3" s="749" t="s">
        <v>364</v>
      </c>
      <c r="T3" s="749" t="s">
        <v>2521</v>
      </c>
      <c r="U3" s="749" t="s">
        <v>2522</v>
      </c>
      <c r="V3" s="749" t="s">
        <v>2562</v>
      </c>
      <c r="W3" s="749" t="s">
        <v>2524</v>
      </c>
      <c r="X3" s="749" t="s">
        <v>2563</v>
      </c>
      <c r="Y3" s="749" t="s">
        <v>2564</v>
      </c>
      <c r="Z3" s="749" t="s">
        <v>2565</v>
      </c>
      <c r="AA3" s="749" t="s">
        <v>2566</v>
      </c>
      <c r="AB3" s="749" t="s">
        <v>2567</v>
      </c>
      <c r="AC3" s="749" t="s">
        <v>2568</v>
      </c>
      <c r="AD3" s="751" t="s">
        <v>2569</v>
      </c>
      <c r="AE3" s="749" t="s">
        <v>2570</v>
      </c>
      <c r="AF3" s="749" t="s">
        <v>2533</v>
      </c>
      <c r="AG3" s="749" t="s">
        <v>2534</v>
      </c>
      <c r="AH3" s="749" t="s">
        <v>2571</v>
      </c>
      <c r="AI3" s="749" t="s">
        <v>2572</v>
      </c>
      <c r="AJ3" s="749" t="s">
        <v>2573</v>
      </c>
    </row>
    <row r="4" customFormat="false" ht="11.25" hidden="false" customHeight="true" outlineLevel="0" collapsed="false">
      <c r="A4" s="221" t="s">
        <v>203</v>
      </c>
      <c r="B4" s="159" t="n">
        <v>5.01</v>
      </c>
      <c r="C4" s="159" t="n">
        <v>-0.55</v>
      </c>
      <c r="D4" s="159" t="n">
        <v>-0.01</v>
      </c>
      <c r="E4" s="159" t="n">
        <v>9.38</v>
      </c>
      <c r="F4" s="159" t="n">
        <v>0.6</v>
      </c>
      <c r="G4" s="159" t="n">
        <v>-13.47</v>
      </c>
      <c r="H4" s="159" t="n">
        <v>-13.43</v>
      </c>
      <c r="I4" s="159" t="n">
        <v>-0.44</v>
      </c>
      <c r="J4" s="159" t="n">
        <v>3.45</v>
      </c>
      <c r="K4" s="159" t="n">
        <v>12.64</v>
      </c>
      <c r="L4" s="159" t="n">
        <v>-0.55</v>
      </c>
      <c r="M4" s="159" t="n">
        <v>8.43</v>
      </c>
      <c r="N4" s="159" t="n">
        <v>-0.31</v>
      </c>
      <c r="O4" s="159" t="n">
        <v>8.2</v>
      </c>
      <c r="P4" s="159" t="n">
        <v>0</v>
      </c>
      <c r="Q4" s="159" t="n">
        <v>4.55</v>
      </c>
      <c r="R4" s="159" t="n">
        <v>6.39</v>
      </c>
      <c r="S4" s="221" t="s">
        <v>203</v>
      </c>
      <c r="T4" s="159" t="n">
        <v>-0.04</v>
      </c>
      <c r="U4" s="159" t="n">
        <v>0.01</v>
      </c>
      <c r="V4" s="159" t="n">
        <v>-4.92</v>
      </c>
      <c r="W4" s="159" t="n">
        <v>4.01</v>
      </c>
      <c r="X4" s="159" t="n">
        <v>-0.01</v>
      </c>
      <c r="Y4" s="1554" t="n">
        <v>-0.52</v>
      </c>
      <c r="Z4" s="1554" t="n">
        <v>-0.01</v>
      </c>
      <c r="AA4" s="1554" t="n">
        <v>5.81</v>
      </c>
      <c r="AB4" s="1554" t="n">
        <v>3.45</v>
      </c>
      <c r="AC4" s="1554" t="n">
        <v>-1.58</v>
      </c>
      <c r="AD4" s="1554" t="n">
        <v>1.3</v>
      </c>
      <c r="AE4" s="1554" t="n">
        <v>0.06</v>
      </c>
      <c r="AF4" s="1554" t="n">
        <v>1.92</v>
      </c>
      <c r="AG4" s="1554" t="n">
        <v>-4.85</v>
      </c>
      <c r="AH4" s="1554" t="n">
        <v>5.06</v>
      </c>
      <c r="AI4" s="1554" t="n">
        <v>0</v>
      </c>
      <c r="AJ4" s="1554" t="n">
        <v>-9.07</v>
      </c>
    </row>
    <row r="5" customFormat="false" ht="11.25" hidden="false" customHeight="true" outlineLevel="0" collapsed="false">
      <c r="A5" s="215" t="s">
        <v>205</v>
      </c>
      <c r="B5" s="172" t="n">
        <v>25.89</v>
      </c>
      <c r="C5" s="172" t="n">
        <v>-6.34</v>
      </c>
      <c r="D5" s="172" t="n">
        <v>-0.01</v>
      </c>
      <c r="E5" s="172" t="n">
        <v>8.98</v>
      </c>
      <c r="F5" s="172" t="n">
        <v>4.93</v>
      </c>
      <c r="G5" s="172" t="n">
        <v>18.23</v>
      </c>
      <c r="H5" s="172" t="n">
        <v>18.39</v>
      </c>
      <c r="I5" s="172" t="n">
        <v>0.01</v>
      </c>
      <c r="J5" s="172" t="n">
        <v>3.74</v>
      </c>
      <c r="K5" s="172" t="n">
        <v>5.5</v>
      </c>
      <c r="L5" s="172" t="n">
        <v>-6.22</v>
      </c>
      <c r="M5" s="172" t="n">
        <v>9.65</v>
      </c>
      <c r="N5" s="172" t="n">
        <v>5.92</v>
      </c>
      <c r="O5" s="172" t="n">
        <v>7.84</v>
      </c>
      <c r="P5" s="172" t="n">
        <v>0</v>
      </c>
      <c r="Q5" s="172" t="n">
        <v>3.05</v>
      </c>
      <c r="R5" s="172" t="n">
        <v>19.25</v>
      </c>
      <c r="S5" s="215" t="s">
        <v>205</v>
      </c>
      <c r="T5" s="172" t="n">
        <v>20.96</v>
      </c>
      <c r="U5" s="172" t="n">
        <v>0</v>
      </c>
      <c r="V5" s="172" t="n">
        <v>-0.84</v>
      </c>
      <c r="W5" s="172" t="n">
        <v>6.77</v>
      </c>
      <c r="X5" s="172" t="n">
        <v>-0.05</v>
      </c>
      <c r="Y5" s="1038" t="n">
        <v>11.69</v>
      </c>
      <c r="Z5" s="1038" t="n">
        <v>0.01</v>
      </c>
      <c r="AA5" s="1038" t="n">
        <v>12.92</v>
      </c>
      <c r="AB5" s="1038" t="n">
        <v>13.77</v>
      </c>
      <c r="AC5" s="1038" t="n">
        <v>23.15</v>
      </c>
      <c r="AD5" s="1038" t="n">
        <v>3.56</v>
      </c>
      <c r="AE5" s="1038" t="n">
        <v>29.66</v>
      </c>
      <c r="AF5" s="1038" t="n">
        <v>-1.14</v>
      </c>
      <c r="AG5" s="1038" t="n">
        <v>8.27</v>
      </c>
      <c r="AH5" s="1038" t="n">
        <v>5.23</v>
      </c>
      <c r="AI5" s="1038" t="n">
        <v>0</v>
      </c>
      <c r="AJ5" s="1038" t="n">
        <v>6.65</v>
      </c>
    </row>
    <row r="6" s="222" customFormat="true" ht="11.25" hidden="false" customHeight="true" outlineLevel="0" collapsed="false">
      <c r="A6" s="207" t="s">
        <v>282</v>
      </c>
      <c r="B6" s="160" t="n">
        <v>-4.16</v>
      </c>
      <c r="C6" s="160" t="n">
        <v>-9.38</v>
      </c>
      <c r="D6" s="160" t="n">
        <v>0.01</v>
      </c>
      <c r="E6" s="160" t="n">
        <v>-4.59</v>
      </c>
      <c r="F6" s="160" t="n">
        <v>2.32</v>
      </c>
      <c r="G6" s="160" t="n">
        <v>-12.1</v>
      </c>
      <c r="H6" s="160" t="n">
        <v>-12.4</v>
      </c>
      <c r="I6" s="160" t="n">
        <v>0.38</v>
      </c>
      <c r="J6" s="160" t="n">
        <v>-19.38</v>
      </c>
      <c r="K6" s="160" t="n">
        <v>8.47</v>
      </c>
      <c r="L6" s="160" t="n">
        <v>-13.15</v>
      </c>
      <c r="M6" s="160" t="n">
        <v>1.11</v>
      </c>
      <c r="N6" s="160" t="n">
        <v>-1.96</v>
      </c>
      <c r="O6" s="160" t="n">
        <v>-4.77</v>
      </c>
      <c r="P6" s="160" t="n">
        <v>0</v>
      </c>
      <c r="Q6" s="160" t="n">
        <v>-20.63</v>
      </c>
      <c r="R6" s="160" t="n">
        <v>-2.97</v>
      </c>
      <c r="S6" s="207" t="s">
        <v>282</v>
      </c>
      <c r="T6" s="160" t="n">
        <v>-9.77</v>
      </c>
      <c r="U6" s="160" t="n">
        <v>0</v>
      </c>
      <c r="V6" s="160" t="n">
        <v>-8.94</v>
      </c>
      <c r="W6" s="160" t="n">
        <v>3.29</v>
      </c>
      <c r="X6" s="160" t="n">
        <v>0.02</v>
      </c>
      <c r="Y6" s="1048" t="n">
        <v>-14.8</v>
      </c>
      <c r="Z6" s="1048" t="n">
        <v>-0.01</v>
      </c>
      <c r="AA6" s="1048" t="n">
        <v>-6.01</v>
      </c>
      <c r="AB6" s="1048" t="n">
        <v>-2.57</v>
      </c>
      <c r="AC6" s="1048" t="n">
        <v>-8.85</v>
      </c>
      <c r="AD6" s="1048" t="n">
        <v>-17.76</v>
      </c>
      <c r="AE6" s="1048" t="n">
        <v>-12.17</v>
      </c>
      <c r="AF6" s="1048" t="n">
        <v>-25.91</v>
      </c>
      <c r="AG6" s="1048" t="n">
        <v>-4.99</v>
      </c>
      <c r="AH6" s="1048" t="n">
        <v>-2.56</v>
      </c>
      <c r="AI6" s="1048" t="n">
        <v>0</v>
      </c>
      <c r="AJ6" s="1048" t="n">
        <v>-2.48</v>
      </c>
    </row>
    <row r="7" s="222" customFormat="true" ht="11.25" hidden="false" customHeight="true" outlineLevel="0" collapsed="false">
      <c r="A7" s="215" t="s">
        <v>207</v>
      </c>
      <c r="B7" s="172" t="n">
        <v>-10.71</v>
      </c>
      <c r="C7" s="172" t="n">
        <v>5.21</v>
      </c>
      <c r="D7" s="172" t="n">
        <v>0</v>
      </c>
      <c r="E7" s="172" t="n">
        <v>-3.35</v>
      </c>
      <c r="F7" s="172" t="n">
        <v>2.37</v>
      </c>
      <c r="G7" s="172" t="n">
        <v>2.58</v>
      </c>
      <c r="H7" s="172" t="n">
        <v>2.92</v>
      </c>
      <c r="I7" s="172" t="n">
        <v>0.02</v>
      </c>
      <c r="J7" s="172" t="n">
        <v>-6.75</v>
      </c>
      <c r="K7" s="172" t="n">
        <v>-5.37</v>
      </c>
      <c r="L7" s="172" t="n">
        <v>0.04</v>
      </c>
      <c r="M7" s="172" t="n">
        <v>-19.53</v>
      </c>
      <c r="N7" s="172" t="n">
        <v>-1.86</v>
      </c>
      <c r="O7" s="172" t="n">
        <v>0.35</v>
      </c>
      <c r="P7" s="172" t="n">
        <v>0</v>
      </c>
      <c r="Q7" s="172" t="n">
        <v>-4.86</v>
      </c>
      <c r="R7" s="172" t="n">
        <v>-3.26</v>
      </c>
      <c r="S7" s="215" t="s">
        <v>207</v>
      </c>
      <c r="T7" s="172" t="n">
        <v>-1.79</v>
      </c>
      <c r="U7" s="172" t="n">
        <v>0</v>
      </c>
      <c r="V7" s="172" t="n">
        <v>-4.99</v>
      </c>
      <c r="W7" s="172" t="n">
        <v>-2.56</v>
      </c>
      <c r="X7" s="172" t="n">
        <v>0.01</v>
      </c>
      <c r="Y7" s="1038" t="n">
        <v>-0.22</v>
      </c>
      <c r="Z7" s="1038" t="n">
        <v>0.01</v>
      </c>
      <c r="AA7" s="1038" t="n">
        <v>0.3</v>
      </c>
      <c r="AB7" s="1038" t="n">
        <v>-0.15</v>
      </c>
      <c r="AC7" s="1038" t="n">
        <v>3.24</v>
      </c>
      <c r="AD7" s="1038" t="n">
        <v>2.04</v>
      </c>
      <c r="AE7" s="1038" t="n">
        <v>0.58</v>
      </c>
      <c r="AF7" s="1038" t="n">
        <v>-36.24</v>
      </c>
      <c r="AG7" s="1038" t="n">
        <v>-0.89</v>
      </c>
      <c r="AH7" s="1038" t="n">
        <v>1.76</v>
      </c>
      <c r="AI7" s="1038" t="n">
        <v>0</v>
      </c>
      <c r="AJ7" s="1038" t="n">
        <v>-2.96</v>
      </c>
    </row>
    <row r="8" s="184" customFormat="true" ht="11.25" hidden="false" customHeight="true" outlineLevel="0" collapsed="false">
      <c r="A8" s="809" t="s">
        <v>208</v>
      </c>
      <c r="B8" s="908" t="n">
        <v>3.09</v>
      </c>
      <c r="C8" s="908" t="n">
        <v>0.17</v>
      </c>
      <c r="D8" s="908" t="n">
        <v>0</v>
      </c>
      <c r="E8" s="908" t="n">
        <v>-1.3</v>
      </c>
      <c r="F8" s="908" t="n">
        <v>0.42</v>
      </c>
      <c r="G8" s="908" t="n">
        <v>4.94</v>
      </c>
      <c r="H8" s="908" t="n">
        <v>4.9</v>
      </c>
      <c r="I8" s="908" t="n">
        <v>0.06</v>
      </c>
      <c r="J8" s="908" t="n">
        <v>-0.86</v>
      </c>
      <c r="K8" s="908" t="n">
        <v>-17.15</v>
      </c>
      <c r="L8" s="908" t="n">
        <v>-52.09</v>
      </c>
      <c r="M8" s="908" t="n">
        <v>-2.16</v>
      </c>
      <c r="N8" s="908" t="n">
        <v>1.22</v>
      </c>
      <c r="O8" s="908" t="n">
        <v>-1.54</v>
      </c>
      <c r="P8" s="908" t="n">
        <v>0</v>
      </c>
      <c r="Q8" s="908" t="n">
        <v>-0.71</v>
      </c>
      <c r="R8" s="908" t="n">
        <v>13.34</v>
      </c>
      <c r="S8" s="809" t="s">
        <v>208</v>
      </c>
      <c r="T8" s="908" t="n">
        <v>-0.86</v>
      </c>
      <c r="U8" s="908" t="n">
        <v>0</v>
      </c>
      <c r="V8" s="908" t="n">
        <v>0.86</v>
      </c>
      <c r="W8" s="908" t="n">
        <v>-1.28</v>
      </c>
      <c r="X8" s="908" t="n">
        <v>-0.02</v>
      </c>
      <c r="Y8" s="908" t="n">
        <v>-2.28</v>
      </c>
      <c r="Z8" s="908" t="n">
        <v>-0.01</v>
      </c>
      <c r="AA8" s="908" t="n">
        <v>12.42</v>
      </c>
      <c r="AB8" s="908" t="n">
        <v>1.42</v>
      </c>
      <c r="AC8" s="908" t="n">
        <v>-0.51</v>
      </c>
      <c r="AD8" s="908" t="n">
        <v>0.16</v>
      </c>
      <c r="AE8" s="908" t="n">
        <v>6.06</v>
      </c>
      <c r="AF8" s="908" t="n">
        <v>-32.82</v>
      </c>
      <c r="AG8" s="908" t="n">
        <v>2.67</v>
      </c>
      <c r="AH8" s="908" t="n">
        <v>-4.33</v>
      </c>
      <c r="AI8" s="908" t="n">
        <v>0.01</v>
      </c>
      <c r="AJ8" s="908" t="n">
        <v>12.04</v>
      </c>
    </row>
    <row r="9" s="184" customFormat="true" ht="11.25" hidden="false" customHeight="true" outlineLevel="0" collapsed="false">
      <c r="A9" s="1148" t="s">
        <v>209</v>
      </c>
      <c r="B9" s="1243" t="n">
        <v>-18.44</v>
      </c>
      <c r="C9" s="1243" t="n">
        <v>-0.22</v>
      </c>
      <c r="D9" s="1243" t="n">
        <v>-0.01</v>
      </c>
      <c r="E9" s="1243" t="n">
        <v>-13.97</v>
      </c>
      <c r="F9" s="1243" t="n">
        <v>0.64</v>
      </c>
      <c r="G9" s="1243" t="n">
        <v>-17.73</v>
      </c>
      <c r="H9" s="1243" t="n">
        <v>-17.67</v>
      </c>
      <c r="I9" s="1243" t="n">
        <v>-0.01</v>
      </c>
      <c r="J9" s="1243" t="n">
        <v>-5.75</v>
      </c>
      <c r="K9" s="1243" t="n">
        <v>-10.13</v>
      </c>
      <c r="L9" s="1243" t="n">
        <v>-12.59</v>
      </c>
      <c r="M9" s="1243" t="n">
        <v>-17.21</v>
      </c>
      <c r="N9" s="1243" t="n">
        <v>-6.77</v>
      </c>
      <c r="O9" s="1243" t="n">
        <v>-15.23</v>
      </c>
      <c r="P9" s="1243" t="n">
        <v>-99.43</v>
      </c>
      <c r="Q9" s="1243" t="n">
        <v>-5.44</v>
      </c>
      <c r="R9" s="1243" t="n">
        <v>-21.92</v>
      </c>
      <c r="S9" s="1148" t="s">
        <v>209</v>
      </c>
      <c r="T9" s="1243" t="n">
        <v>-22.06</v>
      </c>
      <c r="U9" s="1243" t="n">
        <v>0.01</v>
      </c>
      <c r="V9" s="1243" t="n">
        <v>-3.09</v>
      </c>
      <c r="W9" s="1243" t="n">
        <v>-3.09</v>
      </c>
      <c r="X9" s="1243" t="n">
        <v>-0.01</v>
      </c>
      <c r="Y9" s="1243" t="n">
        <v>-39.45</v>
      </c>
      <c r="Z9" s="1243" t="n">
        <v>-0.01</v>
      </c>
      <c r="AA9" s="1243" t="n">
        <v>-9.57</v>
      </c>
      <c r="AB9" s="1243" t="n">
        <v>-7.17</v>
      </c>
      <c r="AC9" s="1243" t="n">
        <v>-18.24</v>
      </c>
      <c r="AD9" s="1243" t="n">
        <v>-2.55</v>
      </c>
      <c r="AE9" s="1243" t="n">
        <v>-3.8</v>
      </c>
      <c r="AF9" s="1243" t="n">
        <v>-31.24</v>
      </c>
      <c r="AG9" s="1243" t="n">
        <v>-9.12</v>
      </c>
      <c r="AH9" s="1243" t="n">
        <v>-3.91</v>
      </c>
      <c r="AI9" s="1243" t="n">
        <v>0</v>
      </c>
      <c r="AJ9" s="1243" t="n">
        <v>-7.63</v>
      </c>
    </row>
    <row r="10" s="184" customFormat="true" ht="11.25" hidden="false" customHeight="true" outlineLevel="0" collapsed="false">
      <c r="A10" s="1555" t="s">
        <v>211</v>
      </c>
      <c r="B10" s="198" t="n">
        <v>-3.89</v>
      </c>
      <c r="C10" s="198" t="n">
        <v>-0.76</v>
      </c>
      <c r="D10" s="198" t="n">
        <v>-0.08</v>
      </c>
      <c r="E10" s="198" t="n">
        <v>-4.84</v>
      </c>
      <c r="F10" s="198" t="n">
        <v>-7.82</v>
      </c>
      <c r="G10" s="198" t="n">
        <v>-1.31</v>
      </c>
      <c r="H10" s="198" t="n">
        <v>-1.52</v>
      </c>
      <c r="I10" s="198" t="n">
        <v>-0.08</v>
      </c>
      <c r="J10" s="198" t="n">
        <v>-5.91</v>
      </c>
      <c r="K10" s="198" t="n">
        <v>1.28</v>
      </c>
      <c r="L10" s="198" t="n">
        <v>-2.61</v>
      </c>
      <c r="M10" s="198" t="n">
        <v>19.25</v>
      </c>
      <c r="N10" s="198" t="n">
        <v>0.05</v>
      </c>
      <c r="O10" s="198" t="n">
        <v>-6.68</v>
      </c>
      <c r="P10" s="198" t="n">
        <v>-5.53</v>
      </c>
      <c r="Q10" s="198" t="n">
        <v>-6.41</v>
      </c>
      <c r="R10" s="198" t="n">
        <v>2.8</v>
      </c>
      <c r="S10" s="1555" t="s">
        <v>211</v>
      </c>
      <c r="T10" s="198" t="n">
        <v>-7.3</v>
      </c>
      <c r="U10" s="198" t="n">
        <v>-0.01</v>
      </c>
      <c r="V10" s="198" t="n">
        <v>-2.68</v>
      </c>
      <c r="W10" s="198" t="n">
        <v>-3.89</v>
      </c>
      <c r="X10" s="198" t="n">
        <v>0</v>
      </c>
      <c r="Y10" s="198" t="n">
        <v>-13.36</v>
      </c>
      <c r="Z10" s="198" t="n">
        <v>0.01</v>
      </c>
      <c r="AA10" s="198" t="n">
        <v>-3.69</v>
      </c>
      <c r="AB10" s="198" t="n">
        <v>-0.55</v>
      </c>
      <c r="AC10" s="198" t="n">
        <v>-3.04</v>
      </c>
      <c r="AD10" s="198" t="n">
        <v>-9.53</v>
      </c>
      <c r="AE10" s="198" t="n">
        <v>-5.73</v>
      </c>
      <c r="AF10" s="198" t="n">
        <v>0.35</v>
      </c>
      <c r="AG10" s="198" t="n">
        <v>-0.57</v>
      </c>
      <c r="AH10" s="198" t="n">
        <v>-4.17</v>
      </c>
      <c r="AI10" s="198" t="n">
        <v>0</v>
      </c>
      <c r="AJ10" s="198" t="n">
        <v>-15.21</v>
      </c>
    </row>
    <row r="11" s="184" customFormat="true" ht="11.25" hidden="false" customHeight="true" outlineLevel="0" collapsed="false">
      <c r="A11" s="1556" t="s">
        <v>212</v>
      </c>
      <c r="B11" s="202" t="n">
        <v>4.01</v>
      </c>
      <c r="C11" s="202" t="n">
        <v>-2.72</v>
      </c>
      <c r="D11" s="202" t="n">
        <v>0.03</v>
      </c>
      <c r="E11" s="202" t="n">
        <v>0.15</v>
      </c>
      <c r="F11" s="202" t="n">
        <v>-2.1</v>
      </c>
      <c r="G11" s="202" t="n">
        <v>3.51</v>
      </c>
      <c r="H11" s="202" t="n">
        <v>3.38</v>
      </c>
      <c r="I11" s="202" t="n">
        <v>-0.6</v>
      </c>
      <c r="J11" s="202" t="n">
        <v>4.72</v>
      </c>
      <c r="K11" s="202" t="n">
        <v>-1.24</v>
      </c>
      <c r="L11" s="202" t="n">
        <v>-7.34</v>
      </c>
      <c r="M11" s="202" t="n">
        <v>-8.4</v>
      </c>
      <c r="N11" s="202" t="n">
        <v>-0.4</v>
      </c>
      <c r="O11" s="202" t="n">
        <v>-5.53</v>
      </c>
      <c r="P11" s="202" t="n">
        <v>-13.2</v>
      </c>
      <c r="Q11" s="202" t="n">
        <v>5.32</v>
      </c>
      <c r="R11" s="202" t="n">
        <v>3.58</v>
      </c>
      <c r="S11" s="1556" t="s">
        <v>212</v>
      </c>
      <c r="T11" s="202" t="n">
        <v>1.07</v>
      </c>
      <c r="U11" s="202" t="n">
        <v>-0.05</v>
      </c>
      <c r="V11" s="202" t="n">
        <v>-0.2</v>
      </c>
      <c r="W11" s="202" t="n">
        <v>-6.8</v>
      </c>
      <c r="X11" s="202" t="n">
        <v>-2.51</v>
      </c>
      <c r="Y11" s="202" t="n">
        <v>8.65</v>
      </c>
      <c r="Z11" s="202" t="n">
        <v>0.01</v>
      </c>
      <c r="AA11" s="202" t="n">
        <v>1.68</v>
      </c>
      <c r="AB11" s="202" t="n">
        <v>-1.86</v>
      </c>
      <c r="AC11" s="202" t="n">
        <v>0.46</v>
      </c>
      <c r="AD11" s="202" t="n">
        <v>-3.74</v>
      </c>
      <c r="AE11" s="202" t="n">
        <v>2.76</v>
      </c>
      <c r="AF11" s="202" t="n">
        <v>-57.91</v>
      </c>
      <c r="AG11" s="202" t="n">
        <v>-0.33</v>
      </c>
      <c r="AH11" s="202" t="n">
        <v>3.75</v>
      </c>
      <c r="AI11" s="202" t="n">
        <v>-0.01</v>
      </c>
      <c r="AJ11" s="202" t="n">
        <v>-2.52</v>
      </c>
    </row>
    <row r="12" s="184" customFormat="true" ht="11.25" hidden="false" customHeight="true" outlineLevel="0" collapsed="false">
      <c r="A12" s="1557" t="s">
        <v>213</v>
      </c>
      <c r="B12" s="211" t="n">
        <v>-4.29</v>
      </c>
      <c r="C12" s="211" t="n">
        <v>-3.74</v>
      </c>
      <c r="D12" s="211" t="n">
        <v>-0.21</v>
      </c>
      <c r="E12" s="211" t="n">
        <v>-1.83</v>
      </c>
      <c r="F12" s="211" t="n">
        <v>2.38</v>
      </c>
      <c r="G12" s="211" t="n">
        <v>0.88</v>
      </c>
      <c r="H12" s="211" t="n">
        <v>1.12</v>
      </c>
      <c r="I12" s="211" t="n">
        <v>-0.54</v>
      </c>
      <c r="J12" s="211" t="n">
        <v>-6.07</v>
      </c>
      <c r="K12" s="211" t="n">
        <v>-7.22</v>
      </c>
      <c r="L12" s="211" t="n">
        <v>-23.72</v>
      </c>
      <c r="M12" s="211" t="n">
        <v>1.52</v>
      </c>
      <c r="N12" s="211" t="n">
        <v>0.28</v>
      </c>
      <c r="O12" s="211" t="n">
        <v>6.39</v>
      </c>
      <c r="P12" s="211" t="n">
        <v>-3.88</v>
      </c>
      <c r="Q12" s="211" t="n">
        <v>-5.28</v>
      </c>
      <c r="R12" s="211" t="n">
        <v>-7.46</v>
      </c>
      <c r="S12" s="1557" t="s">
        <v>213</v>
      </c>
      <c r="T12" s="211" t="n">
        <v>2.41</v>
      </c>
      <c r="U12" s="211" t="n">
        <v>0.05</v>
      </c>
      <c r="V12" s="211" t="n">
        <v>-13.86</v>
      </c>
      <c r="W12" s="211" t="n">
        <v>-5.49</v>
      </c>
      <c r="X12" s="211" t="n">
        <v>2.58</v>
      </c>
      <c r="Y12" s="211" t="n">
        <v>-6.27</v>
      </c>
      <c r="Z12" s="211" t="n">
        <v>-0.01</v>
      </c>
      <c r="AA12" s="211" t="n">
        <v>2.57</v>
      </c>
      <c r="AB12" s="211" t="n">
        <v>0.84</v>
      </c>
      <c r="AC12" s="211" t="n">
        <v>-5.58</v>
      </c>
      <c r="AD12" s="211" t="n">
        <v>-3.02</v>
      </c>
      <c r="AE12" s="211" t="n">
        <v>-4.18</v>
      </c>
      <c r="AF12" s="211" t="n">
        <v>0</v>
      </c>
      <c r="AG12" s="211" t="n">
        <v>1.03</v>
      </c>
      <c r="AH12" s="211" t="n">
        <v>2.52</v>
      </c>
      <c r="AI12" s="211" t="n">
        <v>-0.01</v>
      </c>
      <c r="AJ12" s="211" t="n">
        <v>0.55</v>
      </c>
    </row>
    <row r="13" s="184" customFormat="true" ht="11.25" hidden="false" customHeight="true" outlineLevel="0" collapsed="false">
      <c r="A13" s="1558" t="s">
        <v>214</v>
      </c>
      <c r="B13" s="1243" t="n">
        <v>3.94</v>
      </c>
      <c r="C13" s="1243" t="n">
        <v>-0.08</v>
      </c>
      <c r="D13" s="1243" t="n">
        <v>0.04</v>
      </c>
      <c r="E13" s="1243" t="n">
        <v>4.58</v>
      </c>
      <c r="F13" s="1243" t="n">
        <v>0.69</v>
      </c>
      <c r="G13" s="1243" t="n">
        <v>2.7</v>
      </c>
      <c r="H13" s="1243" t="n">
        <v>2.72</v>
      </c>
      <c r="I13" s="1243" t="n">
        <v>-0.05</v>
      </c>
      <c r="J13" s="1243" t="n">
        <v>0.85</v>
      </c>
      <c r="K13" s="1243" t="n">
        <v>0.02</v>
      </c>
      <c r="L13" s="1243" t="n">
        <v>-0.69</v>
      </c>
      <c r="M13" s="1243" t="n">
        <v>1.37</v>
      </c>
      <c r="N13" s="1243" t="n">
        <v>0.41</v>
      </c>
      <c r="O13" s="1243" t="n">
        <v>0.35</v>
      </c>
      <c r="P13" s="1243" t="n">
        <v>-0.51</v>
      </c>
      <c r="Q13" s="1243" t="n">
        <v>0.62</v>
      </c>
      <c r="R13" s="1243" t="n">
        <v>2.91</v>
      </c>
      <c r="S13" s="1558" t="s">
        <v>214</v>
      </c>
      <c r="T13" s="1243" t="n">
        <v>5.98</v>
      </c>
      <c r="U13" s="1243" t="n">
        <v>0.05</v>
      </c>
      <c r="V13" s="1243" t="n">
        <v>-0.47</v>
      </c>
      <c r="W13" s="1243" t="n">
        <v>-0.24</v>
      </c>
      <c r="X13" s="1243" t="n">
        <v>2.55</v>
      </c>
      <c r="Y13" s="1243" t="n">
        <v>-0.64</v>
      </c>
      <c r="Z13" s="1243" t="n">
        <v>0</v>
      </c>
      <c r="AA13" s="1243" t="n">
        <v>1.87</v>
      </c>
      <c r="AB13" s="1243" t="n">
        <v>1.67</v>
      </c>
      <c r="AC13" s="1243" t="n">
        <v>4.18</v>
      </c>
      <c r="AD13" s="1243" t="n">
        <v>-0.08</v>
      </c>
      <c r="AE13" s="1243" t="n">
        <v>-1.34</v>
      </c>
      <c r="AF13" s="1243" t="n">
        <v>0</v>
      </c>
      <c r="AG13" s="1243" t="n">
        <v>1.07</v>
      </c>
      <c r="AH13" s="1243" t="n">
        <v>1.97</v>
      </c>
      <c r="AI13" s="1243" t="n">
        <v>0</v>
      </c>
      <c r="AJ13" s="1243" t="n">
        <v>0.99</v>
      </c>
    </row>
    <row r="14" s="184" customFormat="true" ht="11.25" hidden="false" customHeight="true" outlineLevel="0" collapsed="false">
      <c r="A14" s="1559" t="s">
        <v>215</v>
      </c>
      <c r="B14" s="198" t="n">
        <v>-1.03</v>
      </c>
      <c r="C14" s="198" t="n">
        <v>-0.05</v>
      </c>
      <c r="D14" s="198" t="n">
        <v>0.01</v>
      </c>
      <c r="E14" s="198" t="n">
        <v>-1.48</v>
      </c>
      <c r="F14" s="198" t="n">
        <v>1.93</v>
      </c>
      <c r="G14" s="198" t="n">
        <v>1.1</v>
      </c>
      <c r="H14" s="198" t="n">
        <v>1.11</v>
      </c>
      <c r="I14" s="198" t="n">
        <v>-0.2</v>
      </c>
      <c r="J14" s="198" t="n">
        <v>0.2</v>
      </c>
      <c r="K14" s="198" t="n">
        <v>-0.17</v>
      </c>
      <c r="L14" s="198" t="n">
        <v>-1.37</v>
      </c>
      <c r="M14" s="198" t="n">
        <v>0.39</v>
      </c>
      <c r="N14" s="198" t="n">
        <v>0.2</v>
      </c>
      <c r="O14" s="198" t="n">
        <v>0.2</v>
      </c>
      <c r="P14" s="198" t="n">
        <v>0.62</v>
      </c>
      <c r="Q14" s="198" t="n">
        <v>0.34</v>
      </c>
      <c r="R14" s="198" t="n">
        <v>-4.13</v>
      </c>
      <c r="S14" s="1559" t="s">
        <v>215</v>
      </c>
      <c r="T14" s="198" t="n">
        <v>1.3</v>
      </c>
      <c r="U14" s="198" t="n">
        <v>0</v>
      </c>
      <c r="V14" s="198" t="n">
        <v>0.13</v>
      </c>
      <c r="W14" s="198" t="n">
        <v>-1.29</v>
      </c>
      <c r="X14" s="198" t="n">
        <v>-0.99</v>
      </c>
      <c r="Y14" s="198" t="n">
        <v>1.78</v>
      </c>
      <c r="Z14" s="198" t="n">
        <v>0</v>
      </c>
      <c r="AA14" s="198" t="n">
        <v>-0.3</v>
      </c>
      <c r="AB14" s="198" t="n">
        <v>-0.14</v>
      </c>
      <c r="AC14" s="198" t="n">
        <v>1.7</v>
      </c>
      <c r="AD14" s="198" t="n">
        <v>0.57</v>
      </c>
      <c r="AE14" s="198" t="n">
        <v>0.54</v>
      </c>
      <c r="AF14" s="198" t="n">
        <v>0</v>
      </c>
      <c r="AG14" s="198" t="n">
        <v>0.91</v>
      </c>
      <c r="AH14" s="198" t="n">
        <v>0.3</v>
      </c>
      <c r="AI14" s="198" t="n">
        <v>0</v>
      </c>
      <c r="AJ14" s="198" t="n">
        <v>-1.59</v>
      </c>
    </row>
    <row r="15" s="184" customFormat="true" ht="11.25" hidden="false" customHeight="true" outlineLevel="0" collapsed="false">
      <c r="A15" s="1558" t="s">
        <v>216</v>
      </c>
      <c r="B15" s="1243" t="n">
        <v>-0.71</v>
      </c>
      <c r="C15" s="1243" t="n">
        <v>-0.12</v>
      </c>
      <c r="D15" s="1243" t="n">
        <v>-0.03</v>
      </c>
      <c r="E15" s="1243" t="n">
        <v>1.18</v>
      </c>
      <c r="F15" s="1243" t="n">
        <v>-0.41</v>
      </c>
      <c r="G15" s="1243" t="n">
        <v>-1.22</v>
      </c>
      <c r="H15" s="1243" t="n">
        <v>-1.17</v>
      </c>
      <c r="I15" s="1243" t="n">
        <v>0.2</v>
      </c>
      <c r="J15" s="1243" t="n">
        <v>-2.62</v>
      </c>
      <c r="K15" s="1243" t="n">
        <v>-1.45</v>
      </c>
      <c r="L15" s="1243" t="n">
        <v>-1.74</v>
      </c>
      <c r="M15" s="1243" t="n">
        <v>-2.3</v>
      </c>
      <c r="N15" s="1243" t="n">
        <v>0.03</v>
      </c>
      <c r="O15" s="1243" t="n">
        <v>0.92</v>
      </c>
      <c r="P15" s="1243" t="n">
        <v>0.18</v>
      </c>
      <c r="Q15" s="1243" t="n">
        <v>-1.84</v>
      </c>
      <c r="R15" s="1243" t="n">
        <v>-0.03</v>
      </c>
      <c r="S15" s="1558" t="s">
        <v>216</v>
      </c>
      <c r="T15" s="1243" t="n">
        <v>-1.8</v>
      </c>
      <c r="U15" s="1243" t="n">
        <v>0</v>
      </c>
      <c r="V15" s="1243" t="n">
        <v>-0.2</v>
      </c>
      <c r="W15" s="1243" t="n">
        <v>0.11</v>
      </c>
      <c r="X15" s="1243" t="n">
        <v>-0.99</v>
      </c>
      <c r="Y15" s="1243" t="n">
        <v>0.6</v>
      </c>
      <c r="Z15" s="1243" t="n">
        <v>0</v>
      </c>
      <c r="AA15" s="1243" t="n">
        <v>-1.96</v>
      </c>
      <c r="AB15" s="1243" t="n">
        <v>-0.08</v>
      </c>
      <c r="AC15" s="1243" t="n">
        <v>-2.19</v>
      </c>
      <c r="AD15" s="1243" t="n">
        <v>-0.15</v>
      </c>
      <c r="AE15" s="1243" t="n">
        <v>-0.88</v>
      </c>
      <c r="AF15" s="1243" t="n">
        <v>0</v>
      </c>
      <c r="AG15" s="1243" t="n">
        <v>-0.47</v>
      </c>
      <c r="AH15" s="1243" t="n">
        <v>-0.73</v>
      </c>
      <c r="AI15" s="1243" t="n">
        <v>0</v>
      </c>
      <c r="AJ15" s="1243" t="n">
        <v>3.57</v>
      </c>
    </row>
    <row r="16" s="184" customFormat="true" ht="11.25" hidden="false" customHeight="true" outlineLevel="0" collapsed="false">
      <c r="A16" s="1559" t="s">
        <v>217</v>
      </c>
      <c r="B16" s="198" t="n">
        <v>-2.05</v>
      </c>
      <c r="C16" s="198" t="n">
        <v>-0.07</v>
      </c>
      <c r="D16" s="198" t="n">
        <v>-0.03</v>
      </c>
      <c r="E16" s="198" t="n">
        <v>-2.77</v>
      </c>
      <c r="F16" s="198" t="n">
        <v>-0.17</v>
      </c>
      <c r="G16" s="198" t="n">
        <v>-0.79</v>
      </c>
      <c r="H16" s="198" t="n">
        <v>-0.8</v>
      </c>
      <c r="I16" s="198" t="n">
        <v>0.13</v>
      </c>
      <c r="J16" s="198" t="n">
        <v>1.32</v>
      </c>
      <c r="K16" s="198" t="n">
        <v>-0.16</v>
      </c>
      <c r="L16" s="198" t="n">
        <v>-3.22</v>
      </c>
      <c r="M16" s="198" t="n">
        <v>-0.31</v>
      </c>
      <c r="N16" s="198" t="n">
        <v>-0.3</v>
      </c>
      <c r="O16" s="198" t="n">
        <v>0.02</v>
      </c>
      <c r="P16" s="198" t="n">
        <v>-0.62</v>
      </c>
      <c r="Q16" s="198" t="n">
        <v>0.43</v>
      </c>
      <c r="R16" s="198" t="n">
        <v>-4.5</v>
      </c>
      <c r="S16" s="1559" t="s">
        <v>217</v>
      </c>
      <c r="T16" s="198" t="n">
        <v>-2.42</v>
      </c>
      <c r="U16" s="198" t="n">
        <v>0</v>
      </c>
      <c r="V16" s="198" t="n">
        <v>0.1</v>
      </c>
      <c r="W16" s="198" t="n">
        <v>-0.96</v>
      </c>
      <c r="X16" s="198" t="n">
        <v>-3.26</v>
      </c>
      <c r="Y16" s="198" t="n">
        <v>0.35</v>
      </c>
      <c r="Z16" s="198" t="n">
        <v>0</v>
      </c>
      <c r="AA16" s="198" t="n">
        <v>2.43</v>
      </c>
      <c r="AB16" s="198" t="n">
        <v>-0.08</v>
      </c>
      <c r="AC16" s="198" t="n">
        <v>-2.32</v>
      </c>
      <c r="AD16" s="198" t="n">
        <v>-0.36</v>
      </c>
      <c r="AE16" s="198" t="n">
        <v>-2.24</v>
      </c>
      <c r="AF16" s="198" t="n">
        <v>0</v>
      </c>
      <c r="AG16" s="198" t="n">
        <v>-0.58</v>
      </c>
      <c r="AH16" s="198" t="n">
        <v>0.71</v>
      </c>
      <c r="AI16" s="198" t="n">
        <v>-0.01</v>
      </c>
      <c r="AJ16" s="198" t="n">
        <v>-1.34</v>
      </c>
    </row>
    <row r="17" s="184" customFormat="true" ht="11.25" hidden="false" customHeight="true" outlineLevel="0" collapsed="false">
      <c r="A17" s="1558" t="s">
        <v>218</v>
      </c>
      <c r="B17" s="1243" t="n">
        <v>-1.52</v>
      </c>
      <c r="C17" s="1243" t="n">
        <v>-1.75</v>
      </c>
      <c r="D17" s="1243" t="n">
        <v>0</v>
      </c>
      <c r="E17" s="1243" t="n">
        <v>-0.27</v>
      </c>
      <c r="F17" s="1243" t="n">
        <v>0.55</v>
      </c>
      <c r="G17" s="1243" t="n">
        <v>1.67</v>
      </c>
      <c r="H17" s="1243" t="n">
        <v>1.69</v>
      </c>
      <c r="I17" s="1243" t="n">
        <v>-0.12</v>
      </c>
      <c r="J17" s="1243" t="n">
        <v>0.78</v>
      </c>
      <c r="K17" s="1243" t="n">
        <v>0.36</v>
      </c>
      <c r="L17" s="1243" t="n">
        <v>-1.06</v>
      </c>
      <c r="M17" s="1243" t="n">
        <v>1.12</v>
      </c>
      <c r="N17" s="1243" t="n">
        <v>0.18</v>
      </c>
      <c r="O17" s="1243" t="n">
        <v>3.51</v>
      </c>
      <c r="P17" s="1243" t="n">
        <v>0.85</v>
      </c>
      <c r="Q17" s="1243" t="n">
        <v>0.5</v>
      </c>
      <c r="R17" s="1243" t="n">
        <v>0.06</v>
      </c>
      <c r="S17" s="1558" t="s">
        <v>218</v>
      </c>
      <c r="T17" s="1243" t="n">
        <v>-1.28</v>
      </c>
      <c r="U17" s="1243" t="n">
        <v>0</v>
      </c>
      <c r="V17" s="1243" t="n">
        <v>-0.09</v>
      </c>
      <c r="W17" s="1243" t="n">
        <v>2.51</v>
      </c>
      <c r="X17" s="1243" t="n">
        <v>5.47</v>
      </c>
      <c r="Y17" s="1243" t="n">
        <v>-0.95</v>
      </c>
      <c r="Z17" s="1243" t="n">
        <v>0</v>
      </c>
      <c r="AA17" s="1243" t="n">
        <v>3.11</v>
      </c>
      <c r="AB17" s="1243" t="n">
        <v>1.02</v>
      </c>
      <c r="AC17" s="1243" t="n">
        <v>-0.08</v>
      </c>
      <c r="AD17" s="1243" t="n">
        <v>-0.13</v>
      </c>
      <c r="AE17" s="1243" t="n">
        <v>1</v>
      </c>
      <c r="AF17" s="1243" t="n">
        <v>0</v>
      </c>
      <c r="AG17" s="1243" t="n">
        <v>0.92</v>
      </c>
      <c r="AH17" s="1243" t="n">
        <v>1.78</v>
      </c>
      <c r="AI17" s="1243" t="n">
        <v>0.01</v>
      </c>
      <c r="AJ17" s="1243" t="n">
        <v>1.52</v>
      </c>
    </row>
    <row r="18" s="184" customFormat="true" ht="11.25" hidden="false" customHeight="true" outlineLevel="0" collapsed="false">
      <c r="A18" s="1559" t="s">
        <v>219</v>
      </c>
      <c r="B18" s="198" t="n">
        <v>3.04</v>
      </c>
      <c r="C18" s="198" t="n">
        <v>-0.48</v>
      </c>
      <c r="D18" s="198" t="n">
        <v>0.04</v>
      </c>
      <c r="E18" s="198" t="n">
        <v>2.27</v>
      </c>
      <c r="F18" s="198" t="n">
        <v>1.06</v>
      </c>
      <c r="G18" s="198" t="n">
        <v>1.25</v>
      </c>
      <c r="H18" s="198" t="n">
        <v>1.27</v>
      </c>
      <c r="I18" s="198" t="n">
        <v>-0.05</v>
      </c>
      <c r="J18" s="198" t="n">
        <v>0.81</v>
      </c>
      <c r="K18" s="198" t="n">
        <v>-0.37</v>
      </c>
      <c r="L18" s="198" t="n">
        <v>-2.28</v>
      </c>
      <c r="M18" s="198" t="n">
        <v>-0.67</v>
      </c>
      <c r="N18" s="198" t="n">
        <v>0.07</v>
      </c>
      <c r="O18" s="198" t="n">
        <v>0.99</v>
      </c>
      <c r="P18" s="198" t="n">
        <v>-0.77</v>
      </c>
      <c r="Q18" s="198" t="n">
        <v>0.71</v>
      </c>
      <c r="R18" s="198" t="n">
        <v>2.99</v>
      </c>
      <c r="S18" s="1559" t="s">
        <v>219</v>
      </c>
      <c r="T18" s="198" t="n">
        <v>0.56</v>
      </c>
      <c r="U18" s="198" t="n">
        <v>-0.01</v>
      </c>
      <c r="V18" s="198" t="n">
        <v>-4.77</v>
      </c>
      <c r="W18" s="198" t="n">
        <v>0.65</v>
      </c>
      <c r="X18" s="198" t="n">
        <v>-0.03</v>
      </c>
      <c r="Y18" s="198" t="n">
        <v>1.46</v>
      </c>
      <c r="Z18" s="198" t="n">
        <v>0</v>
      </c>
      <c r="AA18" s="198" t="n">
        <v>1.82</v>
      </c>
      <c r="AB18" s="198" t="n">
        <v>0.72</v>
      </c>
      <c r="AC18" s="198" t="n">
        <v>1.97</v>
      </c>
      <c r="AD18" s="198" t="n">
        <v>0.2</v>
      </c>
      <c r="AE18" s="198" t="n">
        <v>1.05</v>
      </c>
      <c r="AF18" s="198" t="n">
        <v>0</v>
      </c>
      <c r="AG18" s="198" t="n">
        <v>0.54</v>
      </c>
      <c r="AH18" s="198" t="n">
        <v>0.28</v>
      </c>
      <c r="AI18" s="198" t="n">
        <v>0</v>
      </c>
      <c r="AJ18" s="198" t="n">
        <v>0.79</v>
      </c>
    </row>
    <row r="19" s="184" customFormat="true" ht="11.25" hidden="false" customHeight="true" outlineLevel="0" collapsed="false">
      <c r="A19" s="1558" t="s">
        <v>220</v>
      </c>
      <c r="B19" s="1243" t="n">
        <v>3.6</v>
      </c>
      <c r="C19" s="1243" t="n">
        <v>-0.24</v>
      </c>
      <c r="D19" s="1243" t="n">
        <v>0.03</v>
      </c>
      <c r="E19" s="1243" t="n">
        <v>1.99</v>
      </c>
      <c r="F19" s="1243" t="n">
        <v>3.16</v>
      </c>
      <c r="G19" s="1243" t="n">
        <v>3.4</v>
      </c>
      <c r="H19" s="1243" t="n">
        <v>3.37</v>
      </c>
      <c r="I19" s="1243" t="n">
        <v>-0.1</v>
      </c>
      <c r="J19" s="1243" t="n">
        <v>0.24</v>
      </c>
      <c r="K19" s="1243" t="n">
        <v>1.32</v>
      </c>
      <c r="L19" s="1243" t="n">
        <v>-2.25</v>
      </c>
      <c r="M19" s="1243" t="n">
        <v>3.59</v>
      </c>
      <c r="N19" s="1243" t="n">
        <v>0.62</v>
      </c>
      <c r="O19" s="1243" t="n">
        <v>3.74</v>
      </c>
      <c r="P19" s="1243" t="n">
        <v>2.78</v>
      </c>
      <c r="Q19" s="1243" t="n">
        <v>0.79</v>
      </c>
      <c r="R19" s="1243" t="n">
        <v>3.44</v>
      </c>
      <c r="S19" s="1558" t="s">
        <v>220</v>
      </c>
      <c r="T19" s="1243" t="n">
        <v>6.31</v>
      </c>
      <c r="U19" s="1243" t="n">
        <v>0.01</v>
      </c>
      <c r="V19" s="1243" t="n">
        <v>-0.05</v>
      </c>
      <c r="W19" s="1243" t="n">
        <v>-2.5</v>
      </c>
      <c r="X19" s="1243" t="n">
        <v>0.03</v>
      </c>
      <c r="Y19" s="1243" t="n">
        <v>2.48</v>
      </c>
      <c r="Z19" s="1243" t="n">
        <v>0</v>
      </c>
      <c r="AA19" s="1243" t="n">
        <v>-0.23</v>
      </c>
      <c r="AB19" s="1243" t="n">
        <v>1.98</v>
      </c>
      <c r="AC19" s="1243" t="n">
        <v>4.15</v>
      </c>
      <c r="AD19" s="1243" t="n">
        <v>-0.31</v>
      </c>
      <c r="AE19" s="1243" t="n">
        <v>4.29</v>
      </c>
      <c r="AF19" s="1243" t="n">
        <v>0</v>
      </c>
      <c r="AG19" s="1243" t="n">
        <v>2.18</v>
      </c>
      <c r="AH19" s="1243" t="n">
        <v>3.83</v>
      </c>
      <c r="AI19" s="1243" t="n">
        <v>0</v>
      </c>
      <c r="AJ19" s="1243" t="n">
        <v>4.68</v>
      </c>
    </row>
    <row r="20" s="184" customFormat="true" ht="11.25" hidden="false" customHeight="true" outlineLevel="0" collapsed="false">
      <c r="A20" s="1559" t="s">
        <v>221</v>
      </c>
      <c r="B20" s="198" t="n">
        <v>-3.63</v>
      </c>
      <c r="C20" s="198" t="n">
        <v>-0.07</v>
      </c>
      <c r="D20" s="198" t="n">
        <v>0</v>
      </c>
      <c r="E20" s="198" t="n">
        <v>-3.46</v>
      </c>
      <c r="F20" s="198" t="n">
        <v>0.07</v>
      </c>
      <c r="G20" s="198" t="n">
        <v>-1.41</v>
      </c>
      <c r="H20" s="198" t="n">
        <v>-1.37</v>
      </c>
      <c r="I20" s="198" t="n">
        <v>-0.08</v>
      </c>
      <c r="J20" s="198" t="n">
        <v>-1.89</v>
      </c>
      <c r="K20" s="198" t="n">
        <v>-2.36</v>
      </c>
      <c r="L20" s="198" t="n">
        <v>-0.96</v>
      </c>
      <c r="M20" s="198" t="n">
        <v>1.35</v>
      </c>
      <c r="N20" s="198" t="n">
        <v>0</v>
      </c>
      <c r="O20" s="198" t="n">
        <v>-0.62</v>
      </c>
      <c r="P20" s="198" t="n">
        <v>-0.78</v>
      </c>
      <c r="Q20" s="198" t="n">
        <v>-1.84</v>
      </c>
      <c r="R20" s="198" t="n">
        <v>-1.3</v>
      </c>
      <c r="S20" s="1559" t="s">
        <v>221</v>
      </c>
      <c r="T20" s="198" t="n">
        <v>-1.86</v>
      </c>
      <c r="U20" s="198" t="n">
        <v>0</v>
      </c>
      <c r="V20" s="198" t="n">
        <v>0</v>
      </c>
      <c r="W20" s="198" t="n">
        <v>-1.43</v>
      </c>
      <c r="X20" s="198" t="n">
        <v>0</v>
      </c>
      <c r="Y20" s="198" t="n">
        <v>-0.05</v>
      </c>
      <c r="Z20" s="198" t="n">
        <v>0</v>
      </c>
      <c r="AA20" s="198" t="n">
        <v>-1.26</v>
      </c>
      <c r="AB20" s="198" t="n">
        <v>-0.97</v>
      </c>
      <c r="AC20" s="198" t="n">
        <v>-4.31</v>
      </c>
      <c r="AD20" s="198" t="n">
        <v>-0.6</v>
      </c>
      <c r="AE20" s="198" t="n">
        <v>-0.51</v>
      </c>
      <c r="AF20" s="198" t="n">
        <v>0</v>
      </c>
      <c r="AG20" s="198" t="n">
        <v>-0.26</v>
      </c>
      <c r="AH20" s="198" t="n">
        <v>-0.35</v>
      </c>
      <c r="AI20" s="198" t="n">
        <v>0</v>
      </c>
      <c r="AJ20" s="198" t="n">
        <v>-1.68</v>
      </c>
    </row>
    <row r="21" s="184" customFormat="true" ht="11.25" hidden="false" customHeight="true" outlineLevel="0" collapsed="false">
      <c r="A21" s="1558" t="s">
        <v>222</v>
      </c>
      <c r="B21" s="1243" t="n">
        <v>-1.64</v>
      </c>
      <c r="C21" s="1243" t="n">
        <v>0</v>
      </c>
      <c r="D21" s="1243" t="n">
        <v>-0.03</v>
      </c>
      <c r="E21" s="1243" t="n">
        <v>-1.14</v>
      </c>
      <c r="F21" s="1243" t="n">
        <v>0.39</v>
      </c>
      <c r="G21" s="1243" t="n">
        <v>0.54</v>
      </c>
      <c r="H21" s="1243" t="n">
        <v>0.62</v>
      </c>
      <c r="I21" s="1243" t="n">
        <v>-0.25</v>
      </c>
      <c r="J21" s="1243" t="n">
        <v>-0.37</v>
      </c>
      <c r="K21" s="1243" t="n">
        <v>-0.27</v>
      </c>
      <c r="L21" s="1243" t="n">
        <v>-1.14</v>
      </c>
      <c r="M21" s="1243" t="n">
        <v>0.44</v>
      </c>
      <c r="N21" s="1243" t="n">
        <v>0.1</v>
      </c>
      <c r="O21" s="1243" t="n">
        <v>1.49</v>
      </c>
      <c r="P21" s="1243" t="n">
        <v>0.45</v>
      </c>
      <c r="Q21" s="1243" t="n">
        <v>-0.2</v>
      </c>
      <c r="R21" s="1243" t="n">
        <v>-0.32</v>
      </c>
      <c r="S21" s="1558" t="s">
        <v>222</v>
      </c>
      <c r="T21" s="1243" t="n">
        <v>0.08</v>
      </c>
      <c r="U21" s="1243" t="n">
        <v>0</v>
      </c>
      <c r="V21" s="1243" t="n">
        <v>-4.27</v>
      </c>
      <c r="W21" s="1243" t="n">
        <v>-0.48</v>
      </c>
      <c r="X21" s="1243" t="n">
        <v>0</v>
      </c>
      <c r="Y21" s="1243" t="n">
        <v>-2.44</v>
      </c>
      <c r="Z21" s="1243" t="n">
        <v>0.01</v>
      </c>
      <c r="AA21" s="1243" t="n">
        <v>1.52</v>
      </c>
      <c r="AB21" s="1243" t="n">
        <v>0.95</v>
      </c>
      <c r="AC21" s="1243" t="n">
        <v>-1.33</v>
      </c>
      <c r="AD21" s="1243" t="n">
        <v>-0.5</v>
      </c>
      <c r="AE21" s="1243" t="n">
        <v>-1.85</v>
      </c>
      <c r="AF21" s="1243" t="n">
        <v>0</v>
      </c>
      <c r="AG21" s="1243" t="n">
        <v>0.16</v>
      </c>
      <c r="AH21" s="1243" t="n">
        <v>0.7</v>
      </c>
      <c r="AI21" s="1243" t="n">
        <v>0</v>
      </c>
      <c r="AJ21" s="1243" t="n">
        <v>1.21</v>
      </c>
    </row>
    <row r="22" s="184" customFormat="true" ht="11.25" hidden="false" customHeight="true" outlineLevel="0" collapsed="false">
      <c r="A22" s="1559" t="s">
        <v>223</v>
      </c>
      <c r="B22" s="198" t="n">
        <v>-1.04</v>
      </c>
      <c r="C22" s="198" t="n">
        <v>-0.02</v>
      </c>
      <c r="D22" s="198" t="n">
        <v>0.01</v>
      </c>
      <c r="E22" s="198" t="n">
        <v>0.74</v>
      </c>
      <c r="F22" s="198" t="n">
        <v>-0.55</v>
      </c>
      <c r="G22" s="198" t="n">
        <v>-1.43</v>
      </c>
      <c r="H22" s="198" t="n">
        <v>-1.45</v>
      </c>
      <c r="I22" s="198" t="n">
        <v>0</v>
      </c>
      <c r="J22" s="198" t="n">
        <v>-2.19</v>
      </c>
      <c r="K22" s="198" t="n">
        <v>-0.88</v>
      </c>
      <c r="L22" s="198" t="n">
        <v>-10.25</v>
      </c>
      <c r="M22" s="198" t="n">
        <v>-2.01</v>
      </c>
      <c r="N22" s="198" t="n">
        <v>-0.55</v>
      </c>
      <c r="O22" s="198" t="n">
        <v>-1.31</v>
      </c>
      <c r="P22" s="198" t="n">
        <v>0</v>
      </c>
      <c r="Q22" s="198" t="n">
        <v>-2.43</v>
      </c>
      <c r="R22" s="198" t="n">
        <v>-1.76</v>
      </c>
      <c r="S22" s="1559" t="s">
        <v>223</v>
      </c>
      <c r="T22" s="198" t="n">
        <v>-1.22</v>
      </c>
      <c r="U22" s="198" t="n">
        <v>0</v>
      </c>
      <c r="V22" s="198" t="n">
        <v>-0.06</v>
      </c>
      <c r="W22" s="198" t="n">
        <v>1.07</v>
      </c>
      <c r="X22" s="198" t="n">
        <v>0</v>
      </c>
      <c r="Y22" s="198" t="n">
        <v>-7.26</v>
      </c>
      <c r="Z22" s="198" t="n">
        <v>-0.01</v>
      </c>
      <c r="AA22" s="198" t="n">
        <v>0.11</v>
      </c>
      <c r="AB22" s="198" t="n">
        <v>-0.9</v>
      </c>
      <c r="AC22" s="198" t="n">
        <v>-3.77</v>
      </c>
      <c r="AD22" s="198" t="n">
        <v>-1.28</v>
      </c>
      <c r="AE22" s="198" t="n">
        <v>-3.16</v>
      </c>
      <c r="AF22" s="198" t="n">
        <v>0</v>
      </c>
      <c r="AG22" s="198" t="n">
        <v>-1.09</v>
      </c>
      <c r="AH22" s="198" t="n">
        <v>-0.83</v>
      </c>
      <c r="AI22" s="198" t="n">
        <v>-0.01</v>
      </c>
      <c r="AJ22" s="198" t="n">
        <v>-2.11</v>
      </c>
    </row>
    <row r="23" s="184" customFormat="true" ht="11.25" hidden="false" customHeight="true" outlineLevel="0" collapsed="false">
      <c r="A23" s="1558" t="s">
        <v>224</v>
      </c>
      <c r="B23" s="1243" t="n">
        <v>-0.06</v>
      </c>
      <c r="C23" s="1243" t="n">
        <v>-0.86</v>
      </c>
      <c r="D23" s="1243" t="n">
        <v>-0.15</v>
      </c>
      <c r="E23" s="1243" t="n">
        <v>-0.35</v>
      </c>
      <c r="F23" s="1243" t="n">
        <v>-1.17</v>
      </c>
      <c r="G23" s="1243" t="n">
        <v>-3.74</v>
      </c>
      <c r="H23" s="1243" t="n">
        <v>-3.85</v>
      </c>
      <c r="I23" s="1243" t="n">
        <v>0</v>
      </c>
      <c r="J23" s="1243" t="n">
        <v>-1.22</v>
      </c>
      <c r="K23" s="1243" t="n">
        <v>-0.17</v>
      </c>
      <c r="L23" s="1243" t="n">
        <v>-0.34</v>
      </c>
      <c r="M23" s="1243" t="n">
        <v>0.13</v>
      </c>
      <c r="N23" s="1243" t="n">
        <v>-0.48</v>
      </c>
      <c r="O23" s="1243" t="n">
        <v>-1.48</v>
      </c>
      <c r="P23" s="1243" t="n">
        <v>-1.48</v>
      </c>
      <c r="Q23" s="1243" t="n">
        <v>-1.42</v>
      </c>
      <c r="R23" s="1243" t="n">
        <v>-1.36</v>
      </c>
      <c r="S23" s="1558" t="s">
        <v>224</v>
      </c>
      <c r="T23" s="1243" t="n">
        <v>-2.72</v>
      </c>
      <c r="U23" s="1243" t="n">
        <v>0</v>
      </c>
      <c r="V23" s="1243" t="n">
        <v>0</v>
      </c>
      <c r="W23" s="1243" t="n">
        <v>-1.49</v>
      </c>
      <c r="X23" s="1243" t="n">
        <v>0</v>
      </c>
      <c r="Y23" s="1243" t="n">
        <v>0.11</v>
      </c>
      <c r="Z23" s="1243" t="n">
        <v>0</v>
      </c>
      <c r="AA23" s="1243" t="n">
        <v>-0.75</v>
      </c>
      <c r="AB23" s="1243" t="n">
        <v>-1.15</v>
      </c>
      <c r="AC23" s="1243" t="n">
        <v>-1.64</v>
      </c>
      <c r="AD23" s="1243" t="n">
        <v>-0.35</v>
      </c>
      <c r="AE23" s="1243" t="n">
        <v>-0.13</v>
      </c>
      <c r="AF23" s="1243" t="n">
        <v>0</v>
      </c>
      <c r="AG23" s="1243" t="n">
        <v>-1.64</v>
      </c>
      <c r="AH23" s="1243" t="n">
        <v>-1.47</v>
      </c>
      <c r="AI23" s="1243" t="n">
        <v>0</v>
      </c>
      <c r="AJ23" s="1243" t="n">
        <v>-3.54</v>
      </c>
    </row>
    <row r="24" s="184" customFormat="true" ht="11.25" hidden="false" customHeight="true" outlineLevel="0" collapsed="false">
      <c r="A24" s="1559" t="s">
        <v>225</v>
      </c>
      <c r="B24" s="198" t="n">
        <v>-2.94</v>
      </c>
      <c r="C24" s="198" t="n">
        <v>-0.03</v>
      </c>
      <c r="D24" s="198" t="n">
        <v>-0.12</v>
      </c>
      <c r="E24" s="198" t="n">
        <v>-2.81</v>
      </c>
      <c r="F24" s="198" t="n">
        <v>-3.06</v>
      </c>
      <c r="G24" s="198" t="n">
        <v>-0.96</v>
      </c>
      <c r="H24" s="198" t="n">
        <v>-0.81</v>
      </c>
      <c r="I24" s="198" t="n">
        <v>-0.01</v>
      </c>
      <c r="J24" s="198" t="n">
        <v>-2.03</v>
      </c>
      <c r="K24" s="198" t="n">
        <v>-3.25</v>
      </c>
      <c r="L24" s="198" t="n">
        <v>-1.05</v>
      </c>
      <c r="M24" s="198" t="n">
        <v>-1.44</v>
      </c>
      <c r="N24" s="198" t="n">
        <v>0</v>
      </c>
      <c r="O24" s="198" t="n">
        <v>-1.42</v>
      </c>
      <c r="P24" s="198" t="n">
        <v>-4.51</v>
      </c>
      <c r="Q24" s="198" t="n">
        <v>-1.01</v>
      </c>
      <c r="R24" s="198" t="n">
        <v>-3.33</v>
      </c>
      <c r="S24" s="1559" t="s">
        <v>225</v>
      </c>
      <c r="T24" s="198" t="n">
        <v>-0.07</v>
      </c>
      <c r="U24" s="198" t="n">
        <v>0</v>
      </c>
      <c r="V24" s="198" t="n">
        <v>-4.9</v>
      </c>
      <c r="W24" s="198" t="n">
        <v>-1.49</v>
      </c>
      <c r="X24" s="198" t="n">
        <v>0</v>
      </c>
      <c r="Y24" s="198" t="n">
        <v>-1.55</v>
      </c>
      <c r="Z24" s="198" t="n">
        <v>0</v>
      </c>
      <c r="AA24" s="198" t="n">
        <v>-3.6</v>
      </c>
      <c r="AB24" s="198" t="n">
        <v>-2.09</v>
      </c>
      <c r="AC24" s="198" t="n">
        <v>-1.66</v>
      </c>
      <c r="AD24" s="198" t="n">
        <v>-0.06</v>
      </c>
      <c r="AE24" s="198" t="n">
        <v>-0.83</v>
      </c>
      <c r="AF24" s="198" t="n">
        <v>0</v>
      </c>
      <c r="AG24" s="198" t="n">
        <v>-0.66</v>
      </c>
      <c r="AH24" s="198" t="n">
        <v>-3.5</v>
      </c>
      <c r="AI24" s="198" t="n">
        <v>0</v>
      </c>
      <c r="AJ24" s="198" t="n">
        <v>-1.61</v>
      </c>
    </row>
    <row r="25" s="184" customFormat="true" ht="11.25" hidden="false" customHeight="true" outlineLevel="0" collapsed="false">
      <c r="A25" s="475" t="s">
        <v>226</v>
      </c>
      <c r="B25" s="203" t="n">
        <v>-4.54</v>
      </c>
      <c r="C25" s="203" t="n">
        <v>-0.92</v>
      </c>
      <c r="D25" s="203" t="n">
        <v>0.28</v>
      </c>
      <c r="E25" s="203" t="n">
        <v>1.18</v>
      </c>
      <c r="F25" s="203" t="n">
        <v>-3.75</v>
      </c>
      <c r="G25" s="203" t="n">
        <v>-1.86</v>
      </c>
      <c r="H25" s="203" t="n">
        <v>-1.72</v>
      </c>
      <c r="I25" s="203" t="n">
        <v>0.45</v>
      </c>
      <c r="J25" s="203" t="n">
        <v>-0.16</v>
      </c>
      <c r="K25" s="203" t="n">
        <v>1.68</v>
      </c>
      <c r="L25" s="203" t="n">
        <v>1.4</v>
      </c>
      <c r="M25" s="203" t="n">
        <v>2.41</v>
      </c>
      <c r="N25" s="203" t="n">
        <v>-0.33</v>
      </c>
      <c r="O25" s="203" t="n">
        <v>-2.34</v>
      </c>
      <c r="P25" s="203" t="n">
        <v>-6.34</v>
      </c>
      <c r="Q25" s="203" t="n">
        <v>-4.32</v>
      </c>
      <c r="R25" s="203" t="n">
        <v>-0.55</v>
      </c>
      <c r="S25" s="475" t="s">
        <v>226</v>
      </c>
      <c r="T25" s="203" t="n">
        <v>-4.04</v>
      </c>
      <c r="U25" s="203" t="n">
        <v>0</v>
      </c>
      <c r="V25" s="203" t="n">
        <v>-25.37</v>
      </c>
      <c r="W25" s="203" t="n">
        <v>4.06</v>
      </c>
      <c r="X25" s="203" t="n">
        <v>-0.01</v>
      </c>
      <c r="Y25" s="203" t="n">
        <v>-0.19</v>
      </c>
      <c r="Z25" s="203" t="n">
        <v>0</v>
      </c>
      <c r="AA25" s="203" t="n">
        <v>-3.63</v>
      </c>
      <c r="AB25" s="203" t="n">
        <v>1.11</v>
      </c>
      <c r="AC25" s="203" t="n">
        <v>-3.46</v>
      </c>
      <c r="AD25" s="203" t="n">
        <v>-10.28</v>
      </c>
      <c r="AE25" s="203" t="n">
        <v>2.18</v>
      </c>
      <c r="AF25" s="203" t="n">
        <v>0</v>
      </c>
      <c r="AG25" s="203" t="n">
        <v>-1.04</v>
      </c>
      <c r="AH25" s="203" t="n">
        <v>7.98</v>
      </c>
      <c r="AI25" s="203" t="n">
        <v>0</v>
      </c>
      <c r="AJ25" s="203" t="n">
        <v>-2.93</v>
      </c>
    </row>
    <row r="26" s="184" customFormat="true" ht="11.25" hidden="false" customHeight="true" outlineLevel="0" collapsed="false">
      <c r="A26" s="889" t="s">
        <v>214</v>
      </c>
      <c r="B26" s="198" t="n">
        <v>0.71</v>
      </c>
      <c r="C26" s="198" t="n">
        <v>-0.03</v>
      </c>
      <c r="D26" s="198" t="n">
        <v>0.03</v>
      </c>
      <c r="E26" s="198" t="n">
        <v>1.61</v>
      </c>
      <c r="F26" s="198" t="n">
        <v>-2.93</v>
      </c>
      <c r="G26" s="198" t="n">
        <v>1.25</v>
      </c>
      <c r="H26" s="198" t="n">
        <v>1.18</v>
      </c>
      <c r="I26" s="198" t="n">
        <v>-0.01</v>
      </c>
      <c r="J26" s="198" t="n">
        <v>0.34</v>
      </c>
      <c r="K26" s="198" t="n">
        <v>-0.4</v>
      </c>
      <c r="L26" s="198" t="n">
        <v>-3.31</v>
      </c>
      <c r="M26" s="198" t="n">
        <v>-0.52</v>
      </c>
      <c r="N26" s="198" t="n">
        <v>-0.08</v>
      </c>
      <c r="O26" s="198" t="n">
        <v>-0.6</v>
      </c>
      <c r="P26" s="198" t="n">
        <v>-2.47</v>
      </c>
      <c r="Q26" s="198" t="n">
        <v>-0.79</v>
      </c>
      <c r="R26" s="198" t="n">
        <v>0.99</v>
      </c>
      <c r="S26" s="889" t="s">
        <v>214</v>
      </c>
      <c r="T26" s="198" t="n">
        <v>0.66</v>
      </c>
      <c r="U26" s="198" t="n">
        <v>0.01</v>
      </c>
      <c r="V26" s="198" t="n">
        <v>0.1</v>
      </c>
      <c r="W26" s="198" t="n">
        <v>0.26</v>
      </c>
      <c r="X26" s="198" t="n">
        <v>0</v>
      </c>
      <c r="Y26" s="198" t="n">
        <v>1.4</v>
      </c>
      <c r="Z26" s="198" t="n">
        <v>0</v>
      </c>
      <c r="AA26" s="198" t="n">
        <v>-0.45</v>
      </c>
      <c r="AB26" s="198" t="n">
        <v>0.5</v>
      </c>
      <c r="AC26" s="198" t="n">
        <v>2.3</v>
      </c>
      <c r="AD26" s="198" t="n">
        <v>-0.85</v>
      </c>
      <c r="AE26" s="198" t="n">
        <v>0.93</v>
      </c>
      <c r="AF26" s="198" t="n">
        <v>0</v>
      </c>
      <c r="AG26" s="198" t="n">
        <v>-0.11</v>
      </c>
      <c r="AH26" s="198" t="n">
        <v>-0.53</v>
      </c>
      <c r="AI26" s="198" t="n">
        <v>0</v>
      </c>
      <c r="AJ26" s="198" t="n">
        <v>0.42</v>
      </c>
    </row>
    <row r="27" s="184" customFormat="true" ht="11.25" hidden="false" customHeight="true" outlineLevel="0" collapsed="false">
      <c r="A27" s="890" t="s">
        <v>215</v>
      </c>
      <c r="B27" s="1243" t="n">
        <v>-1.3</v>
      </c>
      <c r="C27" s="1243" t="n">
        <v>0</v>
      </c>
      <c r="D27" s="1243" t="n">
        <v>0.2</v>
      </c>
      <c r="E27" s="1243" t="n">
        <v>1.02</v>
      </c>
      <c r="F27" s="1243" t="n">
        <v>0.08</v>
      </c>
      <c r="G27" s="1243" t="n">
        <v>-0.11</v>
      </c>
      <c r="H27" s="1243" t="n">
        <v>0.02</v>
      </c>
      <c r="I27" s="1243" t="n">
        <v>0</v>
      </c>
      <c r="J27" s="1243" t="n">
        <v>-2.74</v>
      </c>
      <c r="K27" s="1243" t="n">
        <v>-1.6</v>
      </c>
      <c r="L27" s="1243" t="n">
        <v>4.88</v>
      </c>
      <c r="M27" s="1243" t="n">
        <v>-0.54</v>
      </c>
      <c r="N27" s="1243" t="n">
        <v>0.02</v>
      </c>
      <c r="O27" s="1243" t="n">
        <v>-1.14</v>
      </c>
      <c r="P27" s="1243" t="n">
        <v>-5.37</v>
      </c>
      <c r="Q27" s="1243" t="n">
        <v>-2.13</v>
      </c>
      <c r="R27" s="1243" t="n">
        <v>-1.55</v>
      </c>
      <c r="S27" s="890" t="s">
        <v>215</v>
      </c>
      <c r="T27" s="1243" t="n">
        <v>-2.36</v>
      </c>
      <c r="U27" s="1243" t="n">
        <v>-0.01</v>
      </c>
      <c r="V27" s="1243" t="n">
        <v>-1.14</v>
      </c>
      <c r="W27" s="1243" t="n">
        <v>-0.51</v>
      </c>
      <c r="X27" s="1243" t="n">
        <v>0</v>
      </c>
      <c r="Y27" s="1243" t="n">
        <v>-8.53</v>
      </c>
      <c r="Z27" s="1243" t="n">
        <v>-0.01</v>
      </c>
      <c r="AA27" s="1243" t="n">
        <v>0.91</v>
      </c>
      <c r="AB27" s="1243" t="n">
        <v>-0.26</v>
      </c>
      <c r="AC27" s="1243" t="n">
        <v>-4.22</v>
      </c>
      <c r="AD27" s="1243" t="n">
        <v>-1.11</v>
      </c>
      <c r="AE27" s="1243" t="n">
        <v>1.83</v>
      </c>
      <c r="AF27" s="1243" t="n">
        <v>0</v>
      </c>
      <c r="AG27" s="1243" t="n">
        <v>-0.07</v>
      </c>
      <c r="AH27" s="1243" t="n">
        <v>1.79</v>
      </c>
      <c r="AI27" s="1243" t="n">
        <v>0</v>
      </c>
      <c r="AJ27" s="1243" t="n">
        <v>-0.81</v>
      </c>
    </row>
    <row r="28" s="735" customFormat="true" ht="11.25" hidden="false" customHeight="true" outlineLevel="0" collapsed="false">
      <c r="A28" s="889" t="s">
        <v>216</v>
      </c>
      <c r="B28" s="198" t="n">
        <v>-1.09</v>
      </c>
      <c r="C28" s="198" t="n">
        <v>0</v>
      </c>
      <c r="D28" s="198" t="n">
        <v>0.05</v>
      </c>
      <c r="E28" s="198" t="n">
        <v>-0.02</v>
      </c>
      <c r="F28" s="198" t="n">
        <v>-0.99</v>
      </c>
      <c r="G28" s="198" t="n">
        <v>-0.89</v>
      </c>
      <c r="H28" s="198" t="n">
        <v>-0.85</v>
      </c>
      <c r="I28" s="198" t="n">
        <v>0.27</v>
      </c>
      <c r="J28" s="198" t="n">
        <v>-2.72</v>
      </c>
      <c r="K28" s="198" t="n">
        <v>-1.64</v>
      </c>
      <c r="L28" s="198" t="n">
        <v>0</v>
      </c>
      <c r="M28" s="198" t="n">
        <v>-1.78</v>
      </c>
      <c r="N28" s="198" t="n">
        <v>-0.2</v>
      </c>
      <c r="O28" s="198" t="n">
        <v>-0.75</v>
      </c>
      <c r="P28" s="198" t="n">
        <v>-1.13</v>
      </c>
      <c r="Q28" s="198" t="n">
        <v>-3.35</v>
      </c>
      <c r="R28" s="198" t="n">
        <v>-1.47</v>
      </c>
      <c r="S28" s="889" t="s">
        <v>216</v>
      </c>
      <c r="T28" s="198" t="n">
        <v>2.25</v>
      </c>
      <c r="U28" s="198" t="n">
        <v>0</v>
      </c>
      <c r="V28" s="198" t="n">
        <v>-0.46</v>
      </c>
      <c r="W28" s="198" t="n">
        <v>-0.98</v>
      </c>
      <c r="X28" s="198" t="n">
        <v>-0.02</v>
      </c>
      <c r="Y28" s="198" t="n">
        <v>3.78</v>
      </c>
      <c r="Z28" s="198" t="n">
        <v>0.01</v>
      </c>
      <c r="AA28" s="198" t="n">
        <v>-0.08</v>
      </c>
      <c r="AB28" s="198" t="n">
        <v>-0.15</v>
      </c>
      <c r="AC28" s="198" t="n">
        <v>2.9</v>
      </c>
      <c r="AD28" s="198" t="n">
        <v>-4.52</v>
      </c>
      <c r="AE28" s="198" t="n">
        <v>-1.18</v>
      </c>
      <c r="AF28" s="198" t="n">
        <v>0</v>
      </c>
      <c r="AG28" s="198" t="n">
        <v>-0.5</v>
      </c>
      <c r="AH28" s="198" t="n">
        <v>1.24</v>
      </c>
      <c r="AI28" s="198" t="n">
        <v>0</v>
      </c>
      <c r="AJ28" s="198" t="n">
        <v>0.03</v>
      </c>
    </row>
    <row r="29" s="735" customFormat="true" ht="11.25" hidden="false" customHeight="true" outlineLevel="0" collapsed="false">
      <c r="A29" s="890" t="s">
        <v>217</v>
      </c>
      <c r="B29" s="1243" t="n">
        <v>-1.72</v>
      </c>
      <c r="C29" s="1243" t="n">
        <v>-0.12</v>
      </c>
      <c r="D29" s="1243" t="n">
        <v>0.01</v>
      </c>
      <c r="E29" s="1243" t="n">
        <v>-1.53</v>
      </c>
      <c r="F29" s="1243" t="n">
        <v>-1.23</v>
      </c>
      <c r="G29" s="1243" t="n">
        <v>-2.29</v>
      </c>
      <c r="H29" s="1243" t="n">
        <v>-2.28</v>
      </c>
      <c r="I29" s="1243" t="n">
        <v>-0.2</v>
      </c>
      <c r="J29" s="1243" t="n">
        <v>-1.59</v>
      </c>
      <c r="K29" s="1243" t="n">
        <v>-2.09</v>
      </c>
      <c r="L29" s="1243" t="n">
        <v>0</v>
      </c>
      <c r="M29" s="1243" t="n">
        <v>0.53</v>
      </c>
      <c r="N29" s="1243" t="n">
        <v>-0.2</v>
      </c>
      <c r="O29" s="1243" t="n">
        <v>-1.05</v>
      </c>
      <c r="P29" s="1243" t="n">
        <v>-3.15</v>
      </c>
      <c r="Q29" s="1243" t="n">
        <v>-1.18</v>
      </c>
      <c r="R29" s="1243" t="n">
        <v>-0.97</v>
      </c>
      <c r="S29" s="890" t="s">
        <v>217</v>
      </c>
      <c r="T29" s="1243" t="n">
        <v>-3.17</v>
      </c>
      <c r="U29" s="1243" t="n">
        <v>0.03</v>
      </c>
      <c r="V29" s="1243" t="n">
        <v>-7.55</v>
      </c>
      <c r="W29" s="1243" t="n">
        <v>0.85</v>
      </c>
      <c r="X29" s="1243" t="n">
        <v>0.03</v>
      </c>
      <c r="Y29" s="1243" t="n">
        <v>-0.02</v>
      </c>
      <c r="Z29" s="1243" t="n">
        <v>-0.02</v>
      </c>
      <c r="AA29" s="1243" t="n">
        <v>-2.6</v>
      </c>
      <c r="AB29" s="1243" t="n">
        <v>-1.33</v>
      </c>
      <c r="AC29" s="1243" t="n">
        <v>-3.15</v>
      </c>
      <c r="AD29" s="1243" t="n">
        <v>-3.04</v>
      </c>
      <c r="AE29" s="1243" t="n">
        <v>-2.29</v>
      </c>
      <c r="AF29" s="1243" t="n">
        <v>0</v>
      </c>
      <c r="AG29" s="1243" t="n">
        <v>-0.94</v>
      </c>
      <c r="AH29" s="1243" t="n">
        <v>-2.8</v>
      </c>
      <c r="AI29" s="1243" t="n">
        <v>0</v>
      </c>
      <c r="AJ29" s="1243" t="n">
        <v>-2.49</v>
      </c>
    </row>
    <row r="30" s="735" customFormat="true" ht="11.25" hidden="false" customHeight="true" outlineLevel="0" collapsed="false">
      <c r="A30" s="889" t="s">
        <v>218</v>
      </c>
      <c r="B30" s="198" t="n">
        <v>3</v>
      </c>
      <c r="C30" s="198" t="n">
        <v>-0.06</v>
      </c>
      <c r="D30" s="198" t="n">
        <v>0</v>
      </c>
      <c r="E30" s="198" t="n">
        <v>-1.33</v>
      </c>
      <c r="F30" s="198" t="n">
        <v>0.42</v>
      </c>
      <c r="G30" s="198" t="n">
        <v>0.41</v>
      </c>
      <c r="H30" s="198" t="n">
        <v>0.43</v>
      </c>
      <c r="I30" s="198" t="n">
        <v>0.28</v>
      </c>
      <c r="J30" s="198" t="n">
        <v>5.59</v>
      </c>
      <c r="K30" s="198" t="n">
        <v>6.03</v>
      </c>
      <c r="L30" s="198" t="n">
        <v>0</v>
      </c>
      <c r="M30" s="198" t="n">
        <v>-0.34</v>
      </c>
      <c r="N30" s="198" t="n">
        <v>-0.16</v>
      </c>
      <c r="O30" s="198" t="n">
        <v>-0.18</v>
      </c>
      <c r="P30" s="198" t="n">
        <v>1.13</v>
      </c>
      <c r="Q30" s="198" t="n">
        <v>3.65</v>
      </c>
      <c r="R30" s="198" t="n">
        <v>4.64</v>
      </c>
      <c r="S30" s="889" t="s">
        <v>218</v>
      </c>
      <c r="T30" s="198" t="n">
        <v>-1.43</v>
      </c>
      <c r="U30" s="198" t="n">
        <v>-0.03</v>
      </c>
      <c r="V30" s="198" t="n">
        <v>-0.59</v>
      </c>
      <c r="W30" s="198" t="n">
        <v>2.22</v>
      </c>
      <c r="X30" s="198" t="n">
        <v>-0.02</v>
      </c>
      <c r="Y30" s="198" t="n">
        <v>-2.13</v>
      </c>
      <c r="Z30" s="198" t="n">
        <v>-0.03</v>
      </c>
      <c r="AA30" s="198" t="n">
        <v>1.78</v>
      </c>
      <c r="AB30" s="198" t="n">
        <v>1.08</v>
      </c>
      <c r="AC30" s="198" t="n">
        <v>1.63</v>
      </c>
      <c r="AD30" s="198" t="n">
        <v>-2.89</v>
      </c>
      <c r="AE30" s="198" t="n">
        <v>0.93</v>
      </c>
      <c r="AF30" s="198" t="n">
        <v>0</v>
      </c>
      <c r="AG30" s="198" t="n">
        <v>-0.18</v>
      </c>
      <c r="AH30" s="198" t="n">
        <v>1.12</v>
      </c>
      <c r="AI30" s="198" t="n">
        <v>0</v>
      </c>
      <c r="AJ30" s="198" t="n">
        <v>0.69</v>
      </c>
    </row>
    <row r="31" s="735" customFormat="true" ht="11.25" hidden="false" customHeight="true" outlineLevel="0" collapsed="false">
      <c r="A31" s="890" t="s">
        <v>219</v>
      </c>
      <c r="B31" s="1243" t="n">
        <v>-3.76</v>
      </c>
      <c r="C31" s="1243" t="n">
        <v>0</v>
      </c>
      <c r="D31" s="1243" t="n">
        <v>-0.01</v>
      </c>
      <c r="E31" s="1243" t="n">
        <v>-2.61</v>
      </c>
      <c r="F31" s="1243" t="n">
        <v>1.05</v>
      </c>
      <c r="G31" s="1243" t="n">
        <v>0.37</v>
      </c>
      <c r="H31" s="1243" t="n">
        <v>0.39</v>
      </c>
      <c r="I31" s="1243" t="n">
        <v>-0.11</v>
      </c>
      <c r="J31" s="1243" t="n">
        <v>-0.22</v>
      </c>
      <c r="K31" s="1243" t="n">
        <v>-0.78</v>
      </c>
      <c r="L31" s="1243" t="n">
        <v>0</v>
      </c>
      <c r="M31" s="1243" t="n">
        <v>2.91</v>
      </c>
      <c r="N31" s="1243" t="n">
        <v>0.15</v>
      </c>
      <c r="O31" s="1243" t="n">
        <v>1.24</v>
      </c>
      <c r="P31" s="1243" t="n">
        <v>2.75</v>
      </c>
      <c r="Q31" s="1243" t="n">
        <v>1.68</v>
      </c>
      <c r="R31" s="1243" t="n">
        <v>-2.09</v>
      </c>
      <c r="S31" s="890" t="s">
        <v>219</v>
      </c>
      <c r="T31" s="1243" t="n">
        <v>-2.05</v>
      </c>
      <c r="U31" s="1243" t="n">
        <v>0</v>
      </c>
      <c r="V31" s="1243" t="n">
        <v>-3.88</v>
      </c>
      <c r="W31" s="1243" t="n">
        <v>-0.38</v>
      </c>
      <c r="X31" s="1243" t="n">
        <v>0</v>
      </c>
      <c r="Y31" s="1243" t="n">
        <v>-2.76</v>
      </c>
      <c r="Z31" s="1243" t="n">
        <v>0</v>
      </c>
      <c r="AA31" s="1243" t="n">
        <v>0.77</v>
      </c>
      <c r="AB31" s="1243" t="n">
        <v>0.27</v>
      </c>
      <c r="AC31" s="1243" t="n">
        <v>0.73</v>
      </c>
      <c r="AD31" s="1243" t="n">
        <v>-1.83</v>
      </c>
      <c r="AE31" s="1243" t="n">
        <v>1.18</v>
      </c>
      <c r="AF31" s="1243" t="n">
        <v>0</v>
      </c>
      <c r="AG31" s="1243" t="n">
        <v>0.81</v>
      </c>
      <c r="AH31" s="1243" t="n">
        <v>1.22</v>
      </c>
      <c r="AI31" s="1243" t="n">
        <v>0</v>
      </c>
      <c r="AJ31" s="1243" t="n">
        <v>-0.68</v>
      </c>
    </row>
    <row r="32" s="735" customFormat="true" ht="11.25" hidden="false" customHeight="true" outlineLevel="0" collapsed="false">
      <c r="A32" s="889" t="s">
        <v>220</v>
      </c>
      <c r="B32" s="198" t="n">
        <v>2.89</v>
      </c>
      <c r="C32" s="198" t="n">
        <v>-0.06</v>
      </c>
      <c r="D32" s="198" t="n">
        <v>0</v>
      </c>
      <c r="E32" s="198" t="n">
        <v>3.73</v>
      </c>
      <c r="F32" s="198" t="n">
        <v>2.4</v>
      </c>
      <c r="G32" s="198" t="n">
        <v>0.35</v>
      </c>
      <c r="H32" s="198" t="n">
        <v>0.35</v>
      </c>
      <c r="I32" s="198" t="n">
        <v>-0.16</v>
      </c>
      <c r="J32" s="198" t="n">
        <v>-1.83</v>
      </c>
      <c r="K32" s="198" t="n">
        <v>3.1</v>
      </c>
      <c r="L32" s="198" t="n">
        <v>0</v>
      </c>
      <c r="M32" s="198" t="n">
        <v>1.14</v>
      </c>
      <c r="N32" s="198" t="n">
        <v>0.26</v>
      </c>
      <c r="O32" s="198" t="n">
        <v>1.24</v>
      </c>
      <c r="P32" s="198" t="n">
        <v>1.68</v>
      </c>
      <c r="Q32" s="198" t="n">
        <v>-1.61</v>
      </c>
      <c r="R32" s="198" t="n">
        <v>2.67</v>
      </c>
      <c r="S32" s="889" t="s">
        <v>220</v>
      </c>
      <c r="T32" s="198" t="n">
        <v>3.42</v>
      </c>
      <c r="U32" s="198" t="n">
        <v>0</v>
      </c>
      <c r="V32" s="198" t="n">
        <v>0.12</v>
      </c>
      <c r="W32" s="198" t="n">
        <v>0.8</v>
      </c>
      <c r="X32" s="198" t="n">
        <v>0.02</v>
      </c>
      <c r="Y32" s="198" t="n">
        <v>5.31</v>
      </c>
      <c r="Z32" s="198" t="n">
        <v>0.05</v>
      </c>
      <c r="AA32" s="198" t="n">
        <v>0.01</v>
      </c>
      <c r="AB32" s="198" t="n">
        <v>1.43</v>
      </c>
      <c r="AC32" s="198" t="n">
        <v>-0.57</v>
      </c>
      <c r="AD32" s="198" t="n">
        <v>1.98</v>
      </c>
      <c r="AE32" s="198" t="n">
        <v>-1.01</v>
      </c>
      <c r="AF32" s="198" t="n">
        <v>0</v>
      </c>
      <c r="AG32" s="198" t="n">
        <v>0.46</v>
      </c>
      <c r="AH32" s="198" t="n">
        <v>4.05</v>
      </c>
      <c r="AI32" s="198" t="n">
        <v>0</v>
      </c>
      <c r="AJ32" s="198" t="n">
        <v>3.22</v>
      </c>
    </row>
    <row r="33" s="735" customFormat="true" ht="11.25" hidden="false" customHeight="true" outlineLevel="0" collapsed="false">
      <c r="A33" s="890" t="s">
        <v>221</v>
      </c>
      <c r="B33" s="1243" t="n">
        <v>-0.81</v>
      </c>
      <c r="C33" s="1243" t="n">
        <v>-0.24</v>
      </c>
      <c r="D33" s="1243" t="n">
        <v>0</v>
      </c>
      <c r="E33" s="1243" t="n">
        <v>-0.15</v>
      </c>
      <c r="F33" s="1243" t="n">
        <v>0.25</v>
      </c>
      <c r="G33" s="1243" t="n">
        <v>-0.74</v>
      </c>
      <c r="H33" s="1243" t="n">
        <v>-0.79</v>
      </c>
      <c r="I33" s="1243" t="n">
        <v>-0.08</v>
      </c>
      <c r="J33" s="1243" t="n">
        <v>0.39</v>
      </c>
      <c r="K33" s="1243" t="n">
        <v>0.15</v>
      </c>
      <c r="L33" s="1243" t="n">
        <v>0</v>
      </c>
      <c r="M33" s="1243" t="n">
        <v>-1.4</v>
      </c>
      <c r="N33" s="1243" t="n">
        <v>-0.07</v>
      </c>
      <c r="O33" s="1243" t="n">
        <v>0.54</v>
      </c>
      <c r="P33" s="1243" t="n">
        <v>-0.07</v>
      </c>
      <c r="Q33" s="1243" t="n">
        <v>-0.21</v>
      </c>
      <c r="R33" s="1243" t="n">
        <v>-0.08</v>
      </c>
      <c r="S33" s="890" t="s">
        <v>221</v>
      </c>
      <c r="T33" s="1243" t="n">
        <v>-1.6</v>
      </c>
      <c r="U33" s="1243" t="n">
        <v>0</v>
      </c>
      <c r="V33" s="1243" t="n">
        <v>-0.06</v>
      </c>
      <c r="W33" s="1243" t="n">
        <v>0.3</v>
      </c>
      <c r="X33" s="1243" t="n">
        <v>0</v>
      </c>
      <c r="Y33" s="1243" t="n">
        <v>-0.38</v>
      </c>
      <c r="Z33" s="1243" t="n">
        <v>0</v>
      </c>
      <c r="AA33" s="1243" t="n">
        <v>-0.6</v>
      </c>
      <c r="AB33" s="1243" t="n">
        <v>0</v>
      </c>
      <c r="AC33" s="1243" t="n">
        <v>-2.94</v>
      </c>
      <c r="AD33" s="1243" t="n">
        <v>-0.22</v>
      </c>
      <c r="AE33" s="1243" t="n">
        <v>-0.55</v>
      </c>
      <c r="AF33" s="1243" t="n">
        <v>0</v>
      </c>
      <c r="AG33" s="1243" t="n">
        <v>-0.17</v>
      </c>
      <c r="AH33" s="1243" t="n">
        <v>-0.54</v>
      </c>
      <c r="AI33" s="1243" t="n">
        <v>0.01</v>
      </c>
      <c r="AJ33" s="1243" t="n">
        <v>1.03</v>
      </c>
    </row>
    <row r="34" s="868" customFormat="true" ht="11.25" hidden="false" customHeight="true" outlineLevel="0" collapsed="false">
      <c r="A34" s="889" t="s">
        <v>222</v>
      </c>
      <c r="B34" s="198" t="n">
        <v>-1.28</v>
      </c>
      <c r="C34" s="198" t="n">
        <v>-0.12</v>
      </c>
      <c r="D34" s="198" t="n">
        <v>0</v>
      </c>
      <c r="E34" s="198" t="n">
        <v>-1.33</v>
      </c>
      <c r="F34" s="198" t="n">
        <v>-0.71</v>
      </c>
      <c r="G34" s="198" t="n">
        <v>-1.55</v>
      </c>
      <c r="H34" s="198" t="n">
        <v>-1.49</v>
      </c>
      <c r="I34" s="198" t="n">
        <v>-0.01</v>
      </c>
      <c r="J34" s="198" t="n">
        <v>2.57</v>
      </c>
      <c r="K34" s="198" t="n">
        <v>-1.6</v>
      </c>
      <c r="L34" s="198" t="n">
        <v>0</v>
      </c>
      <c r="M34" s="198" t="n">
        <v>-0.24</v>
      </c>
      <c r="N34" s="198" t="n">
        <v>-0.31</v>
      </c>
      <c r="O34" s="198" t="n">
        <v>-0.4</v>
      </c>
      <c r="P34" s="198" t="n">
        <v>0.46</v>
      </c>
      <c r="Q34" s="198" t="n">
        <v>-0.42</v>
      </c>
      <c r="R34" s="198" t="n">
        <v>-1.22</v>
      </c>
      <c r="S34" s="889" t="s">
        <v>222</v>
      </c>
      <c r="T34" s="198" t="n">
        <v>-0.71</v>
      </c>
      <c r="U34" s="198" t="n">
        <v>0</v>
      </c>
      <c r="V34" s="198" t="n">
        <v>-0.69</v>
      </c>
      <c r="W34" s="198" t="n">
        <v>-1.31</v>
      </c>
      <c r="X34" s="198" t="n">
        <v>0.01</v>
      </c>
      <c r="Y34" s="198" t="n">
        <v>0.07</v>
      </c>
      <c r="Z34" s="198" t="n">
        <v>0</v>
      </c>
      <c r="AA34" s="198" t="n">
        <v>-1.72</v>
      </c>
      <c r="AB34" s="198" t="n">
        <v>-0.62</v>
      </c>
      <c r="AC34" s="198" t="n">
        <v>-0.06</v>
      </c>
      <c r="AD34" s="198" t="n">
        <v>2.49</v>
      </c>
      <c r="AE34" s="198" t="n">
        <v>0.45</v>
      </c>
      <c r="AF34" s="198" t="n">
        <v>0</v>
      </c>
      <c r="AG34" s="198" t="n">
        <v>-0.47</v>
      </c>
      <c r="AH34" s="198" t="n">
        <v>-1.04</v>
      </c>
      <c r="AI34" s="198" t="n">
        <v>-0.01</v>
      </c>
      <c r="AJ34" s="198" t="n">
        <v>-1.65</v>
      </c>
    </row>
    <row r="35" s="868" customFormat="true" ht="11.25" hidden="false" customHeight="true" outlineLevel="0" collapsed="false">
      <c r="A35" s="890" t="s">
        <v>223</v>
      </c>
      <c r="B35" s="1243" t="n">
        <v>-0.55</v>
      </c>
      <c r="C35" s="1243" t="n">
        <v>-0.24</v>
      </c>
      <c r="D35" s="1243" t="n">
        <v>0</v>
      </c>
      <c r="E35" s="1243" t="n">
        <v>-0.83</v>
      </c>
      <c r="F35" s="1243" t="n">
        <v>0.07</v>
      </c>
      <c r="G35" s="1243" t="n">
        <v>-0.29</v>
      </c>
      <c r="H35" s="1243" t="n">
        <v>-0.29</v>
      </c>
      <c r="I35" s="1243" t="n">
        <v>0.08</v>
      </c>
      <c r="J35" s="1243" t="n">
        <v>-0.91</v>
      </c>
      <c r="K35" s="1243" t="n">
        <v>0.09</v>
      </c>
      <c r="L35" s="1243" t="n">
        <v>0</v>
      </c>
      <c r="M35" s="1243" t="n">
        <v>-0.71</v>
      </c>
      <c r="N35" s="1243" t="n">
        <v>-0.07</v>
      </c>
      <c r="O35" s="1243" t="n">
        <v>-1.28</v>
      </c>
      <c r="P35" s="1243" t="n">
        <v>-0.66</v>
      </c>
      <c r="Q35" s="1243" t="n">
        <v>-0.48</v>
      </c>
      <c r="R35" s="1243" t="n">
        <v>-1.98</v>
      </c>
      <c r="S35" s="890" t="s">
        <v>223</v>
      </c>
      <c r="T35" s="1243" t="n">
        <v>-0.39</v>
      </c>
      <c r="U35" s="1243" t="n">
        <v>0</v>
      </c>
      <c r="V35" s="1243" t="n">
        <v>-0.58</v>
      </c>
      <c r="W35" s="1243" t="n">
        <v>1.31</v>
      </c>
      <c r="X35" s="1243" t="n">
        <v>-0.01</v>
      </c>
      <c r="Y35" s="1243" t="n">
        <v>1.82</v>
      </c>
      <c r="Z35" s="1243" t="n">
        <v>0</v>
      </c>
      <c r="AA35" s="1243" t="n">
        <v>-2.25</v>
      </c>
      <c r="AB35" s="1243" t="n">
        <v>-0.43</v>
      </c>
      <c r="AC35" s="1243" t="n">
        <v>-2.25</v>
      </c>
      <c r="AD35" s="1243" t="n">
        <v>0.01</v>
      </c>
      <c r="AE35" s="1243" t="n">
        <v>-2.38</v>
      </c>
      <c r="AF35" s="1243" t="n">
        <v>0</v>
      </c>
      <c r="AG35" s="1243" t="n">
        <v>-0.43</v>
      </c>
      <c r="AH35" s="1243" t="n">
        <v>-0.6</v>
      </c>
      <c r="AI35" s="1243" t="n">
        <v>0</v>
      </c>
      <c r="AJ35" s="1243" t="n">
        <v>-0.73</v>
      </c>
    </row>
    <row r="36" s="868" customFormat="true" ht="11.25" hidden="false" customHeight="true" outlineLevel="0" collapsed="false">
      <c r="A36" s="889" t="s">
        <v>224</v>
      </c>
      <c r="B36" s="198" t="n">
        <v>-1.98</v>
      </c>
      <c r="C36" s="198" t="n">
        <v>-0.06</v>
      </c>
      <c r="D36" s="198" t="n">
        <v>0</v>
      </c>
      <c r="E36" s="198" t="n">
        <v>-0.47</v>
      </c>
      <c r="F36" s="198" t="n">
        <v>-2.47</v>
      </c>
      <c r="G36" s="198" t="n">
        <v>-0.5</v>
      </c>
      <c r="H36" s="198" t="n">
        <v>-0.49</v>
      </c>
      <c r="I36" s="198" t="n">
        <v>-0.07</v>
      </c>
      <c r="J36" s="198" t="n">
        <v>-0.04</v>
      </c>
      <c r="K36" s="198" t="n">
        <v>-1.2</v>
      </c>
      <c r="L36" s="198" t="n">
        <v>0</v>
      </c>
      <c r="M36" s="198" t="n">
        <v>1.87</v>
      </c>
      <c r="N36" s="198" t="n">
        <v>0.03</v>
      </c>
      <c r="O36" s="198" t="n">
        <v>-1.45</v>
      </c>
      <c r="P36" s="198" t="n">
        <v>-0.72</v>
      </c>
      <c r="Q36" s="198" t="n">
        <v>-0.13</v>
      </c>
      <c r="R36" s="198" t="n">
        <v>-2.37</v>
      </c>
      <c r="S36" s="889" t="s">
        <v>224</v>
      </c>
      <c r="T36" s="198" t="n">
        <v>-1.08</v>
      </c>
      <c r="U36" s="198" t="n">
        <v>0</v>
      </c>
      <c r="V36" s="198" t="n">
        <v>-6.05</v>
      </c>
      <c r="W36" s="198" t="n">
        <v>-0.44</v>
      </c>
      <c r="X36" s="198" t="n">
        <v>0.01</v>
      </c>
      <c r="Y36" s="198" t="n">
        <v>-0.65</v>
      </c>
      <c r="Z36" s="198" t="n">
        <v>0</v>
      </c>
      <c r="AA36" s="198" t="n">
        <v>-2.24</v>
      </c>
      <c r="AB36" s="198" t="n">
        <v>-1.42</v>
      </c>
      <c r="AC36" s="198" t="n">
        <v>-0.41</v>
      </c>
      <c r="AD36" s="198" t="n">
        <v>-0.48</v>
      </c>
      <c r="AE36" s="198" t="n">
        <v>1.19</v>
      </c>
      <c r="AF36" s="198" t="n">
        <v>0</v>
      </c>
      <c r="AG36" s="198" t="n">
        <v>-0.29</v>
      </c>
      <c r="AH36" s="198" t="n">
        <v>0.41</v>
      </c>
      <c r="AI36" s="198" t="n">
        <v>0</v>
      </c>
      <c r="AJ36" s="198" t="n">
        <v>-2.4</v>
      </c>
    </row>
    <row r="37" s="868" customFormat="true" ht="11.25" hidden="false" customHeight="true" outlineLevel="0" collapsed="false">
      <c r="A37" s="890" t="s">
        <v>225</v>
      </c>
      <c r="B37" s="1243" t="n">
        <v>1.49</v>
      </c>
      <c r="C37" s="1243" t="n">
        <v>0</v>
      </c>
      <c r="D37" s="1243" t="n">
        <v>0</v>
      </c>
      <c r="E37" s="1243" t="n">
        <v>3.28</v>
      </c>
      <c r="F37" s="1243" t="n">
        <v>0.35</v>
      </c>
      <c r="G37" s="1243" t="n">
        <v>2.18</v>
      </c>
      <c r="H37" s="1243" t="n">
        <v>2.15</v>
      </c>
      <c r="I37" s="1243" t="n">
        <v>0.46</v>
      </c>
      <c r="J37" s="1243" t="n">
        <v>1.3</v>
      </c>
      <c r="K37" s="1243" t="n">
        <v>1.93</v>
      </c>
      <c r="L37" s="1243" t="n">
        <v>0</v>
      </c>
      <c r="M37" s="1243" t="n">
        <v>1.58</v>
      </c>
      <c r="N37" s="1243" t="n">
        <v>0.3</v>
      </c>
      <c r="O37" s="1243" t="n">
        <v>1.55</v>
      </c>
      <c r="P37" s="1243" t="n">
        <v>1.29</v>
      </c>
      <c r="Q37" s="1243" t="n">
        <v>0.75</v>
      </c>
      <c r="R37" s="1243" t="n">
        <v>3.19</v>
      </c>
      <c r="S37" s="890" t="s">
        <v>225</v>
      </c>
      <c r="T37" s="1243" t="n">
        <v>2.57</v>
      </c>
      <c r="U37" s="1243" t="n">
        <v>0</v>
      </c>
      <c r="V37" s="1243" t="n">
        <v>-7.59</v>
      </c>
      <c r="W37" s="1243" t="n">
        <v>1.95</v>
      </c>
      <c r="X37" s="1243" t="n">
        <v>-0.01</v>
      </c>
      <c r="Y37" s="1243" t="n">
        <v>2.62</v>
      </c>
      <c r="Z37" s="1243" t="n">
        <v>0</v>
      </c>
      <c r="AA37" s="1243" t="n">
        <v>2.93</v>
      </c>
      <c r="AB37" s="1243" t="n">
        <v>2.1</v>
      </c>
      <c r="AC37" s="1243" t="n">
        <v>2.86</v>
      </c>
      <c r="AD37" s="1243" t="n">
        <v>-0.11</v>
      </c>
      <c r="AE37" s="1243" t="n">
        <v>3.23</v>
      </c>
      <c r="AF37" s="1243" t="n">
        <v>0</v>
      </c>
      <c r="AG37" s="1243" t="n">
        <v>0.86</v>
      </c>
      <c r="AH37" s="1243" t="n">
        <v>3.58</v>
      </c>
      <c r="AI37" s="1243" t="n">
        <v>0</v>
      </c>
      <c r="AJ37" s="1243" t="n">
        <v>0.53</v>
      </c>
    </row>
    <row r="38" s="868" customFormat="true" ht="11.25" hidden="false" customHeight="true" outlineLevel="0" collapsed="false">
      <c r="A38" s="478" t="s">
        <v>227</v>
      </c>
      <c r="B38" s="211" t="n">
        <v>-2.21</v>
      </c>
      <c r="C38" s="211" t="n">
        <v>-0.47</v>
      </c>
      <c r="D38" s="211" t="n">
        <v>-0.16</v>
      </c>
      <c r="E38" s="211" t="n">
        <v>-4.15</v>
      </c>
      <c r="F38" s="211" t="n">
        <v>-2.89</v>
      </c>
      <c r="G38" s="211" t="n">
        <v>-0.97</v>
      </c>
      <c r="H38" s="211" t="n">
        <v>-1.13</v>
      </c>
      <c r="I38" s="211" t="n">
        <v>0.81</v>
      </c>
      <c r="J38" s="211" t="n">
        <v>-8.69</v>
      </c>
      <c r="K38" s="211" t="n">
        <v>-1.1</v>
      </c>
      <c r="L38" s="211" t="n">
        <v>0</v>
      </c>
      <c r="M38" s="211" t="n">
        <v>0.3</v>
      </c>
      <c r="N38" s="211" t="n">
        <v>-1.4</v>
      </c>
      <c r="O38" s="211" t="n">
        <v>-3.45</v>
      </c>
      <c r="P38" s="211" t="n">
        <v>9.74</v>
      </c>
      <c r="Q38" s="211" t="n">
        <v>-0.86</v>
      </c>
      <c r="R38" s="211" t="n">
        <v>-4.44</v>
      </c>
      <c r="S38" s="478" t="s">
        <v>227</v>
      </c>
      <c r="T38" s="211" t="n">
        <v>-11.79</v>
      </c>
      <c r="U38" s="211" t="n">
        <v>0</v>
      </c>
      <c r="V38" s="211" t="n">
        <v>-2.67</v>
      </c>
      <c r="W38" s="211" t="n">
        <v>2.9</v>
      </c>
      <c r="X38" s="211" t="n">
        <v>0.01</v>
      </c>
      <c r="Y38" s="211" t="n">
        <v>-9.75</v>
      </c>
      <c r="Z38" s="211" t="n">
        <v>-0.02</v>
      </c>
      <c r="AA38" s="211" t="n">
        <v>-3.35</v>
      </c>
      <c r="AB38" s="211" t="n">
        <v>-2.94</v>
      </c>
      <c r="AC38" s="211" t="n">
        <v>-0.49</v>
      </c>
      <c r="AD38" s="211" t="n">
        <v>-5.18</v>
      </c>
      <c r="AE38" s="211" t="n">
        <v>2.61</v>
      </c>
      <c r="AF38" s="211" t="n">
        <v>0.16</v>
      </c>
      <c r="AG38" s="211" t="n">
        <v>-0.76</v>
      </c>
      <c r="AH38" s="211" t="n">
        <v>-0.63</v>
      </c>
      <c r="AI38" s="211" t="n">
        <v>0</v>
      </c>
      <c r="AJ38" s="211" t="n">
        <v>-3.12</v>
      </c>
    </row>
    <row r="39" s="868" customFormat="true" ht="11.25" hidden="false" customHeight="true" outlineLevel="0" collapsed="false">
      <c r="A39" s="890" t="s">
        <v>214</v>
      </c>
      <c r="B39" s="1243" t="n">
        <v>-2.12</v>
      </c>
      <c r="C39" s="1243" t="n">
        <v>0</v>
      </c>
      <c r="D39" s="1243" t="n">
        <v>0</v>
      </c>
      <c r="E39" s="1243" t="n">
        <v>-0.43</v>
      </c>
      <c r="F39" s="1243" t="n">
        <v>-0.14</v>
      </c>
      <c r="G39" s="1243" t="n">
        <v>-1.94</v>
      </c>
      <c r="H39" s="1243" t="n">
        <v>-1.89</v>
      </c>
      <c r="I39" s="1243" t="n">
        <v>-0.14</v>
      </c>
      <c r="J39" s="1243" t="n">
        <v>0.13</v>
      </c>
      <c r="K39" s="1243" t="n">
        <v>0.84</v>
      </c>
      <c r="L39" s="1243" t="n">
        <v>0</v>
      </c>
      <c r="M39" s="1243" t="n">
        <v>-0.65</v>
      </c>
      <c r="N39" s="1243" t="n">
        <v>-0.36</v>
      </c>
      <c r="O39" s="1243" t="n">
        <v>0.1</v>
      </c>
      <c r="P39" s="1243" t="n">
        <v>0.43</v>
      </c>
      <c r="Q39" s="1243" t="n">
        <v>-1.04</v>
      </c>
      <c r="R39" s="1243" t="n">
        <v>-1.58</v>
      </c>
      <c r="S39" s="890" t="s">
        <v>214</v>
      </c>
      <c r="T39" s="1243" t="n">
        <v>-2.5</v>
      </c>
      <c r="U39" s="1243" t="n">
        <v>0</v>
      </c>
      <c r="V39" s="1243" t="n">
        <v>1.56</v>
      </c>
      <c r="W39" s="1243" t="n">
        <v>0.78</v>
      </c>
      <c r="X39" s="1243" t="n">
        <v>0.01</v>
      </c>
      <c r="Y39" s="1243" t="n">
        <v>-0.38</v>
      </c>
      <c r="Z39" s="1243" t="n">
        <v>-0.01</v>
      </c>
      <c r="AA39" s="1243" t="n">
        <v>-2.04</v>
      </c>
      <c r="AB39" s="1243" t="n">
        <v>-1.28</v>
      </c>
      <c r="AC39" s="1243" t="n">
        <v>-2.93</v>
      </c>
      <c r="AD39" s="1243" t="n">
        <v>0.17</v>
      </c>
      <c r="AE39" s="1243" t="n">
        <v>-1.43</v>
      </c>
      <c r="AF39" s="1243" t="n">
        <v>0</v>
      </c>
      <c r="AG39" s="1243" t="n">
        <v>-0.94</v>
      </c>
      <c r="AH39" s="1243" t="n">
        <v>-0.31</v>
      </c>
      <c r="AI39" s="1243" t="n">
        <v>0</v>
      </c>
      <c r="AJ39" s="1243" t="n">
        <v>-4.29</v>
      </c>
    </row>
    <row r="40" s="868" customFormat="true" ht="11.25" hidden="false" customHeight="true" outlineLevel="0" collapsed="false">
      <c r="A40" s="889" t="s">
        <v>215</v>
      </c>
      <c r="B40" s="198" t="n">
        <v>-2.01</v>
      </c>
      <c r="C40" s="198" t="n">
        <v>0</v>
      </c>
      <c r="D40" s="198" t="n">
        <v>-0.01</v>
      </c>
      <c r="E40" s="198" t="n">
        <v>-1.19</v>
      </c>
      <c r="F40" s="198" t="n">
        <v>-2.85</v>
      </c>
      <c r="G40" s="198" t="n">
        <v>-0.54</v>
      </c>
      <c r="H40" s="198" t="n">
        <v>-0.69</v>
      </c>
      <c r="I40" s="198" t="n">
        <v>-0.26</v>
      </c>
      <c r="J40" s="198" t="n">
        <v>-4.13</v>
      </c>
      <c r="K40" s="198" t="n">
        <v>-1.75</v>
      </c>
      <c r="L40" s="198" t="n">
        <v>0</v>
      </c>
      <c r="M40" s="198" t="n">
        <v>2.34</v>
      </c>
      <c r="N40" s="198" t="n">
        <v>0.23</v>
      </c>
      <c r="O40" s="198" t="n">
        <v>-2.28</v>
      </c>
      <c r="P40" s="198" t="n">
        <v>-0.79</v>
      </c>
      <c r="Q40" s="198" t="n">
        <v>-0.28</v>
      </c>
      <c r="R40" s="198" t="n">
        <v>-4.15</v>
      </c>
      <c r="S40" s="889" t="s">
        <v>215</v>
      </c>
      <c r="T40" s="198" t="n">
        <v>-3.26</v>
      </c>
      <c r="U40" s="198" t="n">
        <v>0</v>
      </c>
      <c r="V40" s="198" t="n">
        <v>0.59</v>
      </c>
      <c r="W40" s="198" t="n">
        <v>-2.89</v>
      </c>
      <c r="X40" s="198" t="n">
        <v>0</v>
      </c>
      <c r="Y40" s="198" t="n">
        <v>-4.8</v>
      </c>
      <c r="Z40" s="198" t="n">
        <v>0.01</v>
      </c>
      <c r="AA40" s="198" t="n">
        <v>-2.91</v>
      </c>
      <c r="AB40" s="198" t="n">
        <v>-1.33</v>
      </c>
      <c r="AC40" s="198" t="n">
        <v>-1.64</v>
      </c>
      <c r="AD40" s="198" t="n">
        <v>-2.38</v>
      </c>
      <c r="AE40" s="198" t="n">
        <v>0.88</v>
      </c>
      <c r="AF40" s="198" t="n">
        <v>0</v>
      </c>
      <c r="AG40" s="198" t="n">
        <v>-0.53</v>
      </c>
      <c r="AH40" s="198" t="n">
        <v>0.46</v>
      </c>
      <c r="AI40" s="198" t="n">
        <v>0</v>
      </c>
      <c r="AJ40" s="198" t="n">
        <v>0.49</v>
      </c>
    </row>
    <row r="41" s="868" customFormat="true" ht="11.25" hidden="false" customHeight="true" outlineLevel="0" collapsed="false">
      <c r="A41" s="890" t="s">
        <v>216</v>
      </c>
      <c r="B41" s="1243" t="n">
        <v>0.47</v>
      </c>
      <c r="C41" s="1243" t="n">
        <v>0</v>
      </c>
      <c r="D41" s="1243" t="n">
        <v>0.01</v>
      </c>
      <c r="E41" s="1243" t="n">
        <v>0.46</v>
      </c>
      <c r="F41" s="1243" t="n">
        <v>0.18</v>
      </c>
      <c r="G41" s="1243" t="n">
        <v>-1.38</v>
      </c>
      <c r="H41" s="1243" t="n">
        <v>-1.25</v>
      </c>
      <c r="I41" s="1243" t="n">
        <v>0.05</v>
      </c>
      <c r="J41" s="1243" t="n">
        <v>1.87</v>
      </c>
      <c r="K41" s="1243" t="n">
        <v>0.46</v>
      </c>
      <c r="L41" s="1243" t="n">
        <v>0</v>
      </c>
      <c r="M41" s="1243" t="n">
        <v>-1.68</v>
      </c>
      <c r="N41" s="1243" t="n">
        <v>-0.15</v>
      </c>
      <c r="O41" s="1243" t="n">
        <v>0.91</v>
      </c>
      <c r="P41" s="1243" t="n">
        <v>-0.75</v>
      </c>
      <c r="Q41" s="1243" t="n">
        <v>-0.55</v>
      </c>
      <c r="R41" s="1243" t="n">
        <v>-0.65</v>
      </c>
      <c r="S41" s="890" t="s">
        <v>216</v>
      </c>
      <c r="T41" s="1537" t="n">
        <v>-0.34</v>
      </c>
      <c r="U41" s="708" t="n">
        <v>0</v>
      </c>
      <c r="V41" s="1537" t="n">
        <v>1.78</v>
      </c>
      <c r="W41" s="1537" t="n">
        <v>0.87</v>
      </c>
      <c r="X41" s="708" t="n">
        <v>0</v>
      </c>
      <c r="Y41" s="708" t="n">
        <v>3.1</v>
      </c>
      <c r="Z41" s="1537" t="n">
        <v>-0.02</v>
      </c>
      <c r="AA41" s="1537" t="n">
        <v>1.48</v>
      </c>
      <c r="AB41" s="1537" t="n">
        <v>0.51</v>
      </c>
      <c r="AC41" s="708" t="n">
        <v>-0.9</v>
      </c>
      <c r="AD41" s="1537" t="n">
        <v>-0.89</v>
      </c>
      <c r="AE41" s="1537" t="n">
        <v>-0.93</v>
      </c>
      <c r="AF41" s="1537" t="n">
        <v>18.05</v>
      </c>
      <c r="AG41" s="1537" t="n">
        <v>-0.41</v>
      </c>
      <c r="AH41" s="708" t="n">
        <v>0.2</v>
      </c>
      <c r="AI41" s="1537" t="n">
        <v>0.01</v>
      </c>
      <c r="AJ41" s="1537" t="n">
        <v>0.64</v>
      </c>
    </row>
    <row r="42" s="868" customFormat="true" ht="11.25" hidden="false" customHeight="true" outlineLevel="0" collapsed="false">
      <c r="A42" s="889" t="s">
        <v>217</v>
      </c>
      <c r="B42" s="198" t="n">
        <v>2.03</v>
      </c>
      <c r="C42" s="198" t="n">
        <v>-0.29</v>
      </c>
      <c r="D42" s="198" t="n">
        <v>0</v>
      </c>
      <c r="E42" s="198" t="n">
        <v>0.67</v>
      </c>
      <c r="F42" s="198" t="n">
        <v>0.28</v>
      </c>
      <c r="G42" s="198" t="n">
        <v>1.86</v>
      </c>
      <c r="H42" s="198" t="n">
        <v>1.93</v>
      </c>
      <c r="I42" s="198" t="n">
        <v>0</v>
      </c>
      <c r="J42" s="198" t="n">
        <v>-0.63</v>
      </c>
      <c r="K42" s="198" t="n">
        <v>1.3</v>
      </c>
      <c r="L42" s="198" t="n">
        <v>0</v>
      </c>
      <c r="M42" s="198" t="n">
        <v>-0.84</v>
      </c>
      <c r="N42" s="198" t="n">
        <v>0.15</v>
      </c>
      <c r="O42" s="198" t="n">
        <v>0.23</v>
      </c>
      <c r="P42" s="198" t="n">
        <v>0.2</v>
      </c>
      <c r="Q42" s="198" t="n">
        <v>0.78</v>
      </c>
      <c r="R42" s="198" t="n">
        <v>1.46</v>
      </c>
      <c r="S42" s="889" t="s">
        <v>217</v>
      </c>
      <c r="T42" s="417" t="n">
        <v>-1.14</v>
      </c>
      <c r="U42" s="715" t="n">
        <v>0</v>
      </c>
      <c r="V42" s="417" t="n">
        <v>1.01</v>
      </c>
      <c r="W42" s="417" t="n">
        <v>2.28</v>
      </c>
      <c r="X42" s="715" t="n">
        <v>0</v>
      </c>
      <c r="Y42" s="715" t="n">
        <v>1.47</v>
      </c>
      <c r="Z42" s="417" t="n">
        <v>0.02</v>
      </c>
      <c r="AA42" s="417" t="n">
        <v>3.31</v>
      </c>
      <c r="AB42" s="417" t="n">
        <v>1.43</v>
      </c>
      <c r="AC42" s="715" t="n">
        <v>1.86</v>
      </c>
      <c r="AD42" s="417" t="n">
        <v>0.28</v>
      </c>
      <c r="AE42" s="417" t="n">
        <v>0.15</v>
      </c>
      <c r="AF42" s="715" t="n">
        <v>0</v>
      </c>
      <c r="AG42" s="417" t="n">
        <v>0.91</v>
      </c>
      <c r="AH42" s="715" t="n">
        <v>1.29</v>
      </c>
      <c r="AI42" s="715" t="n">
        <v>0</v>
      </c>
      <c r="AJ42" s="715" t="n">
        <v>5</v>
      </c>
    </row>
    <row r="43" s="868" customFormat="true" ht="11.25" hidden="false" customHeight="true" outlineLevel="0" collapsed="false">
      <c r="A43" s="890" t="s">
        <v>218</v>
      </c>
      <c r="B43" s="1243" t="n">
        <v>-1.93</v>
      </c>
      <c r="C43" s="1243" t="n">
        <v>-0.18</v>
      </c>
      <c r="D43" s="1243" t="n">
        <v>-0.01</v>
      </c>
      <c r="E43" s="1243" t="n">
        <v>-0.91</v>
      </c>
      <c r="F43" s="1243" t="n">
        <v>0.33</v>
      </c>
      <c r="G43" s="1243" t="n">
        <v>-1.28</v>
      </c>
      <c r="H43" s="1243" t="n">
        <v>-1.26</v>
      </c>
      <c r="I43" s="1243" t="n">
        <v>0.17</v>
      </c>
      <c r="J43" s="1243" t="n">
        <v>-0.77</v>
      </c>
      <c r="K43" s="1243" t="n">
        <v>-0.7</v>
      </c>
      <c r="L43" s="1243" t="n">
        <v>0</v>
      </c>
      <c r="M43" s="1243" t="n">
        <v>-0.61</v>
      </c>
      <c r="N43" s="1243" t="n">
        <v>-0.08</v>
      </c>
      <c r="O43" s="1243" t="n">
        <v>0.12</v>
      </c>
      <c r="P43" s="1243" t="n">
        <v>1.19</v>
      </c>
      <c r="Q43" s="1243" t="n">
        <v>-0.14</v>
      </c>
      <c r="R43" s="1243" t="n">
        <v>0.47</v>
      </c>
      <c r="S43" s="890" t="s">
        <v>218</v>
      </c>
      <c r="T43" s="1537" t="n">
        <v>0.13</v>
      </c>
      <c r="U43" s="708" t="n">
        <v>0</v>
      </c>
      <c r="V43" s="708" t="n">
        <v>0</v>
      </c>
      <c r="W43" s="1537" t="n">
        <v>-0.08</v>
      </c>
      <c r="X43" s="708" t="n">
        <v>0</v>
      </c>
      <c r="Y43" s="708" t="n">
        <v>-0.38</v>
      </c>
      <c r="Z43" s="1537" t="n">
        <v>0.01</v>
      </c>
      <c r="AA43" s="1537" t="n">
        <v>-1.81</v>
      </c>
      <c r="AB43" s="1537" t="n">
        <v>-0.28</v>
      </c>
      <c r="AC43" s="708" t="n">
        <v>0.83</v>
      </c>
      <c r="AD43" s="1537" t="n">
        <v>0.35</v>
      </c>
      <c r="AE43" s="1537" t="n">
        <v>-0.91</v>
      </c>
      <c r="AF43" s="708" t="n">
        <v>0</v>
      </c>
      <c r="AG43" s="1537" t="n">
        <v>-0.27</v>
      </c>
      <c r="AH43" s="708" t="n">
        <v>-0.13</v>
      </c>
      <c r="AI43" s="708" t="n">
        <v>-0.01</v>
      </c>
      <c r="AJ43" s="708" t="n">
        <v>0.07</v>
      </c>
    </row>
    <row r="44" s="868" customFormat="true" ht="11.25" hidden="false" customHeight="true" outlineLevel="0" collapsed="false">
      <c r="A44" s="889" t="s">
        <v>219</v>
      </c>
      <c r="B44" s="198" t="n">
        <v>3.32</v>
      </c>
      <c r="C44" s="198" t="n">
        <v>0</v>
      </c>
      <c r="D44" s="198" t="n">
        <v>0.01</v>
      </c>
      <c r="E44" s="198" t="n">
        <v>1.63</v>
      </c>
      <c r="F44" s="198" t="n">
        <v>0.77</v>
      </c>
      <c r="G44" s="198" t="n">
        <v>1.73</v>
      </c>
      <c r="H44" s="198" t="n">
        <v>1.73</v>
      </c>
      <c r="I44" s="198" t="n">
        <v>0.51</v>
      </c>
      <c r="J44" s="198" t="n">
        <v>0.26</v>
      </c>
      <c r="K44" s="198" t="n">
        <v>1.61</v>
      </c>
      <c r="L44" s="198" t="n">
        <v>0</v>
      </c>
      <c r="M44" s="198" t="n">
        <v>0.59</v>
      </c>
      <c r="N44" s="198" t="n">
        <v>0.3</v>
      </c>
      <c r="O44" s="198" t="n">
        <v>1.95</v>
      </c>
      <c r="P44" s="198" t="n">
        <v>2.37</v>
      </c>
      <c r="Q44" s="198" t="n">
        <v>0.52</v>
      </c>
      <c r="R44" s="198" t="n">
        <v>4.79</v>
      </c>
      <c r="S44" s="889" t="s">
        <v>219</v>
      </c>
      <c r="T44" s="417" t="n">
        <v>4.03</v>
      </c>
      <c r="U44" s="715" t="n">
        <v>0</v>
      </c>
      <c r="V44" s="715" t="n">
        <v>0.28</v>
      </c>
      <c r="W44" s="417" t="n">
        <v>0.12</v>
      </c>
      <c r="X44" s="715" t="n">
        <v>-0.6</v>
      </c>
      <c r="Y44" s="715" t="n">
        <v>3.03</v>
      </c>
      <c r="Z44" s="417" t="n">
        <v>-0.03</v>
      </c>
      <c r="AA44" s="417" t="n">
        <v>2.14</v>
      </c>
      <c r="AB44" s="417" t="n">
        <v>1.27</v>
      </c>
      <c r="AC44" s="715" t="n">
        <v>2.19</v>
      </c>
      <c r="AD44" s="715" t="n">
        <v>-0.3</v>
      </c>
      <c r="AE44" s="715" t="n">
        <v>3</v>
      </c>
      <c r="AF44" s="715" t="n">
        <v>0</v>
      </c>
      <c r="AG44" s="417" t="n">
        <v>0.72</v>
      </c>
      <c r="AH44" s="715" t="n">
        <v>1.27</v>
      </c>
      <c r="AI44" s="715" t="n">
        <v>0</v>
      </c>
      <c r="AJ44" s="715" t="n">
        <v>1.56</v>
      </c>
    </row>
    <row r="45" s="868" customFormat="true" ht="11.25" hidden="false" customHeight="true" outlineLevel="0" collapsed="false">
      <c r="A45" s="890" t="s">
        <v>220</v>
      </c>
      <c r="B45" s="1243" t="n">
        <v>-3.9</v>
      </c>
      <c r="C45" s="1243" t="n">
        <v>0</v>
      </c>
      <c r="D45" s="1243" t="n">
        <v>0</v>
      </c>
      <c r="E45" s="1243" t="n">
        <v>-1.08</v>
      </c>
      <c r="F45" s="1243" t="n">
        <v>1.29</v>
      </c>
      <c r="G45" s="1243" t="n">
        <v>-1.52</v>
      </c>
      <c r="H45" s="1243" t="n">
        <v>-1.49</v>
      </c>
      <c r="I45" s="1243" t="n">
        <v>0.27</v>
      </c>
      <c r="J45" s="1243" t="n">
        <v>-0.32</v>
      </c>
      <c r="K45" s="1243" t="n">
        <v>1.7</v>
      </c>
      <c r="L45" s="1243" t="n">
        <v>0</v>
      </c>
      <c r="M45" s="1243" t="n">
        <v>-0.08</v>
      </c>
      <c r="N45" s="1243" t="n">
        <v>-0.28</v>
      </c>
      <c r="O45" s="1243" t="n">
        <v>0.1</v>
      </c>
      <c r="P45" s="1243" t="n">
        <v>0.82</v>
      </c>
      <c r="Q45" s="1243" t="n">
        <v>-0.36</v>
      </c>
      <c r="R45" s="1243" t="n">
        <v>-3.56</v>
      </c>
      <c r="S45" s="890" t="s">
        <v>220</v>
      </c>
      <c r="T45" s="1537" t="n">
        <v>-3.99</v>
      </c>
      <c r="U45" s="708" t="n">
        <v>0</v>
      </c>
      <c r="V45" s="708" t="n">
        <v>0.24</v>
      </c>
      <c r="W45" s="1537" t="n">
        <v>-0.31</v>
      </c>
      <c r="X45" s="708" t="n">
        <v>0.01</v>
      </c>
      <c r="Y45" s="708" t="n">
        <v>-0.86</v>
      </c>
      <c r="Z45" s="1537" t="n">
        <v>-0.01</v>
      </c>
      <c r="AA45" s="1537" t="n">
        <v>-2.65</v>
      </c>
      <c r="AB45" s="1537" t="n">
        <v>-0.95</v>
      </c>
      <c r="AC45" s="708" t="n">
        <v>-3.07</v>
      </c>
      <c r="AD45" s="708" t="n">
        <v>0.12</v>
      </c>
      <c r="AE45" s="708" t="n">
        <v>-0.01</v>
      </c>
      <c r="AF45" s="708" t="n">
        <v>0</v>
      </c>
      <c r="AG45" s="708" t="n">
        <v>-0.5</v>
      </c>
      <c r="AH45" s="708" t="n">
        <v>-4.1</v>
      </c>
      <c r="AI45" s="708" t="n">
        <v>0</v>
      </c>
      <c r="AJ45" s="708" t="n">
        <v>-0.14</v>
      </c>
    </row>
    <row r="46" s="868" customFormat="true" ht="11.25" hidden="false" customHeight="true" outlineLevel="0" collapsed="false">
      <c r="A46" s="889" t="s">
        <v>221</v>
      </c>
      <c r="B46" s="198" t="n">
        <v>-2.27</v>
      </c>
      <c r="C46" s="198" t="n">
        <v>-0.06</v>
      </c>
      <c r="D46" s="198" t="n">
        <v>0.09</v>
      </c>
      <c r="E46" s="198" t="n">
        <v>-1.36</v>
      </c>
      <c r="F46" s="198" t="n">
        <v>-1.7</v>
      </c>
      <c r="G46" s="198" t="n">
        <v>-0.27</v>
      </c>
      <c r="H46" s="198" t="n">
        <v>-0.29</v>
      </c>
      <c r="I46" s="198" t="n">
        <v>-0.35</v>
      </c>
      <c r="J46" s="198" t="n">
        <v>-0.15</v>
      </c>
      <c r="K46" s="198" t="n">
        <v>-3.77</v>
      </c>
      <c r="L46" s="198" t="n">
        <v>0</v>
      </c>
      <c r="M46" s="198" t="n">
        <v>-0.57</v>
      </c>
      <c r="N46" s="198" t="n">
        <v>-0.62</v>
      </c>
      <c r="O46" s="198" t="n">
        <v>-3.25</v>
      </c>
      <c r="P46" s="198" t="n">
        <v>2.02</v>
      </c>
      <c r="Q46" s="198" t="n">
        <v>-0.87</v>
      </c>
      <c r="R46" s="198" t="n">
        <v>-2.76</v>
      </c>
      <c r="S46" s="889" t="s">
        <v>221</v>
      </c>
      <c r="T46" s="417" t="n">
        <v>-2.24</v>
      </c>
      <c r="U46" s="715" t="n">
        <v>0</v>
      </c>
      <c r="V46" s="715" t="n">
        <v>0.18</v>
      </c>
      <c r="W46" s="417" t="n">
        <v>-0.22</v>
      </c>
      <c r="X46" s="715" t="n">
        <v>0.59</v>
      </c>
      <c r="Y46" s="715" t="n">
        <v>-4.04</v>
      </c>
      <c r="Z46" s="417" t="n">
        <v>-0.03</v>
      </c>
      <c r="AA46" s="417" t="n">
        <v>-2.31</v>
      </c>
      <c r="AB46" s="715" t="n">
        <v>-2.4</v>
      </c>
      <c r="AC46" s="715" t="n">
        <v>-0.7</v>
      </c>
      <c r="AD46" s="715" t="n">
        <v>-0.32</v>
      </c>
      <c r="AE46" s="715" t="n">
        <v>0.19</v>
      </c>
      <c r="AF46" s="715" t="n">
        <v>0</v>
      </c>
      <c r="AG46" s="417" t="n">
        <v>-0.45</v>
      </c>
      <c r="AH46" s="715" t="n">
        <v>-1.63</v>
      </c>
      <c r="AI46" s="715" t="n">
        <v>0</v>
      </c>
      <c r="AJ46" s="715" t="n">
        <v>-1.6</v>
      </c>
    </row>
    <row r="47" s="868" customFormat="true" ht="11.25" hidden="false" customHeight="true" outlineLevel="0" collapsed="false">
      <c r="A47" s="890" t="s">
        <v>222</v>
      </c>
      <c r="B47" s="1243" t="n">
        <v>-9.3</v>
      </c>
      <c r="C47" s="1243" t="n">
        <v>0</v>
      </c>
      <c r="D47" s="1243" t="n">
        <v>-0.37</v>
      </c>
      <c r="E47" s="1243" t="n">
        <v>-7.41</v>
      </c>
      <c r="F47" s="1243" t="n">
        <v>-0.96</v>
      </c>
      <c r="G47" s="1243" t="n">
        <v>-1.86</v>
      </c>
      <c r="H47" s="1243" t="n">
        <v>-1.92</v>
      </c>
      <c r="I47" s="1243" t="n">
        <v>0.52</v>
      </c>
      <c r="J47" s="1243" t="n">
        <v>-6.18</v>
      </c>
      <c r="K47" s="1243" t="n">
        <v>-14</v>
      </c>
      <c r="L47" s="1243" t="n">
        <v>0</v>
      </c>
      <c r="M47" s="1243" t="n">
        <v>-1.47</v>
      </c>
      <c r="N47" s="1243" t="n">
        <v>-2.16</v>
      </c>
      <c r="O47" s="1243" t="n">
        <v>-3.82</v>
      </c>
      <c r="P47" s="1243" t="n">
        <v>2.28</v>
      </c>
      <c r="Q47" s="1243" t="n">
        <v>-1.27</v>
      </c>
      <c r="R47" s="1243" t="n">
        <v>-7.61</v>
      </c>
      <c r="S47" s="890" t="s">
        <v>222</v>
      </c>
      <c r="T47" s="1537" t="n">
        <v>-15.61</v>
      </c>
      <c r="U47" s="708" t="n">
        <v>-0.03</v>
      </c>
      <c r="V47" s="708" t="n">
        <v>-3.28</v>
      </c>
      <c r="W47" s="1537" t="n">
        <v>-0.08</v>
      </c>
      <c r="X47" s="708" t="n">
        <v>-0.01</v>
      </c>
      <c r="Y47" s="708" t="n">
        <v>-16.65</v>
      </c>
      <c r="Z47" s="1537" t="n">
        <v>-0.09</v>
      </c>
      <c r="AA47" s="1537" t="n">
        <v>-1.07</v>
      </c>
      <c r="AB47" s="1537" t="n">
        <v>-3.54</v>
      </c>
      <c r="AC47" s="708" t="n">
        <v>-3.88</v>
      </c>
      <c r="AD47" s="708" t="n">
        <v>-2.75</v>
      </c>
      <c r="AE47" s="708" t="n">
        <v>-1.43</v>
      </c>
      <c r="AF47" s="708" t="n">
        <v>0</v>
      </c>
      <c r="AG47" s="708" t="n">
        <v>-1.1</v>
      </c>
      <c r="AH47" s="708" t="n">
        <v>-3.59</v>
      </c>
      <c r="AI47" s="708" t="n">
        <v>0</v>
      </c>
      <c r="AJ47" s="708" t="n">
        <v>-8.75</v>
      </c>
    </row>
    <row r="48" s="868" customFormat="true" ht="11.25" hidden="false" customHeight="true" outlineLevel="0" collapsed="false">
      <c r="A48" s="889" t="s">
        <v>223</v>
      </c>
      <c r="B48" s="198" t="n">
        <v>8.34</v>
      </c>
      <c r="C48" s="198" t="n">
        <v>0</v>
      </c>
      <c r="D48" s="198" t="n">
        <v>0.27</v>
      </c>
      <c r="E48" s="198" t="n">
        <v>2.56</v>
      </c>
      <c r="F48" s="198" t="n">
        <v>-0.29</v>
      </c>
      <c r="G48" s="198" t="n">
        <v>0.4</v>
      </c>
      <c r="H48" s="198" t="n">
        <v>0.26</v>
      </c>
      <c r="I48" s="198" t="n">
        <v>0.02</v>
      </c>
      <c r="J48" s="198" t="n">
        <v>1.34</v>
      </c>
      <c r="K48" s="198" t="n">
        <v>10.22</v>
      </c>
      <c r="L48" s="198" t="n">
        <v>0</v>
      </c>
      <c r="M48" s="198" t="n">
        <v>3.92</v>
      </c>
      <c r="N48" s="198" t="n">
        <v>1.1</v>
      </c>
      <c r="O48" s="198" t="n">
        <v>1.36</v>
      </c>
      <c r="P48" s="198" t="n">
        <v>0.07</v>
      </c>
      <c r="Q48" s="198" t="n">
        <v>1.49</v>
      </c>
      <c r="R48" s="198" t="n">
        <v>2.81</v>
      </c>
      <c r="S48" s="889" t="s">
        <v>223</v>
      </c>
      <c r="T48" s="417" t="n">
        <v>9.47</v>
      </c>
      <c r="U48" s="715" t="n">
        <v>0.16</v>
      </c>
      <c r="V48" s="715" t="n">
        <v>-0.78</v>
      </c>
      <c r="W48" s="417" t="n">
        <v>1.29</v>
      </c>
      <c r="X48" s="715" t="n">
        <v>0.02</v>
      </c>
      <c r="Y48" s="715" t="n">
        <v>7.39</v>
      </c>
      <c r="Z48" s="417" t="n">
        <v>0.01</v>
      </c>
      <c r="AA48" s="417" t="n">
        <v>0.1</v>
      </c>
      <c r="AB48" s="417" t="n">
        <v>1.85</v>
      </c>
      <c r="AC48" s="715" t="n">
        <v>2.63</v>
      </c>
      <c r="AD48" s="715" t="n">
        <v>-2.07</v>
      </c>
      <c r="AE48" s="715" t="n">
        <v>0.98</v>
      </c>
      <c r="AF48" s="715" t="n">
        <v>-14.91</v>
      </c>
      <c r="AG48" s="715" t="n">
        <v>0.6</v>
      </c>
      <c r="AH48" s="715" t="n">
        <v>2.19</v>
      </c>
      <c r="AI48" s="715" t="n">
        <v>0</v>
      </c>
      <c r="AJ48" s="715" t="n">
        <v>4.01</v>
      </c>
    </row>
    <row r="49" s="868" customFormat="true" ht="11.25" hidden="false" customHeight="true" outlineLevel="0" collapsed="false">
      <c r="A49" s="890" t="s">
        <v>224</v>
      </c>
      <c r="B49" s="1243" t="n">
        <v>3.28</v>
      </c>
      <c r="C49" s="1243" t="n">
        <v>0</v>
      </c>
      <c r="D49" s="1243" t="n">
        <v>-0.05</v>
      </c>
      <c r="E49" s="1243" t="n">
        <v>2.39</v>
      </c>
      <c r="F49" s="1243" t="n">
        <v>-0.52</v>
      </c>
      <c r="G49" s="1243" t="n">
        <v>2.72</v>
      </c>
      <c r="H49" s="1243" t="n">
        <v>2.6</v>
      </c>
      <c r="I49" s="1243" t="n">
        <v>0</v>
      </c>
      <c r="J49" s="1243" t="n">
        <v>-0.32</v>
      </c>
      <c r="K49" s="1243" t="n">
        <v>2.22</v>
      </c>
      <c r="L49" s="1243" t="n">
        <v>0</v>
      </c>
      <c r="M49" s="1243" t="n">
        <v>-0.7</v>
      </c>
      <c r="N49" s="1243" t="n">
        <v>0.31</v>
      </c>
      <c r="O49" s="1243" t="n">
        <v>-0.22</v>
      </c>
      <c r="P49" s="1243" t="n">
        <v>0.07</v>
      </c>
      <c r="Q49" s="1243" t="n">
        <v>0.45</v>
      </c>
      <c r="R49" s="1243" t="n">
        <v>3.52</v>
      </c>
      <c r="S49" s="890" t="s">
        <v>224</v>
      </c>
      <c r="T49" s="1537" t="n">
        <v>4.42</v>
      </c>
      <c r="U49" s="708" t="n">
        <v>0.13</v>
      </c>
      <c r="V49" s="708" t="n">
        <v>-0.73</v>
      </c>
      <c r="W49" s="1537" t="n">
        <v>-0.18</v>
      </c>
      <c r="X49" s="708" t="n">
        <v>-0.51</v>
      </c>
      <c r="Y49" s="708" t="n">
        <v>3.94</v>
      </c>
      <c r="Z49" s="1537" t="n">
        <v>-0.05</v>
      </c>
      <c r="AA49" s="1537" t="n">
        <v>-0.29</v>
      </c>
      <c r="AB49" s="1537" t="n">
        <v>0.41</v>
      </c>
      <c r="AC49" s="708" t="n">
        <v>4.04</v>
      </c>
      <c r="AD49" s="708" t="n">
        <v>2.55</v>
      </c>
      <c r="AE49" s="708" t="n">
        <v>1.12</v>
      </c>
      <c r="AF49" s="708" t="n">
        <v>0</v>
      </c>
      <c r="AG49" s="708" t="n">
        <v>0.67</v>
      </c>
      <c r="AH49" s="708" t="n">
        <v>0.94</v>
      </c>
      <c r="AI49" s="708" t="n">
        <v>0</v>
      </c>
      <c r="AJ49" s="708" t="n">
        <v>0.94</v>
      </c>
    </row>
    <row r="50" s="868" customFormat="true" ht="11.25" hidden="false" customHeight="true" outlineLevel="0" collapsed="false">
      <c r="A50" s="889" t="s">
        <v>225</v>
      </c>
      <c r="B50" s="198" t="n">
        <v>2.97</v>
      </c>
      <c r="C50" s="198" t="n">
        <v>0.06</v>
      </c>
      <c r="D50" s="198" t="n">
        <v>-0.09</v>
      </c>
      <c r="E50" s="198" t="n">
        <v>0.82</v>
      </c>
      <c r="F50" s="198" t="n">
        <v>0.74</v>
      </c>
      <c r="G50" s="198" t="n">
        <v>1.23</v>
      </c>
      <c r="H50" s="198" t="n">
        <v>1.29</v>
      </c>
      <c r="I50" s="198" t="n">
        <v>0.01</v>
      </c>
      <c r="J50" s="198" t="n">
        <v>0.13</v>
      </c>
      <c r="K50" s="198" t="n">
        <v>2.52</v>
      </c>
      <c r="L50" s="198" t="n">
        <v>0</v>
      </c>
      <c r="M50" s="198" t="n">
        <v>0.2</v>
      </c>
      <c r="N50" s="198" t="n">
        <v>0.19</v>
      </c>
      <c r="O50" s="198" t="n">
        <v>1.51</v>
      </c>
      <c r="P50" s="198" t="n">
        <v>1.48</v>
      </c>
      <c r="Q50" s="198" t="n">
        <v>0.46</v>
      </c>
      <c r="R50" s="198" t="n">
        <v>3.51</v>
      </c>
      <c r="S50" s="889" t="s">
        <v>225</v>
      </c>
      <c r="T50" s="417" t="n">
        <v>0.65</v>
      </c>
      <c r="U50" s="715" t="n">
        <v>-0.26</v>
      </c>
      <c r="V50" s="715" t="n">
        <v>-3.42</v>
      </c>
      <c r="W50" s="417" t="n">
        <v>1.37</v>
      </c>
      <c r="X50" s="715" t="n">
        <v>0.51</v>
      </c>
      <c r="Y50" s="715" t="n">
        <v>0.12</v>
      </c>
      <c r="Z50" s="417" t="n">
        <v>0.19</v>
      </c>
      <c r="AA50" s="417" t="n">
        <v>2.94</v>
      </c>
      <c r="AB50" s="417" t="n">
        <v>1.48</v>
      </c>
      <c r="AC50" s="715" t="n">
        <v>1.43</v>
      </c>
      <c r="AD50" s="715" t="n">
        <v>0.05</v>
      </c>
      <c r="AE50" s="715" t="n">
        <v>1.05</v>
      </c>
      <c r="AF50" s="715" t="n">
        <v>-0.29</v>
      </c>
      <c r="AG50" s="715" t="n">
        <v>0.57</v>
      </c>
      <c r="AH50" s="715" t="n">
        <v>3.03</v>
      </c>
      <c r="AI50" s="715" t="n">
        <v>0</v>
      </c>
      <c r="AJ50" s="715" t="n">
        <v>-0.38</v>
      </c>
    </row>
    <row r="51" s="868" customFormat="true" ht="11.25" hidden="false" customHeight="true" outlineLevel="0" collapsed="false">
      <c r="A51" s="475" t="s">
        <v>284</v>
      </c>
      <c r="B51" s="1243"/>
      <c r="C51" s="1243"/>
      <c r="D51" s="1243"/>
      <c r="E51" s="1243"/>
      <c r="F51" s="1243"/>
      <c r="G51" s="1243"/>
      <c r="H51" s="1243"/>
      <c r="I51" s="1243"/>
      <c r="J51" s="1243"/>
      <c r="K51" s="1243"/>
      <c r="L51" s="1243"/>
      <c r="M51" s="1243"/>
      <c r="N51" s="1243"/>
      <c r="O51" s="1243"/>
      <c r="P51" s="1243"/>
      <c r="Q51" s="1243"/>
      <c r="R51" s="1243"/>
      <c r="S51" s="475" t="s">
        <v>284</v>
      </c>
      <c r="T51" s="1537"/>
      <c r="U51" s="708"/>
      <c r="V51" s="708"/>
      <c r="W51" s="1537"/>
      <c r="X51" s="708"/>
      <c r="Y51" s="708"/>
      <c r="Z51" s="1537"/>
      <c r="AA51" s="1537"/>
      <c r="AB51" s="1537"/>
      <c r="AC51" s="708"/>
      <c r="AD51" s="708"/>
      <c r="AE51" s="708"/>
      <c r="AF51" s="708"/>
      <c r="AG51" s="708"/>
      <c r="AH51" s="708"/>
      <c r="AI51" s="708"/>
      <c r="AJ51" s="708"/>
    </row>
    <row r="52" s="868" customFormat="true" ht="11.25" hidden="false" customHeight="true" outlineLevel="0" collapsed="false">
      <c r="A52" s="1400" t="s">
        <v>214</v>
      </c>
      <c r="B52" s="1392" t="n">
        <v>4.71</v>
      </c>
      <c r="C52" s="1392" t="n">
        <v>0.12</v>
      </c>
      <c r="D52" s="1392" t="n">
        <v>0.16</v>
      </c>
      <c r="E52" s="1392" t="n">
        <v>2.38</v>
      </c>
      <c r="F52" s="1392" t="n">
        <v>1.28</v>
      </c>
      <c r="G52" s="1392" t="n">
        <v>5.02</v>
      </c>
      <c r="H52" s="1392" t="n">
        <v>4.89</v>
      </c>
      <c r="I52" s="1392" t="n">
        <v>0.01</v>
      </c>
      <c r="J52" s="1392" t="n">
        <v>0.75</v>
      </c>
      <c r="K52" s="1392" t="n">
        <v>-2.21</v>
      </c>
      <c r="L52" s="1392" t="n">
        <v>0</v>
      </c>
      <c r="M52" s="1392" t="n">
        <v>2.53</v>
      </c>
      <c r="N52" s="1392" t="n">
        <v>0.64</v>
      </c>
      <c r="O52" s="1392" t="n">
        <v>0.88</v>
      </c>
      <c r="P52" s="1392" t="n">
        <v>0.95</v>
      </c>
      <c r="Q52" s="1392" t="n">
        <v>1.97</v>
      </c>
      <c r="R52" s="1392" t="n">
        <v>3.86</v>
      </c>
      <c r="S52" s="1400" t="s">
        <v>214</v>
      </c>
      <c r="T52" s="1539" t="n">
        <v>7.12</v>
      </c>
      <c r="U52" s="1538" t="n">
        <v>0</v>
      </c>
      <c r="V52" s="1538" t="n">
        <v>0.52</v>
      </c>
      <c r="W52" s="1539" t="n">
        <v>-0.03</v>
      </c>
      <c r="X52" s="1538" t="n">
        <v>0</v>
      </c>
      <c r="Y52" s="1538" t="n">
        <v>-3.46</v>
      </c>
      <c r="Z52" s="1538" t="n">
        <v>0</v>
      </c>
      <c r="AA52" s="1539" t="n">
        <v>0.45</v>
      </c>
      <c r="AB52" s="1539" t="n">
        <v>1.47</v>
      </c>
      <c r="AC52" s="1538" t="n">
        <v>6.92</v>
      </c>
      <c r="AD52" s="1538" t="n">
        <v>0.23</v>
      </c>
      <c r="AE52" s="1538" t="n">
        <v>4.25</v>
      </c>
      <c r="AF52" s="1538" t="n">
        <v>-59.09</v>
      </c>
      <c r="AG52" s="1538" t="n">
        <v>1.97</v>
      </c>
      <c r="AH52" s="1538" t="n">
        <v>-1.55</v>
      </c>
      <c r="AI52" s="1538" t="n">
        <v>0</v>
      </c>
      <c r="AJ52" s="1538" t="n">
        <v>5.67</v>
      </c>
    </row>
    <row r="53" s="735" customFormat="true" ht="12" hidden="false" customHeight="true" outlineLevel="0" collapsed="false">
      <c r="A53" s="1560" t="s">
        <v>561</v>
      </c>
      <c r="B53" s="1561" t="s">
        <v>2574</v>
      </c>
      <c r="C53" s="1561"/>
      <c r="D53" s="1561"/>
      <c r="E53" s="1561"/>
      <c r="F53" s="1561"/>
      <c r="G53" s="1561"/>
      <c r="H53" s="1562"/>
      <c r="I53" s="1563" t="s">
        <v>2575</v>
      </c>
      <c r="J53" s="1562" t="s">
        <v>2576</v>
      </c>
      <c r="S53" s="1563" t="s">
        <v>2575</v>
      </c>
      <c r="T53" s="1562" t="s">
        <v>2576</v>
      </c>
    </row>
    <row r="54" customFormat="false" ht="11.25" hidden="false" customHeight="false" outlineLevel="0" collapsed="false">
      <c r="A54" s="735"/>
      <c r="B54" s="323"/>
      <c r="C54" s="323"/>
      <c r="D54" s="323"/>
      <c r="E54" s="323"/>
      <c r="F54" s="323"/>
      <c r="G54" s="323"/>
      <c r="H54" s="323"/>
      <c r="I54" s="735"/>
      <c r="J54" s="735"/>
      <c r="K54" s="735"/>
      <c r="L54" s="735"/>
      <c r="M54" s="735"/>
      <c r="N54" s="735"/>
      <c r="O54" s="735"/>
      <c r="P54" s="735"/>
      <c r="Q54" s="735"/>
      <c r="R54" s="735"/>
      <c r="S54" s="735"/>
      <c r="T54" s="735"/>
      <c r="U54" s="735"/>
      <c r="V54" s="735"/>
      <c r="W54" s="735"/>
      <c r="X54" s="735"/>
      <c r="Y54" s="735"/>
      <c r="Z54" s="735"/>
      <c r="AA54" s="735"/>
      <c r="AB54" s="735"/>
      <c r="AC54" s="735"/>
      <c r="AD54" s="735"/>
      <c r="AE54" s="735"/>
      <c r="AF54" s="735"/>
      <c r="AG54" s="735"/>
      <c r="AH54" s="735"/>
      <c r="AI54" s="735"/>
      <c r="AJ54" s="735"/>
    </row>
    <row r="57" customFormat="false" ht="11.25" hidden="false" customHeight="false" outlineLevel="0" collapsed="false">
      <c r="B57" s="258"/>
      <c r="C57" s="258"/>
      <c r="D57" s="258"/>
      <c r="E57" s="258"/>
      <c r="F57" s="258"/>
      <c r="G57" s="258"/>
      <c r="H57" s="258"/>
      <c r="I57" s="258"/>
      <c r="J57" s="258"/>
      <c r="K57" s="258"/>
      <c r="L57" s="258"/>
      <c r="M57" s="258"/>
      <c r="N57" s="258"/>
      <c r="O57" s="258"/>
      <c r="P57" s="258"/>
      <c r="Q57" s="258"/>
      <c r="R57" s="258"/>
    </row>
    <row r="58" customFormat="false" ht="11.25" hidden="false" customHeight="false" outlineLevel="0" collapsed="false">
      <c r="B58" s="258"/>
      <c r="C58" s="258"/>
      <c r="D58" s="258"/>
      <c r="E58" s="258"/>
      <c r="F58" s="258"/>
      <c r="G58" s="258"/>
      <c r="H58" s="258"/>
      <c r="I58" s="258"/>
      <c r="J58" s="258"/>
      <c r="K58" s="258"/>
      <c r="L58" s="258"/>
      <c r="M58" s="258"/>
      <c r="N58" s="258"/>
      <c r="O58" s="258"/>
      <c r="P58" s="258"/>
      <c r="Q58" s="258"/>
      <c r="R58" s="258"/>
      <c r="AI58" s="258"/>
    </row>
    <row r="59" customFormat="false" ht="11.25" hidden="false" customHeight="false" outlineLevel="0" collapsed="false">
      <c r="B59" s="258"/>
      <c r="C59" s="258"/>
      <c r="D59" s="258"/>
      <c r="E59" s="258"/>
      <c r="F59" s="258"/>
      <c r="G59" s="258"/>
      <c r="H59" s="258"/>
      <c r="I59" s="258"/>
      <c r="J59" s="258"/>
      <c r="K59" s="258"/>
      <c r="L59" s="258"/>
      <c r="M59" s="258"/>
      <c r="N59" s="258"/>
      <c r="O59" s="258"/>
      <c r="P59" s="258"/>
      <c r="Q59" s="258"/>
      <c r="R59" s="258"/>
      <c r="S59" s="258"/>
      <c r="T59" s="258"/>
      <c r="U59" s="258"/>
      <c r="V59" s="258"/>
      <c r="W59" s="258"/>
      <c r="X59" s="258"/>
      <c r="Y59" s="258"/>
      <c r="Z59" s="258"/>
      <c r="AA59" s="258"/>
      <c r="AB59" s="258"/>
      <c r="AC59" s="258"/>
      <c r="AD59" s="258"/>
      <c r="AE59" s="258"/>
      <c r="AF59" s="258"/>
      <c r="AG59" s="258"/>
      <c r="AH59" s="258"/>
      <c r="AI59" s="258"/>
    </row>
    <row r="60" customFormat="false" ht="11.25" hidden="false" customHeight="false" outlineLevel="0" collapsed="false">
      <c r="B60" s="258"/>
      <c r="C60" s="258"/>
      <c r="D60" s="258"/>
      <c r="E60" s="258"/>
      <c r="F60" s="258"/>
      <c r="G60" s="258"/>
      <c r="H60" s="258"/>
      <c r="I60" s="258"/>
      <c r="J60" s="258"/>
      <c r="K60" s="258"/>
      <c r="L60" s="258"/>
      <c r="M60" s="258"/>
      <c r="N60" s="258"/>
      <c r="O60" s="258"/>
      <c r="P60" s="258"/>
      <c r="Q60" s="258"/>
      <c r="R60" s="258"/>
    </row>
    <row r="61" customFormat="false" ht="11.25" hidden="false" customHeight="false" outlineLevel="0" collapsed="false">
      <c r="B61" s="258"/>
      <c r="C61" s="258"/>
      <c r="D61" s="258"/>
      <c r="E61" s="258"/>
      <c r="F61" s="258"/>
      <c r="G61" s="258"/>
      <c r="H61" s="258"/>
      <c r="I61" s="258"/>
      <c r="J61" s="258"/>
      <c r="K61" s="258"/>
      <c r="L61" s="258"/>
      <c r="M61" s="258"/>
      <c r="N61" s="258"/>
      <c r="O61" s="258"/>
      <c r="P61" s="258"/>
      <c r="Q61" s="258"/>
      <c r="R61" s="258"/>
      <c r="T61" s="258"/>
      <c r="U61" s="258"/>
      <c r="V61" s="258"/>
      <c r="W61" s="258"/>
      <c r="X61" s="258"/>
      <c r="Y61" s="258"/>
      <c r="Z61" s="258"/>
      <c r="AA61" s="258"/>
      <c r="AB61" s="258"/>
      <c r="AC61" s="258"/>
      <c r="AD61" s="258"/>
      <c r="AE61" s="258"/>
      <c r="AF61" s="258"/>
      <c r="AG61" s="258"/>
      <c r="AH61" s="258"/>
      <c r="AI61" s="258"/>
      <c r="AJ61" s="258"/>
    </row>
    <row r="62" customFormat="false" ht="11.25" hidden="false" customHeight="false" outlineLevel="0" collapsed="false">
      <c r="B62" s="258"/>
      <c r="C62" s="258"/>
      <c r="D62" s="258"/>
      <c r="E62" s="258"/>
      <c r="F62" s="258"/>
      <c r="G62" s="258"/>
      <c r="H62" s="258"/>
      <c r="I62" s="258"/>
      <c r="J62" s="258"/>
      <c r="K62" s="258"/>
      <c r="L62" s="258"/>
      <c r="M62" s="258"/>
      <c r="N62" s="258"/>
      <c r="O62" s="258"/>
      <c r="P62" s="258"/>
      <c r="Q62" s="258"/>
      <c r="R62" s="258"/>
      <c r="S62" s="258"/>
      <c r="T62" s="258"/>
      <c r="U62" s="258"/>
      <c r="V62" s="258"/>
      <c r="W62" s="258"/>
      <c r="X62" s="258"/>
      <c r="Y62" s="258"/>
      <c r="Z62" s="258"/>
      <c r="AA62" s="258"/>
      <c r="AB62" s="258"/>
      <c r="AC62" s="258"/>
      <c r="AD62" s="258"/>
      <c r="AE62" s="258"/>
      <c r="AF62" s="258"/>
      <c r="AG62" s="258"/>
      <c r="AH62" s="258"/>
      <c r="AI62" s="258"/>
      <c r="AJ62" s="258"/>
    </row>
    <row r="63" customFormat="false" ht="11.25" hidden="false" customHeight="false" outlineLevel="0" collapsed="false">
      <c r="B63" s="258"/>
      <c r="C63" s="258"/>
      <c r="D63" s="258"/>
      <c r="E63" s="258"/>
      <c r="F63" s="258"/>
      <c r="G63" s="258"/>
      <c r="H63" s="258"/>
      <c r="I63" s="258"/>
      <c r="J63" s="258"/>
      <c r="K63" s="258"/>
      <c r="L63" s="258"/>
      <c r="M63" s="258"/>
      <c r="N63" s="258"/>
      <c r="O63" s="258"/>
      <c r="P63" s="258"/>
      <c r="Q63" s="258"/>
      <c r="R63" s="258"/>
      <c r="S63" s="258"/>
      <c r="T63" s="258"/>
      <c r="U63" s="258"/>
      <c r="V63" s="258"/>
      <c r="W63" s="258"/>
      <c r="X63" s="258"/>
      <c r="Y63" s="258"/>
      <c r="Z63" s="258"/>
      <c r="AA63" s="258"/>
      <c r="AB63" s="258"/>
      <c r="AC63" s="258"/>
      <c r="AD63" s="258"/>
      <c r="AE63" s="258"/>
      <c r="AF63" s="258"/>
      <c r="AG63" s="258"/>
      <c r="AH63" s="258"/>
      <c r="AI63" s="258"/>
      <c r="AJ63" s="258"/>
    </row>
    <row r="64" customFormat="false" ht="11.25" hidden="false" customHeight="false" outlineLevel="0" collapsed="false">
      <c r="B64" s="258"/>
      <c r="C64" s="258"/>
      <c r="D64" s="258"/>
      <c r="E64" s="258"/>
      <c r="F64" s="258"/>
      <c r="G64" s="258"/>
      <c r="H64" s="258"/>
      <c r="I64" s="258"/>
      <c r="J64" s="258"/>
      <c r="K64" s="258"/>
      <c r="L64" s="258"/>
      <c r="M64" s="258"/>
      <c r="N64" s="258"/>
      <c r="O64" s="258"/>
      <c r="P64" s="258"/>
      <c r="Q64" s="258"/>
      <c r="R64" s="258"/>
      <c r="S64" s="258"/>
      <c r="T64" s="258"/>
      <c r="U64" s="258"/>
      <c r="V64" s="258"/>
      <c r="W64" s="258"/>
      <c r="X64" s="258"/>
      <c r="Y64" s="258"/>
      <c r="Z64" s="258"/>
      <c r="AA64" s="258"/>
      <c r="AB64" s="258"/>
      <c r="AC64" s="258"/>
      <c r="AD64" s="258"/>
      <c r="AE64" s="258"/>
      <c r="AF64" s="258"/>
      <c r="AG64" s="258"/>
      <c r="AH64" s="258"/>
      <c r="AI64" s="258"/>
      <c r="AJ64" s="258"/>
    </row>
    <row r="65" customFormat="false" ht="11.25" hidden="false" customHeight="false" outlineLevel="0" collapsed="false">
      <c r="B65" s="258"/>
      <c r="C65" s="258"/>
      <c r="D65" s="258"/>
      <c r="E65" s="258"/>
      <c r="F65" s="258"/>
      <c r="G65" s="258"/>
      <c r="H65" s="258"/>
      <c r="I65" s="258"/>
      <c r="J65" s="258"/>
      <c r="K65" s="258"/>
      <c r="L65" s="258"/>
      <c r="M65" s="258"/>
      <c r="N65" s="258"/>
      <c r="O65" s="258"/>
      <c r="P65" s="258"/>
      <c r="Q65" s="258"/>
      <c r="R65" s="258"/>
      <c r="S65" s="258"/>
      <c r="T65" s="258"/>
      <c r="U65" s="258"/>
      <c r="V65" s="258"/>
      <c r="W65" s="258"/>
      <c r="X65" s="258"/>
      <c r="Y65" s="258"/>
      <c r="Z65" s="258"/>
      <c r="AA65" s="258"/>
      <c r="AB65" s="258"/>
      <c r="AC65" s="258"/>
      <c r="AD65" s="258"/>
      <c r="AE65" s="258"/>
      <c r="AF65" s="258"/>
      <c r="AG65" s="258"/>
      <c r="AH65" s="258"/>
      <c r="AI65" s="258"/>
      <c r="AJ65" s="258"/>
    </row>
    <row r="66" customFormat="false" ht="11.25" hidden="false" customHeight="false" outlineLevel="0" collapsed="false">
      <c r="B66" s="258"/>
      <c r="C66" s="258"/>
      <c r="D66" s="258"/>
      <c r="E66" s="258"/>
      <c r="F66" s="258"/>
      <c r="G66" s="258"/>
      <c r="H66" s="258"/>
      <c r="I66" s="258"/>
      <c r="J66" s="258"/>
      <c r="K66" s="258"/>
      <c r="L66" s="258"/>
      <c r="M66" s="258"/>
      <c r="N66" s="258"/>
      <c r="O66" s="258"/>
      <c r="P66" s="258"/>
      <c r="Q66" s="258"/>
      <c r="R66" s="258"/>
      <c r="S66" s="258"/>
      <c r="T66" s="258"/>
      <c r="U66" s="258"/>
      <c r="V66" s="258"/>
      <c r="W66" s="258"/>
      <c r="X66" s="258"/>
      <c r="Y66" s="258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</row>
    <row r="67" customFormat="false" ht="11.25" hidden="false" customHeight="false" outlineLevel="0" collapsed="false">
      <c r="B67" s="258"/>
      <c r="C67" s="258"/>
      <c r="D67" s="258"/>
      <c r="E67" s="258"/>
      <c r="F67" s="258"/>
      <c r="G67" s="258"/>
      <c r="H67" s="258"/>
      <c r="I67" s="258"/>
      <c r="J67" s="258"/>
      <c r="K67" s="258"/>
      <c r="L67" s="258"/>
      <c r="M67" s="258"/>
      <c r="N67" s="258"/>
      <c r="O67" s="258"/>
      <c r="P67" s="258"/>
      <c r="Q67" s="258"/>
      <c r="R67" s="258"/>
      <c r="S67" s="258"/>
      <c r="T67" s="258"/>
      <c r="U67" s="258"/>
      <c r="V67" s="258"/>
      <c r="W67" s="258"/>
      <c r="X67" s="258"/>
      <c r="Y67" s="258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</row>
    <row r="68" customFormat="false" ht="11.25" hidden="false" customHeight="false" outlineLevel="0" collapsed="false">
      <c r="B68" s="258"/>
      <c r="C68" s="258"/>
      <c r="D68" s="258"/>
      <c r="E68" s="258"/>
      <c r="F68" s="258"/>
      <c r="G68" s="258"/>
      <c r="H68" s="258"/>
      <c r="I68" s="258"/>
      <c r="J68" s="258"/>
      <c r="K68" s="258"/>
      <c r="L68" s="258"/>
      <c r="M68" s="258"/>
      <c r="N68" s="258"/>
      <c r="O68" s="258"/>
      <c r="P68" s="258"/>
      <c r="Q68" s="258"/>
      <c r="R68" s="258"/>
      <c r="S68" s="258"/>
      <c r="T68" s="258"/>
      <c r="U68" s="258"/>
      <c r="V68" s="258"/>
      <c r="W68" s="258"/>
      <c r="X68" s="258"/>
      <c r="Y68" s="258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</row>
    <row r="69" customFormat="false" ht="11.25" hidden="false" customHeight="false" outlineLevel="0" collapsed="false">
      <c r="B69" s="258"/>
      <c r="C69" s="258"/>
      <c r="D69" s="258"/>
      <c r="E69" s="258"/>
      <c r="F69" s="258"/>
      <c r="G69" s="258"/>
      <c r="H69" s="258"/>
      <c r="I69" s="258"/>
      <c r="J69" s="258"/>
      <c r="K69" s="258"/>
      <c r="L69" s="258"/>
      <c r="M69" s="258"/>
      <c r="N69" s="258"/>
      <c r="O69" s="258"/>
      <c r="P69" s="258"/>
      <c r="Q69" s="258"/>
      <c r="R69" s="258"/>
      <c r="S69" s="258"/>
      <c r="T69" s="258"/>
      <c r="U69" s="258"/>
      <c r="V69" s="258"/>
      <c r="W69" s="258"/>
      <c r="X69" s="258"/>
      <c r="Y69" s="258"/>
      <c r="Z69" s="258"/>
      <c r="AA69" s="258"/>
      <c r="AB69" s="258"/>
      <c r="AC69" s="258"/>
      <c r="AD69" s="258"/>
      <c r="AE69" s="258"/>
      <c r="AF69" s="258"/>
      <c r="AG69" s="258"/>
      <c r="AH69" s="258"/>
      <c r="AI69" s="258"/>
      <c r="AJ69" s="258"/>
    </row>
  </sheetData>
  <mergeCells count="9">
    <mergeCell ref="A1:H1"/>
    <mergeCell ref="I1:N1"/>
    <mergeCell ref="P1:R1"/>
    <mergeCell ref="S1:AA1"/>
    <mergeCell ref="AB1:AF1"/>
    <mergeCell ref="AH1:AJ1"/>
    <mergeCell ref="Q2:R2"/>
    <mergeCell ref="AI2:AJ2"/>
    <mergeCell ref="B53:G53"/>
  </mergeCells>
  <printOptions headings="false" gridLines="false" gridLinesSet="true" horizontalCentered="false" verticalCentered="false"/>
  <pageMargins left="0.629861111111111" right="0.511805555555555" top="0.511805555555555" bottom="0.511805555555556" header="0.511805555555555" footer="0.14375"/>
  <pageSetup paperSize="1" scale="100" firstPageNumber="96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>&amp;C&amp;"Times New Roman,Regular"&amp;8&amp;P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7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1" ySplit="4" topLeftCell="B44" activePane="bottomRight" state="frozen"/>
      <selection pane="topLeft" activeCell="A1" activeCellId="0" sqref="A1"/>
      <selection pane="topRight" activeCell="B1" activeCellId="0" sqref="B1"/>
      <selection pane="bottomLeft" activeCell="A44" activeCellId="0" sqref="A44"/>
      <selection pane="bottomRight" activeCell="G55" activeCellId="0" sqref="G55"/>
    </sheetView>
  </sheetViews>
  <sheetFormatPr defaultColWidth="9.15625" defaultRowHeight="11.25" zeroHeight="false" outlineLevelRow="0" outlineLevelCol="0"/>
  <cols>
    <col collapsed="false" customWidth="true" hidden="false" outlineLevel="0" max="1" min="1" style="730" width="7.86"/>
    <col collapsed="false" customWidth="true" hidden="false" outlineLevel="0" max="2" min="2" style="107" width="8.57"/>
    <col collapsed="false" customWidth="true" hidden="false" outlineLevel="0" max="3" min="3" style="107" width="7.71"/>
    <col collapsed="false" customWidth="true" hidden="false" outlineLevel="0" max="4" min="4" style="107" width="7"/>
    <col collapsed="false" customWidth="true" hidden="false" outlineLevel="0" max="5" min="5" style="107" width="7.42"/>
    <col collapsed="false" customWidth="true" hidden="false" outlineLevel="0" max="6" min="6" style="107" width="5.86"/>
    <col collapsed="false" customWidth="true" hidden="false" outlineLevel="0" max="7" min="7" style="107" width="8.57"/>
    <col collapsed="false" customWidth="true" hidden="false" outlineLevel="0" max="8" min="8" style="107" width="9.29"/>
    <col collapsed="false" customWidth="true" hidden="false" outlineLevel="0" max="9" min="9" style="107" width="7.42"/>
    <col collapsed="false" customWidth="true" hidden="false" outlineLevel="0" max="10" min="10" style="107" width="8.71"/>
    <col collapsed="false" customWidth="true" hidden="false" outlineLevel="0" max="11" min="11" style="107" width="6.86"/>
    <col collapsed="false" customWidth="true" hidden="false" outlineLevel="0" max="12" min="12" style="107" width="6.42"/>
    <col collapsed="false" customWidth="true" hidden="false" outlineLevel="0" max="13" min="13" style="107" width="8.57"/>
    <col collapsed="false" customWidth="true" hidden="false" outlineLevel="0" max="14" min="14" style="107" width="7"/>
    <col collapsed="false" customWidth="true" hidden="false" outlineLevel="0" max="15" min="15" style="107" width="7.15"/>
    <col collapsed="false" customWidth="true" hidden="false" outlineLevel="0" max="16" min="16" style="107" width="6.57"/>
    <col collapsed="false" customWidth="true" hidden="false" outlineLevel="0" max="17" min="17" style="107" width="7.42"/>
    <col collapsed="false" customWidth="true" hidden="false" outlineLevel="0" max="18" min="18" style="107" width="9"/>
    <col collapsed="false" customWidth="true" hidden="false" outlineLevel="0" max="19" min="19" style="107" width="6.15"/>
    <col collapsed="false" customWidth="true" hidden="false" outlineLevel="0" max="21" min="20" style="107" width="6.71"/>
    <col collapsed="false" customWidth="false" hidden="false" outlineLevel="0" max="1024" min="22" style="107" width="9.14"/>
  </cols>
  <sheetData>
    <row r="1" s="829" customFormat="true" ht="20.45" hidden="false" customHeight="true" outlineLevel="0" collapsed="false">
      <c r="A1" s="742" t="s">
        <v>2577</v>
      </c>
      <c r="B1" s="742"/>
      <c r="C1" s="742"/>
      <c r="D1" s="742"/>
      <c r="E1" s="742"/>
      <c r="F1" s="742"/>
      <c r="G1" s="742"/>
      <c r="H1" s="742"/>
      <c r="I1" s="742"/>
      <c r="J1" s="742"/>
      <c r="K1" s="828" t="s">
        <v>2578</v>
      </c>
      <c r="L1" s="828"/>
      <c r="M1" s="828"/>
      <c r="N1" s="828"/>
      <c r="O1" s="828"/>
      <c r="P1" s="828"/>
      <c r="Q1" s="828"/>
      <c r="R1" s="828"/>
      <c r="S1" s="827" t="s">
        <v>2579</v>
      </c>
      <c r="T1" s="827"/>
      <c r="U1" s="827"/>
    </row>
    <row r="2" s="1568" customFormat="true" ht="30" hidden="false" customHeight="true" outlineLevel="0" collapsed="false">
      <c r="A2" s="1564" t="s">
        <v>2580</v>
      </c>
      <c r="B2" s="1564" t="s">
        <v>2581</v>
      </c>
      <c r="C2" s="1565" t="s">
        <v>2582</v>
      </c>
      <c r="D2" s="1564" t="s">
        <v>2583</v>
      </c>
      <c r="E2" s="1564" t="s">
        <v>2584</v>
      </c>
      <c r="F2" s="1564"/>
      <c r="G2" s="1564" t="s">
        <v>2585</v>
      </c>
      <c r="H2" s="1564" t="s">
        <v>2586</v>
      </c>
      <c r="I2" s="1566" t="s">
        <v>2587</v>
      </c>
      <c r="J2" s="1564" t="s">
        <v>2588</v>
      </c>
      <c r="K2" s="1564" t="s">
        <v>2589</v>
      </c>
      <c r="L2" s="759" t="s">
        <v>2590</v>
      </c>
      <c r="M2" s="759"/>
      <c r="N2" s="759"/>
      <c r="O2" s="1564" t="s">
        <v>2591</v>
      </c>
      <c r="P2" s="1564"/>
      <c r="Q2" s="1564" t="s">
        <v>2592</v>
      </c>
      <c r="R2" s="1564" t="s">
        <v>2593</v>
      </c>
      <c r="S2" s="1564" t="s">
        <v>2594</v>
      </c>
      <c r="T2" s="1564"/>
      <c r="U2" s="1564"/>
      <c r="V2" s="1567"/>
    </row>
    <row r="3" s="1574" customFormat="true" ht="35.1" hidden="false" customHeight="true" outlineLevel="0" collapsed="false">
      <c r="A3" s="1569" t="s">
        <v>2595</v>
      </c>
      <c r="B3" s="1569" t="s">
        <v>2596</v>
      </c>
      <c r="C3" s="1569" t="s">
        <v>2491</v>
      </c>
      <c r="D3" s="1570" t="s">
        <v>2597</v>
      </c>
      <c r="E3" s="1569" t="s">
        <v>2598</v>
      </c>
      <c r="F3" s="1569" t="s">
        <v>2599</v>
      </c>
      <c r="G3" s="1569" t="s">
        <v>2600</v>
      </c>
      <c r="H3" s="1569" t="s">
        <v>2601</v>
      </c>
      <c r="I3" s="1571" t="s">
        <v>2602</v>
      </c>
      <c r="J3" s="1572" t="s">
        <v>2603</v>
      </c>
      <c r="K3" s="1572" t="s">
        <v>2604</v>
      </c>
      <c r="L3" s="1572" t="s">
        <v>2605</v>
      </c>
      <c r="M3" s="1572" t="s">
        <v>2606</v>
      </c>
      <c r="N3" s="1572" t="s">
        <v>2607</v>
      </c>
      <c r="O3" s="1572" t="s">
        <v>2608</v>
      </c>
      <c r="P3" s="1572" t="s">
        <v>2490</v>
      </c>
      <c r="Q3" s="1572" t="s">
        <v>2609</v>
      </c>
      <c r="R3" s="1572" t="s">
        <v>2610</v>
      </c>
      <c r="S3" s="1572" t="s">
        <v>2611</v>
      </c>
      <c r="T3" s="1572" t="s">
        <v>2612</v>
      </c>
      <c r="U3" s="1572" t="s">
        <v>2613</v>
      </c>
      <c r="V3" s="1573"/>
    </row>
    <row r="4" s="1568" customFormat="true" ht="11.1" hidden="false" customHeight="true" outlineLevel="0" collapsed="false">
      <c r="A4" s="1575" t="s">
        <v>260</v>
      </c>
      <c r="B4" s="1575" t="n">
        <v>1</v>
      </c>
      <c r="C4" s="1575" t="n">
        <v>2</v>
      </c>
      <c r="D4" s="1575" t="n">
        <v>3</v>
      </c>
      <c r="E4" s="1575" t="n">
        <v>4</v>
      </c>
      <c r="F4" s="1575" t="n">
        <v>5</v>
      </c>
      <c r="G4" s="1575" t="n">
        <v>6</v>
      </c>
      <c r="H4" s="1575" t="n">
        <v>7</v>
      </c>
      <c r="I4" s="1575" t="n">
        <v>8</v>
      </c>
      <c r="J4" s="1575" t="n">
        <v>9</v>
      </c>
      <c r="K4" s="1575" t="n">
        <v>10</v>
      </c>
      <c r="L4" s="1575" t="n">
        <v>11</v>
      </c>
      <c r="M4" s="1575" t="n">
        <v>12</v>
      </c>
      <c r="N4" s="1575" t="n">
        <v>13</v>
      </c>
      <c r="O4" s="1575" t="n">
        <v>14</v>
      </c>
      <c r="P4" s="1575" t="n">
        <v>15</v>
      </c>
      <c r="Q4" s="1575" t="n">
        <v>16</v>
      </c>
      <c r="R4" s="1575" t="n">
        <v>17</v>
      </c>
      <c r="S4" s="1575" t="n">
        <v>18</v>
      </c>
      <c r="T4" s="1575" t="n">
        <v>19</v>
      </c>
      <c r="U4" s="1575" t="n">
        <v>20</v>
      </c>
      <c r="V4" s="1576"/>
    </row>
    <row r="5" s="222" customFormat="true" ht="11.45" hidden="false" customHeight="true" outlineLevel="0" collapsed="false">
      <c r="A5" s="461" t="n">
        <v>2002</v>
      </c>
      <c r="B5" s="883" t="n">
        <v>310.035</v>
      </c>
      <c r="C5" s="883" t="n">
        <v>27.06</v>
      </c>
      <c r="D5" s="883" t="n">
        <v>12.68</v>
      </c>
      <c r="E5" s="883" t="n">
        <v>23.7342</v>
      </c>
      <c r="F5" s="883" t="n">
        <v>24.9983</v>
      </c>
      <c r="G5" s="883" t="n">
        <v>46.2608</v>
      </c>
      <c r="H5" s="883" t="n">
        <v>133.067</v>
      </c>
      <c r="I5" s="883" t="n">
        <v>94.3617</v>
      </c>
      <c r="J5" s="883" t="n">
        <v>191.827</v>
      </c>
      <c r="K5" s="883" t="n">
        <v>222.398</v>
      </c>
      <c r="L5" s="883" t="n">
        <v>152.783</v>
      </c>
      <c r="M5" s="883" t="n">
        <v>132.167</v>
      </c>
      <c r="N5" s="883" t="n">
        <v>121.22</v>
      </c>
      <c r="O5" s="883" t="n">
        <v>356.745</v>
      </c>
      <c r="P5" s="883" t="n">
        <v>359.661</v>
      </c>
      <c r="Q5" s="883" t="n">
        <v>183.917</v>
      </c>
      <c r="R5" s="883" t="n">
        <v>409.842</v>
      </c>
      <c r="S5" s="883" t="n">
        <v>24.9783</v>
      </c>
      <c r="T5" s="883" t="n">
        <v>6.23667</v>
      </c>
      <c r="U5" s="883" t="n">
        <v>20.9408</v>
      </c>
      <c r="V5" s="379"/>
    </row>
    <row r="6" customFormat="false" ht="11.45" hidden="false" customHeight="true" outlineLevel="0" collapsed="false">
      <c r="A6" s="464" t="n">
        <v>2003</v>
      </c>
      <c r="B6" s="1043" t="n">
        <v>363.509</v>
      </c>
      <c r="C6" s="1043" t="n">
        <v>27.9542</v>
      </c>
      <c r="D6" s="1043" t="n">
        <v>13.82</v>
      </c>
      <c r="E6" s="1043" t="n">
        <v>26.7333</v>
      </c>
      <c r="F6" s="1043" t="n">
        <v>28.8525</v>
      </c>
      <c r="G6" s="1043" t="n">
        <v>63.4437</v>
      </c>
      <c r="H6" s="1043" t="n">
        <v>149.333</v>
      </c>
      <c r="I6" s="1043" t="n">
        <v>138.896</v>
      </c>
      <c r="J6" s="1043" t="n">
        <v>199.461</v>
      </c>
      <c r="K6" s="1043" t="n">
        <v>248.754</v>
      </c>
      <c r="L6" s="1043" t="n">
        <v>165.548</v>
      </c>
      <c r="M6" s="1043" t="n">
        <v>131.571</v>
      </c>
      <c r="N6" s="1043" t="n">
        <v>152.45</v>
      </c>
      <c r="O6" s="1043" t="n">
        <v>410.373</v>
      </c>
      <c r="P6" s="1043" t="n">
        <v>425.538</v>
      </c>
      <c r="Q6" s="1043" t="n">
        <v>214.656</v>
      </c>
      <c r="R6" s="1043" t="n">
        <v>500.283</v>
      </c>
      <c r="S6" s="1043" t="n">
        <v>27.1768</v>
      </c>
      <c r="T6" s="1043" t="n">
        <v>6.92571</v>
      </c>
      <c r="U6" s="1043" t="n">
        <v>21.4998</v>
      </c>
      <c r="V6" s="258"/>
    </row>
    <row r="7" s="222" customFormat="true" ht="11.45" hidden="false" customHeight="true" outlineLevel="0" collapsed="false">
      <c r="A7" s="461" t="n">
        <v>2004</v>
      </c>
      <c r="B7" s="883" t="n">
        <v>409.212</v>
      </c>
      <c r="C7" s="883" t="n">
        <v>56.7299</v>
      </c>
      <c r="D7" s="883" t="n">
        <v>16.39</v>
      </c>
      <c r="E7" s="883" t="n">
        <v>33.4558</v>
      </c>
      <c r="F7" s="883" t="n">
        <v>38.2975</v>
      </c>
      <c r="G7" s="883" t="n">
        <v>62.006</v>
      </c>
      <c r="H7" s="883" t="n">
        <v>186.312</v>
      </c>
      <c r="I7" s="883" t="n">
        <v>175.292</v>
      </c>
      <c r="J7" s="883" t="n">
        <v>245.783</v>
      </c>
      <c r="K7" s="883" t="n">
        <v>269.955</v>
      </c>
      <c r="L7" s="883" t="n">
        <v>167.05</v>
      </c>
      <c r="M7" s="883" t="n">
        <v>133.456</v>
      </c>
      <c r="N7" s="883" t="n">
        <v>139.5</v>
      </c>
      <c r="O7" s="883" t="n">
        <v>434.723</v>
      </c>
      <c r="P7" s="883" t="n">
        <v>448.739</v>
      </c>
      <c r="Q7" s="883" t="n">
        <v>257.205</v>
      </c>
      <c r="R7" s="883" t="n">
        <v>590.452</v>
      </c>
      <c r="S7" s="883" t="n">
        <v>30.4597</v>
      </c>
      <c r="T7" s="883" t="n">
        <v>7.5451</v>
      </c>
      <c r="U7" s="883" t="n">
        <v>20.5711</v>
      </c>
      <c r="V7" s="379"/>
    </row>
    <row r="8" customFormat="false" ht="11.45" hidden="false" customHeight="true" outlineLevel="0" collapsed="false">
      <c r="A8" s="464" t="n">
        <v>2005</v>
      </c>
      <c r="B8" s="1043" t="n">
        <v>444.843</v>
      </c>
      <c r="C8" s="1043" t="n">
        <v>51.0224</v>
      </c>
      <c r="D8" s="1043" t="n">
        <v>28.11</v>
      </c>
      <c r="E8" s="1043" t="n">
        <v>49.2017</v>
      </c>
      <c r="F8" s="1043" t="n">
        <v>54.4342</v>
      </c>
      <c r="G8" s="1043" t="n">
        <v>55.1683</v>
      </c>
      <c r="H8" s="1043" t="n">
        <v>201.479</v>
      </c>
      <c r="I8" s="1043" t="n">
        <v>219.019</v>
      </c>
      <c r="J8" s="1043" t="n">
        <v>287.811</v>
      </c>
      <c r="K8" s="1043" t="n">
        <v>308.451</v>
      </c>
      <c r="L8" s="1043" t="n">
        <v>163.431</v>
      </c>
      <c r="M8" s="1043" t="n">
        <v>129.886</v>
      </c>
      <c r="N8" s="1043" t="n">
        <v>121.4</v>
      </c>
      <c r="O8" s="1043" t="n">
        <v>367.687</v>
      </c>
      <c r="P8" s="1043" t="n">
        <v>390.752</v>
      </c>
      <c r="Q8" s="1043" t="n">
        <v>205.762</v>
      </c>
      <c r="R8" s="1043" t="n">
        <v>495.747</v>
      </c>
      <c r="S8" s="1043" t="n">
        <v>30.2624</v>
      </c>
      <c r="T8" s="1043" t="n">
        <v>10.0702</v>
      </c>
      <c r="U8" s="1043" t="n">
        <v>21.0684</v>
      </c>
      <c r="V8" s="258"/>
    </row>
    <row r="9" s="222" customFormat="true" ht="11.45" hidden="false" customHeight="true" outlineLevel="0" collapsed="false">
      <c r="A9" s="461" t="n">
        <v>2006</v>
      </c>
      <c r="B9" s="883" t="n">
        <v>604.336</v>
      </c>
      <c r="C9" s="883" t="n">
        <v>52.596</v>
      </c>
      <c r="D9" s="883" t="n">
        <v>33.45</v>
      </c>
      <c r="E9" s="883" t="n">
        <v>61.4317</v>
      </c>
      <c r="F9" s="883" t="n">
        <v>65.39</v>
      </c>
      <c r="G9" s="883" t="n">
        <v>58.0525</v>
      </c>
      <c r="H9" s="883" t="n">
        <v>201.633</v>
      </c>
      <c r="I9" s="883" t="n">
        <v>222.954</v>
      </c>
      <c r="J9" s="883" t="n">
        <v>303.515</v>
      </c>
      <c r="K9" s="883" t="n">
        <v>345.831</v>
      </c>
      <c r="L9" s="883" t="n">
        <v>169.399</v>
      </c>
      <c r="M9" s="883" t="n">
        <v>168.566</v>
      </c>
      <c r="N9" s="883" t="n">
        <v>153.3</v>
      </c>
      <c r="O9" s="883" t="n">
        <v>416.814</v>
      </c>
      <c r="P9" s="883" t="n">
        <v>425.461</v>
      </c>
      <c r="Q9" s="883" t="n">
        <v>193.975</v>
      </c>
      <c r="R9" s="883" t="n">
        <v>551.496</v>
      </c>
      <c r="S9" s="883" t="n">
        <v>30.6397</v>
      </c>
      <c r="T9" s="883" t="n">
        <v>14.7885</v>
      </c>
      <c r="U9" s="883" t="n">
        <v>22.1195</v>
      </c>
      <c r="V9" s="379"/>
    </row>
    <row r="10" customFormat="false" ht="11.45" hidden="false" customHeight="true" outlineLevel="0" collapsed="false">
      <c r="A10" s="464" t="n">
        <v>2007</v>
      </c>
      <c r="B10" s="1043" t="n">
        <v>696.72</v>
      </c>
      <c r="C10" s="1043" t="n">
        <v>70.4283</v>
      </c>
      <c r="D10" s="1043" t="n">
        <v>36.63</v>
      </c>
      <c r="E10" s="1043" t="n">
        <v>68.3683</v>
      </c>
      <c r="F10" s="1043" t="n">
        <v>72.7125</v>
      </c>
      <c r="G10" s="1043" t="n">
        <v>63.2837</v>
      </c>
      <c r="H10" s="1043" t="n">
        <v>339.054</v>
      </c>
      <c r="I10" s="1043" t="n">
        <v>309.4</v>
      </c>
      <c r="J10" s="1043" t="n">
        <v>332.393</v>
      </c>
      <c r="K10" s="1043" t="n">
        <v>375.708</v>
      </c>
      <c r="L10" s="1043" t="n">
        <v>243.411</v>
      </c>
      <c r="M10" s="1043" t="n">
        <v>226.885</v>
      </c>
      <c r="N10" s="1043" t="n">
        <v>209.6</v>
      </c>
      <c r="O10" s="1043" t="n">
        <v>719.122</v>
      </c>
      <c r="P10" s="1043" t="n">
        <v>694.651</v>
      </c>
      <c r="Q10" s="1043" t="n">
        <v>263.673</v>
      </c>
      <c r="R10" s="1043" t="n">
        <v>799.742</v>
      </c>
      <c r="S10" s="1043" t="n">
        <v>33.2844</v>
      </c>
      <c r="T10" s="1043" t="n">
        <v>9.95664</v>
      </c>
      <c r="U10" s="1043" t="n">
        <v>20.7632</v>
      </c>
      <c r="V10" s="258"/>
    </row>
    <row r="11" s="222" customFormat="true" ht="11.45" hidden="false" customHeight="true" outlineLevel="0" collapsed="false">
      <c r="A11" s="461" t="n">
        <v>2008</v>
      </c>
      <c r="B11" s="883" t="n">
        <v>871.707</v>
      </c>
      <c r="C11" s="883" t="n">
        <v>136.183</v>
      </c>
      <c r="D11" s="883" t="n">
        <v>61.5652</v>
      </c>
      <c r="E11" s="883" t="n">
        <v>93.7767</v>
      </c>
      <c r="F11" s="883" t="n">
        <v>97.66</v>
      </c>
      <c r="G11" s="883" t="n">
        <v>71.3999</v>
      </c>
      <c r="H11" s="883" t="n">
        <v>879.381</v>
      </c>
      <c r="I11" s="883" t="n">
        <v>492.725</v>
      </c>
      <c r="J11" s="883" t="n">
        <v>700.2</v>
      </c>
      <c r="K11" s="883" t="n">
        <v>597.118</v>
      </c>
      <c r="L11" s="883" t="n">
        <v>383.311</v>
      </c>
      <c r="M11" s="883" t="n">
        <v>286.952</v>
      </c>
      <c r="N11" s="883" t="n">
        <v>289.4</v>
      </c>
      <c r="O11" s="883" t="n">
        <v>862.918</v>
      </c>
      <c r="P11" s="883" t="n">
        <v>924.9</v>
      </c>
      <c r="Q11" s="883" t="n">
        <v>367.938</v>
      </c>
      <c r="R11" s="883" t="n">
        <v>1133.79</v>
      </c>
      <c r="S11" s="883" t="n">
        <v>30.8161</v>
      </c>
      <c r="T11" s="883" t="n">
        <v>12.4522</v>
      </c>
      <c r="U11" s="883" t="n">
        <v>21.3234</v>
      </c>
      <c r="V11" s="379"/>
    </row>
    <row r="12" s="166" customFormat="true" ht="11.45" hidden="false" customHeight="true" outlineLevel="0" collapsed="false">
      <c r="A12" s="840" t="n">
        <v>2009</v>
      </c>
      <c r="B12" s="1243" t="n">
        <v>972.966</v>
      </c>
      <c r="C12" s="1243" t="n">
        <v>76.9759</v>
      </c>
      <c r="D12" s="1243" t="n">
        <v>79.9939</v>
      </c>
      <c r="E12" s="1243" t="n">
        <v>61.7549</v>
      </c>
      <c r="F12" s="1243" t="n">
        <v>61.8606</v>
      </c>
      <c r="G12" s="1243" t="n">
        <v>62.752</v>
      </c>
      <c r="H12" s="1243" t="n">
        <v>257.417</v>
      </c>
      <c r="I12" s="1243" t="n">
        <v>249.574</v>
      </c>
      <c r="J12" s="1243" t="n">
        <v>589.376</v>
      </c>
      <c r="K12" s="1243" t="n">
        <v>582.69</v>
      </c>
      <c r="L12" s="1243" t="n">
        <v>246.969</v>
      </c>
      <c r="M12" s="1243" t="n">
        <v>190.112</v>
      </c>
      <c r="N12" s="1243" t="n">
        <v>200.2</v>
      </c>
      <c r="O12" s="1243" t="n">
        <v>644.068</v>
      </c>
      <c r="P12" s="1243" t="n">
        <v>634.092</v>
      </c>
      <c r="Q12" s="1243" t="n">
        <v>359.27</v>
      </c>
      <c r="R12" s="1243" t="n">
        <v>787.02</v>
      </c>
      <c r="S12" s="1243" t="n">
        <v>26.0146</v>
      </c>
      <c r="T12" s="1243" t="n">
        <v>18.1504</v>
      </c>
      <c r="U12" s="1243" t="n">
        <v>24.3357</v>
      </c>
      <c r="V12" s="1577"/>
    </row>
    <row r="13" s="222" customFormat="true" ht="11.45" hidden="false" customHeight="true" outlineLevel="0" collapsed="false">
      <c r="A13" s="461" t="n">
        <v>2010</v>
      </c>
      <c r="B13" s="160" t="n">
        <v>1224.66</v>
      </c>
      <c r="C13" s="160" t="n">
        <v>106.035</v>
      </c>
      <c r="D13" s="160" t="n">
        <v>146.72</v>
      </c>
      <c r="E13" s="160" t="n">
        <v>78.0579</v>
      </c>
      <c r="F13" s="160" t="n">
        <v>79.6315</v>
      </c>
      <c r="G13" s="160" t="n">
        <v>103.545</v>
      </c>
      <c r="H13" s="160" t="n">
        <v>381.89</v>
      </c>
      <c r="I13" s="160" t="n">
        <v>288.592</v>
      </c>
      <c r="J13" s="160" t="n">
        <v>520.556</v>
      </c>
      <c r="K13" s="160" t="n">
        <v>593.779</v>
      </c>
      <c r="L13" s="160" t="n">
        <v>241.829</v>
      </c>
      <c r="M13" s="160" t="n">
        <v>194.5</v>
      </c>
      <c r="N13" s="160" t="n">
        <v>233.5</v>
      </c>
      <c r="O13" s="160" t="n">
        <v>859.942</v>
      </c>
      <c r="P13" s="160" t="n">
        <v>819.531</v>
      </c>
      <c r="Q13" s="160" t="n">
        <v>331.317</v>
      </c>
      <c r="R13" s="160" t="n">
        <v>924.828</v>
      </c>
      <c r="S13" s="160" t="n">
        <v>25.7128</v>
      </c>
      <c r="T13" s="160" t="n">
        <v>20.8909</v>
      </c>
      <c r="U13" s="160" t="n">
        <v>31.0512</v>
      </c>
      <c r="V13" s="1416"/>
    </row>
    <row r="14" s="222" customFormat="true" ht="11.45" hidden="false" customHeight="true" outlineLevel="0" collapsed="false">
      <c r="A14" s="464" t="n">
        <v>2011</v>
      </c>
      <c r="B14" s="172" t="n">
        <v>1569.21</v>
      </c>
      <c r="C14" s="172" t="n">
        <v>130.123</v>
      </c>
      <c r="D14" s="172" t="n">
        <v>167.79</v>
      </c>
      <c r="E14" s="172" t="n">
        <v>106.027</v>
      </c>
      <c r="F14" s="172" t="n">
        <v>110.952</v>
      </c>
      <c r="G14" s="172" t="n">
        <v>154.608</v>
      </c>
      <c r="H14" s="172" t="n">
        <v>538.26</v>
      </c>
      <c r="I14" s="172" t="n">
        <v>420.96</v>
      </c>
      <c r="J14" s="172" t="n">
        <v>551.711</v>
      </c>
      <c r="K14" s="172" t="n">
        <v>593.492</v>
      </c>
      <c r="L14" s="172" t="n">
        <v>317.436</v>
      </c>
      <c r="M14" s="172" t="n">
        <v>279.989</v>
      </c>
      <c r="N14" s="172" t="n">
        <v>304.8</v>
      </c>
      <c r="O14" s="172" t="n">
        <v>1076.5</v>
      </c>
      <c r="P14" s="172" t="n">
        <v>1068.37</v>
      </c>
      <c r="Q14" s="172" t="n">
        <v>378.861</v>
      </c>
      <c r="R14" s="172" t="n">
        <v>1215.82</v>
      </c>
      <c r="S14" s="172" t="n">
        <v>26.6652</v>
      </c>
      <c r="T14" s="172" t="n">
        <v>26.2356</v>
      </c>
      <c r="U14" s="172" t="n">
        <v>37.5725</v>
      </c>
      <c r="V14" s="1416"/>
    </row>
    <row r="15" s="222" customFormat="true" ht="11.45" hidden="false" customHeight="true" outlineLevel="0" collapsed="false">
      <c r="A15" s="461" t="n">
        <v>2012</v>
      </c>
      <c r="B15" s="160" t="n">
        <v>1669.52</v>
      </c>
      <c r="C15" s="160" t="n">
        <v>103.247</v>
      </c>
      <c r="D15" s="160" t="n">
        <v>128.526</v>
      </c>
      <c r="E15" s="160" t="n">
        <v>108.919</v>
      </c>
      <c r="F15" s="160" t="n">
        <v>111.96</v>
      </c>
      <c r="G15" s="160" t="n">
        <v>89.241</v>
      </c>
      <c r="H15" s="160" t="n">
        <v>462</v>
      </c>
      <c r="I15" s="160" t="n">
        <v>405.402</v>
      </c>
      <c r="J15" s="160" t="n">
        <v>580.236</v>
      </c>
      <c r="K15" s="160" t="n">
        <v>683.029</v>
      </c>
      <c r="L15" s="160" t="n">
        <v>287.198</v>
      </c>
      <c r="M15" s="160" t="n">
        <v>276.122</v>
      </c>
      <c r="N15" s="160" t="n">
        <v>248.5</v>
      </c>
      <c r="O15" s="160" t="n">
        <v>939.834</v>
      </c>
      <c r="P15" s="160" t="n">
        <v>960.327</v>
      </c>
      <c r="Q15" s="160" t="n">
        <v>473.284</v>
      </c>
      <c r="R15" s="160" t="n">
        <v>1151.75</v>
      </c>
      <c r="S15" s="160" t="n">
        <v>26.3609</v>
      </c>
      <c r="T15" s="160" t="n">
        <v>21.3745</v>
      </c>
      <c r="U15" s="160" t="n">
        <v>28.8954</v>
      </c>
      <c r="V15" s="1416"/>
    </row>
    <row r="16" s="207" customFormat="true" ht="11.45" hidden="false" customHeight="true" outlineLevel="0" collapsed="false">
      <c r="A16" s="464" t="n">
        <v>2013</v>
      </c>
      <c r="B16" s="172" t="n">
        <v>1411.46</v>
      </c>
      <c r="C16" s="172" t="n">
        <v>90.6023</v>
      </c>
      <c r="D16" s="172" t="n">
        <v>135.361</v>
      </c>
      <c r="E16" s="172" t="n">
        <v>105.43</v>
      </c>
      <c r="F16" s="172" t="n">
        <v>108.844</v>
      </c>
      <c r="G16" s="172" t="n">
        <v>90.4006</v>
      </c>
      <c r="H16" s="172" t="n">
        <v>382.063</v>
      </c>
      <c r="I16" s="172" t="n">
        <v>340.123</v>
      </c>
      <c r="J16" s="172" t="n">
        <v>518.812</v>
      </c>
      <c r="K16" s="172" t="n">
        <v>658.726</v>
      </c>
      <c r="L16" s="172" t="n">
        <v>326.167</v>
      </c>
      <c r="M16" s="172" t="n">
        <v>265.751</v>
      </c>
      <c r="N16" s="172" t="n">
        <v>314</v>
      </c>
      <c r="O16" s="172" t="n">
        <v>764.197</v>
      </c>
      <c r="P16" s="172" t="n">
        <v>743.379</v>
      </c>
      <c r="Q16" s="172" t="n">
        <v>477.299</v>
      </c>
      <c r="R16" s="172" t="n">
        <v>1011.11</v>
      </c>
      <c r="S16" s="172" t="n">
        <v>26.0118</v>
      </c>
      <c r="T16" s="172" t="n">
        <v>17.7085</v>
      </c>
      <c r="U16" s="172" t="n">
        <v>21.2145</v>
      </c>
      <c r="V16" s="1416"/>
    </row>
    <row r="17" s="223" customFormat="true" ht="11.45" hidden="false" customHeight="true" outlineLevel="0" collapsed="false">
      <c r="A17" s="1390" t="n">
        <v>2014</v>
      </c>
      <c r="B17" s="886" t="n">
        <v>1265.58</v>
      </c>
      <c r="C17" s="886" t="n">
        <v>75.1393</v>
      </c>
      <c r="D17" s="886" t="n">
        <v>96.8415</v>
      </c>
      <c r="E17" s="886" t="n">
        <v>96.6641</v>
      </c>
      <c r="F17" s="886" t="n">
        <v>98.9433</v>
      </c>
      <c r="G17" s="886" t="n">
        <v>83.0967</v>
      </c>
      <c r="H17" s="886" t="n">
        <v>388.344</v>
      </c>
      <c r="I17" s="886" t="n">
        <v>316.21</v>
      </c>
      <c r="J17" s="886" t="s">
        <v>204</v>
      </c>
      <c r="K17" s="886" t="n">
        <v>490.764</v>
      </c>
      <c r="L17" s="886" t="n">
        <v>291.873</v>
      </c>
      <c r="M17" s="886" t="n">
        <v>242.496</v>
      </c>
      <c r="N17" s="886" t="n">
        <v>324.025</v>
      </c>
      <c r="O17" s="886" t="n">
        <v>739.408</v>
      </c>
      <c r="P17" s="886" t="n">
        <v>743.992</v>
      </c>
      <c r="Q17" s="886" t="n">
        <v>466.966</v>
      </c>
      <c r="R17" s="886" t="n">
        <v>812.71</v>
      </c>
      <c r="S17" s="886" t="n">
        <v>27.3944</v>
      </c>
      <c r="T17" s="886" t="n">
        <v>17.1264</v>
      </c>
      <c r="U17" s="886" t="n">
        <v>24.8654</v>
      </c>
      <c r="V17" s="1578"/>
    </row>
    <row r="18" s="207" customFormat="true" ht="11.45" hidden="false" customHeight="true" outlineLevel="0" collapsed="false">
      <c r="A18" s="1123" t="n">
        <v>2015</v>
      </c>
      <c r="B18" s="887" t="n">
        <f aca="false">AVERAGE(B19:B30)</f>
        <v>1160.66333333333</v>
      </c>
      <c r="C18" s="887" t="n">
        <f aca="false">AVERAGE(C19:C30)</f>
        <v>61.6186</v>
      </c>
      <c r="D18" s="887" t="n">
        <f aca="false">AVERAGE(D19:D30)</f>
        <v>55.2092666666667</v>
      </c>
      <c r="E18" s="887" t="n">
        <f aca="false">AVERAGE(E19:E30)</f>
        <v>51.23205</v>
      </c>
      <c r="F18" s="887" t="n">
        <f aca="false">AVERAGE(F19:F30)</f>
        <v>52.3994083333333</v>
      </c>
      <c r="G18" s="887" t="n">
        <f aca="false">AVERAGE(G19:G30)</f>
        <v>70.4171916666667</v>
      </c>
      <c r="H18" s="887" t="n">
        <f aca="false">AVERAGE(H19:H30)</f>
        <v>385</v>
      </c>
      <c r="I18" s="887" t="n">
        <f aca="false">AVERAGE(I19:I30)</f>
        <v>272.919416666667</v>
      </c>
      <c r="J18" s="887" t="s">
        <v>204</v>
      </c>
      <c r="K18" s="887" t="n">
        <f aca="false">AVERAGE(K19:K30)</f>
        <v>469.928833333333</v>
      </c>
      <c r="L18" s="887" t="s">
        <v>204</v>
      </c>
      <c r="M18" s="887" t="n">
        <f aca="false">AVERAGE(M19:M30)</f>
        <v>185.607333333333</v>
      </c>
      <c r="N18" s="887" t="n">
        <f aca="false">AVERAGE(N19:N30)</f>
        <v>236.216666666667</v>
      </c>
      <c r="O18" s="887" t="n">
        <f aca="false">AVERAGE(O19:O30)</f>
        <v>565.09</v>
      </c>
      <c r="P18" s="887" t="n">
        <f aca="false">AVERAGE(P19:P27)</f>
        <v>593.501444444445</v>
      </c>
      <c r="Q18" s="887" t="n">
        <f aca="false">AVERAGE(Q19:Q30)</f>
        <v>352.72175</v>
      </c>
      <c r="R18" s="887" t="n">
        <f aca="false">AVERAGE(R19:R30)</f>
        <v>672.164666666667</v>
      </c>
      <c r="S18" s="887" t="n">
        <f aca="false">AVERAGE(S19:S30)</f>
        <v>25.4239416666667</v>
      </c>
      <c r="T18" s="887" t="n">
        <f aca="false">AVERAGE(T19:T30)</f>
        <v>13.2386583333333</v>
      </c>
      <c r="U18" s="887" t="n">
        <f aca="false">AVERAGE(U19:U30)</f>
        <v>24.850825</v>
      </c>
      <c r="V18" s="1416"/>
    </row>
    <row r="19" s="207" customFormat="true" ht="11.45" hidden="false" customHeight="true" outlineLevel="0" collapsed="false">
      <c r="A19" s="842" t="s">
        <v>220</v>
      </c>
      <c r="B19" s="187" t="n">
        <v>1250.75</v>
      </c>
      <c r="C19" s="187" t="n">
        <v>66.5357</v>
      </c>
      <c r="D19" s="187" t="n">
        <v>67.3864</v>
      </c>
      <c r="E19" s="187" t="n">
        <v>46.335</v>
      </c>
      <c r="F19" s="187" t="n">
        <v>48.4168</v>
      </c>
      <c r="G19" s="187" t="n">
        <v>67.35</v>
      </c>
      <c r="H19" s="187" t="n">
        <v>400</v>
      </c>
      <c r="I19" s="187" t="n">
        <v>319.2</v>
      </c>
      <c r="J19" s="187" t="s">
        <v>204</v>
      </c>
      <c r="K19" s="187" t="n">
        <v>546.592</v>
      </c>
      <c r="L19" s="187" t="s">
        <v>204</v>
      </c>
      <c r="M19" s="187" t="n">
        <v>210.608</v>
      </c>
      <c r="N19" s="187" t="n">
        <v>261.8</v>
      </c>
      <c r="O19" s="187" t="n">
        <v>641.597</v>
      </c>
      <c r="P19" s="187" t="n">
        <v>617.112</v>
      </c>
      <c r="Q19" s="187" t="n">
        <v>379.041</v>
      </c>
      <c r="R19" s="187" t="n">
        <v>707.881</v>
      </c>
      <c r="S19" s="187" t="n">
        <v>25.1702</v>
      </c>
      <c r="T19" s="187" t="n">
        <v>15.0625</v>
      </c>
      <c r="U19" s="187" t="n">
        <v>25.24</v>
      </c>
      <c r="V19" s="1416"/>
      <c r="X19" s="1416"/>
    </row>
    <row r="20" s="207" customFormat="true" ht="11.45" hidden="false" customHeight="true" outlineLevel="0" collapsed="false">
      <c r="A20" s="840" t="s">
        <v>221</v>
      </c>
      <c r="B20" s="193" t="n">
        <v>1227.08</v>
      </c>
      <c r="C20" s="193" t="n">
        <v>65.7857</v>
      </c>
      <c r="D20" s="193" t="n">
        <v>62.69</v>
      </c>
      <c r="E20" s="193" t="n">
        <v>56.15</v>
      </c>
      <c r="F20" s="193" t="n">
        <v>57.9305</v>
      </c>
      <c r="G20" s="193" t="n">
        <v>69.8425</v>
      </c>
      <c r="H20" s="193" t="n">
        <v>400</v>
      </c>
      <c r="I20" s="193" t="n">
        <v>297</v>
      </c>
      <c r="J20" s="193" t="s">
        <v>204</v>
      </c>
      <c r="K20" s="193" t="n">
        <v>501.765</v>
      </c>
      <c r="L20" s="193" t="s">
        <v>204</v>
      </c>
      <c r="M20" s="193" t="n">
        <v>201.714</v>
      </c>
      <c r="N20" s="193" t="n">
        <v>253</v>
      </c>
      <c r="O20" s="193" t="n">
        <v>634.378</v>
      </c>
      <c r="P20" s="193" t="n">
        <v>628.543</v>
      </c>
      <c r="Q20" s="193" t="n">
        <v>374.252</v>
      </c>
      <c r="R20" s="193" t="n">
        <v>697.936</v>
      </c>
      <c r="S20" s="193" t="n">
        <v>25.4854</v>
      </c>
      <c r="T20" s="193" t="n">
        <v>14.5121</v>
      </c>
      <c r="U20" s="193" t="n">
        <v>24.62</v>
      </c>
      <c r="V20" s="1416"/>
      <c r="X20" s="1416"/>
    </row>
    <row r="21" s="207" customFormat="true" ht="11.45" hidden="false" customHeight="true" outlineLevel="0" collapsed="false">
      <c r="A21" s="842" t="s">
        <v>222</v>
      </c>
      <c r="B21" s="187" t="n">
        <v>1178.63</v>
      </c>
      <c r="C21" s="187" t="n">
        <v>64.4089</v>
      </c>
      <c r="D21" s="187" t="n">
        <v>56.9409</v>
      </c>
      <c r="E21" s="187" t="n">
        <v>54.9091</v>
      </c>
      <c r="F21" s="187" t="n">
        <v>55.7914</v>
      </c>
      <c r="G21" s="187" t="n">
        <v>69.3523</v>
      </c>
      <c r="H21" s="187" t="n">
        <v>400</v>
      </c>
      <c r="I21" s="187" t="n">
        <v>271</v>
      </c>
      <c r="J21" s="187" t="s">
        <v>204</v>
      </c>
      <c r="K21" s="187" t="n">
        <v>503.849</v>
      </c>
      <c r="L21" s="187" t="s">
        <v>204</v>
      </c>
      <c r="M21" s="187" t="n">
        <v>202.679</v>
      </c>
      <c r="N21" s="187" t="n">
        <v>250.4</v>
      </c>
      <c r="O21" s="187" t="n">
        <v>607.655</v>
      </c>
      <c r="P21" s="187" t="n">
        <v>615.986</v>
      </c>
      <c r="Q21" s="187" t="n">
        <v>364.86</v>
      </c>
      <c r="R21" s="187" t="n">
        <v>683.432</v>
      </c>
      <c r="S21" s="187" t="n">
        <v>24.9069</v>
      </c>
      <c r="T21" s="187" t="n">
        <v>12.8409</v>
      </c>
      <c r="U21" s="187" t="n">
        <v>24.4</v>
      </c>
      <c r="V21" s="1416"/>
      <c r="X21" s="1416"/>
    </row>
    <row r="22" s="207" customFormat="true" ht="11.45" hidden="false" customHeight="true" outlineLevel="0" collapsed="false">
      <c r="A22" s="840" t="s">
        <v>223</v>
      </c>
      <c r="B22" s="193" t="n">
        <v>1198.93</v>
      </c>
      <c r="C22" s="193" t="n">
        <v>61.9439</v>
      </c>
      <c r="D22" s="193" t="n">
        <v>51.15</v>
      </c>
      <c r="E22" s="193" t="n">
        <v>58.6655</v>
      </c>
      <c r="F22" s="193" t="n">
        <v>59.3895</v>
      </c>
      <c r="G22" s="193" t="n">
        <v>71.7025</v>
      </c>
      <c r="H22" s="193" t="n">
        <v>380</v>
      </c>
      <c r="I22" s="193" t="n">
        <v>259</v>
      </c>
      <c r="J22" s="193" t="s">
        <v>204</v>
      </c>
      <c r="K22" s="193" t="n">
        <v>504.224</v>
      </c>
      <c r="L22" s="193" t="s">
        <v>204</v>
      </c>
      <c r="M22" s="193" t="n">
        <v>195.896</v>
      </c>
      <c r="N22" s="193" t="n">
        <v>234.3</v>
      </c>
      <c r="O22" s="193" t="n">
        <v>591.788</v>
      </c>
      <c r="P22" s="193" t="n">
        <v>604.042</v>
      </c>
      <c r="Q22" s="193" t="n">
        <v>349.711</v>
      </c>
      <c r="R22" s="193" t="n">
        <v>691.673</v>
      </c>
      <c r="S22" s="193" t="n">
        <v>24.8533</v>
      </c>
      <c r="T22" s="193" t="n">
        <v>12.911</v>
      </c>
      <c r="U22" s="193" t="n">
        <v>24.39</v>
      </c>
      <c r="V22" s="1416"/>
      <c r="X22" s="1416"/>
    </row>
    <row r="23" s="207" customFormat="true" ht="11.45" hidden="false" customHeight="true" outlineLevel="0" collapsed="false">
      <c r="A23" s="842" t="s">
        <v>224</v>
      </c>
      <c r="B23" s="187" t="n">
        <v>1198.63</v>
      </c>
      <c r="C23" s="187" t="n">
        <v>64.7115</v>
      </c>
      <c r="D23" s="187" t="n">
        <v>60.2333</v>
      </c>
      <c r="E23" s="187" t="n">
        <v>63.6748</v>
      </c>
      <c r="F23" s="187" t="n">
        <v>64.5614</v>
      </c>
      <c r="G23" s="187" t="n">
        <v>72.8632</v>
      </c>
      <c r="H23" s="187" t="n">
        <v>380</v>
      </c>
      <c r="I23" s="187" t="n">
        <v>280</v>
      </c>
      <c r="J23" s="187" t="s">
        <v>204</v>
      </c>
      <c r="K23" s="187" t="n">
        <v>444.743</v>
      </c>
      <c r="L23" s="187" t="s">
        <v>204</v>
      </c>
      <c r="M23" s="187" t="n">
        <v>193.152</v>
      </c>
      <c r="N23" s="187" t="n">
        <v>234.5</v>
      </c>
      <c r="O23" s="187" t="n">
        <v>601.397</v>
      </c>
      <c r="P23" s="187" t="n">
        <v>595.471</v>
      </c>
      <c r="Q23" s="187" t="n">
        <v>340.471</v>
      </c>
      <c r="R23" s="187" t="n">
        <v>716.49</v>
      </c>
      <c r="S23" s="187" t="n">
        <v>25.7325</v>
      </c>
      <c r="T23" s="187" t="n">
        <v>12.7035</v>
      </c>
      <c r="U23" s="187" t="n">
        <v>24.72</v>
      </c>
      <c r="V23" s="1416"/>
      <c r="X23" s="1416"/>
    </row>
    <row r="24" s="207" customFormat="true" ht="11.45" hidden="false" customHeight="true" outlineLevel="0" collapsed="false">
      <c r="A24" s="840" t="s">
        <v>225</v>
      </c>
      <c r="B24" s="193" t="n">
        <v>1181.5</v>
      </c>
      <c r="C24" s="193" t="n">
        <v>63.0438</v>
      </c>
      <c r="D24" s="193" t="n">
        <v>62.2864</v>
      </c>
      <c r="E24" s="193" t="n">
        <v>61.7586</v>
      </c>
      <c r="F24" s="193" t="n">
        <v>62.3459</v>
      </c>
      <c r="G24" s="193" t="n">
        <v>72.3523</v>
      </c>
      <c r="H24" s="193" t="n">
        <v>380</v>
      </c>
      <c r="I24" s="193" t="n">
        <v>292</v>
      </c>
      <c r="J24" s="193" t="s">
        <v>204</v>
      </c>
      <c r="K24" s="193" t="n">
        <v>466.176</v>
      </c>
      <c r="L24" s="193" t="s">
        <v>204</v>
      </c>
      <c r="M24" s="193" t="n">
        <v>199.823</v>
      </c>
      <c r="N24" s="193" t="n">
        <v>233.4</v>
      </c>
      <c r="O24" s="193" t="n">
        <v>606.404</v>
      </c>
      <c r="P24" s="193" t="n">
        <v>593.161</v>
      </c>
      <c r="Q24" s="193" t="n">
        <v>353.902</v>
      </c>
      <c r="R24" s="193" t="n">
        <v>738.037</v>
      </c>
      <c r="S24" s="193" t="n">
        <v>25.8652</v>
      </c>
      <c r="T24" s="193" t="n">
        <v>12.1136</v>
      </c>
      <c r="U24" s="193" t="n">
        <v>24.76</v>
      </c>
      <c r="V24" s="1416"/>
      <c r="X24" s="1416"/>
    </row>
    <row r="25" s="207" customFormat="true" ht="11.45" hidden="false" customHeight="true" outlineLevel="0" collapsed="false">
      <c r="A25" s="842" t="s">
        <v>214</v>
      </c>
      <c r="B25" s="187" t="n">
        <v>1128.31</v>
      </c>
      <c r="C25" s="187" t="n">
        <v>63.354</v>
      </c>
      <c r="D25" s="187" t="n">
        <v>51.5043</v>
      </c>
      <c r="E25" s="187" t="n">
        <v>56.2661</v>
      </c>
      <c r="F25" s="187" t="n">
        <v>55.8657</v>
      </c>
      <c r="G25" s="187" t="n">
        <v>72.3478</v>
      </c>
      <c r="H25" s="187" t="n">
        <v>380</v>
      </c>
      <c r="I25" s="187" t="n">
        <v>273</v>
      </c>
      <c r="J25" s="187" t="s">
        <v>204</v>
      </c>
      <c r="K25" s="187" t="n">
        <v>460.578</v>
      </c>
      <c r="L25" s="187" t="s">
        <v>204</v>
      </c>
      <c r="M25" s="187" t="n">
        <v>199.197</v>
      </c>
      <c r="N25" s="187" t="n">
        <v>225.6</v>
      </c>
      <c r="O25" s="187" t="n">
        <v>575.682</v>
      </c>
      <c r="P25" s="187" t="n">
        <v>587.588</v>
      </c>
      <c r="Q25" s="187" t="n">
        <v>394.642</v>
      </c>
      <c r="R25" s="187" t="n">
        <v>695.788</v>
      </c>
      <c r="S25" s="187" t="n">
        <v>25.8688</v>
      </c>
      <c r="T25" s="187" t="n">
        <v>11.8786</v>
      </c>
      <c r="U25" s="187" t="n">
        <v>24.67</v>
      </c>
      <c r="V25" s="1416"/>
      <c r="X25" s="1416"/>
    </row>
    <row r="26" s="207" customFormat="true" ht="11.45" hidden="false" customHeight="true" outlineLevel="0" collapsed="false">
      <c r="A26" s="840" t="s">
        <v>215</v>
      </c>
      <c r="B26" s="193" t="n">
        <v>1117.93</v>
      </c>
      <c r="C26" s="193" t="n">
        <v>62.7562</v>
      </c>
      <c r="D26" s="193" t="n">
        <v>55.381</v>
      </c>
      <c r="E26" s="193" t="n">
        <v>47.3033</v>
      </c>
      <c r="F26" s="193" t="n">
        <v>46.9943</v>
      </c>
      <c r="G26" s="193" t="n">
        <v>71.8225</v>
      </c>
      <c r="H26" s="193" t="n">
        <v>380</v>
      </c>
      <c r="I26" s="193" t="n">
        <v>273</v>
      </c>
      <c r="J26" s="193" t="s">
        <v>204</v>
      </c>
      <c r="K26" s="193" t="n">
        <v>451.36</v>
      </c>
      <c r="L26" s="193" t="s">
        <v>204</v>
      </c>
      <c r="M26" s="193" t="n">
        <v>173.469</v>
      </c>
      <c r="N26" s="193" t="n">
        <v>230.2</v>
      </c>
      <c r="O26" s="193" t="n">
        <v>484.678</v>
      </c>
      <c r="P26" s="193" t="n">
        <v>538.529</v>
      </c>
      <c r="Q26" s="193" t="n">
        <v>370.408</v>
      </c>
      <c r="R26" s="193" t="n">
        <v>628.747</v>
      </c>
      <c r="S26" s="193" t="n">
        <v>25.9477</v>
      </c>
      <c r="T26" s="193" t="n">
        <v>10.6748</v>
      </c>
      <c r="U26" s="193" t="n">
        <v>24.5</v>
      </c>
      <c r="V26" s="1416"/>
      <c r="X26" s="1416"/>
    </row>
    <row r="27" s="207" customFormat="true" ht="11.45" hidden="false" customHeight="true" outlineLevel="0" collapsed="false">
      <c r="A27" s="842" t="s">
        <v>216</v>
      </c>
      <c r="B27" s="187" t="n">
        <v>1124.77</v>
      </c>
      <c r="C27" s="187" t="n">
        <v>58.6558</v>
      </c>
      <c r="D27" s="187" t="n">
        <v>56.4318</v>
      </c>
      <c r="E27" s="187" t="n">
        <v>46.1445</v>
      </c>
      <c r="F27" s="187" t="n">
        <v>47.2345</v>
      </c>
      <c r="G27" s="187" t="n">
        <v>68.7364</v>
      </c>
      <c r="H27" s="187" t="n">
        <v>380</v>
      </c>
      <c r="I27" s="187" t="n">
        <v>259</v>
      </c>
      <c r="J27" s="187"/>
      <c r="K27" s="187" t="n">
        <v>458.157</v>
      </c>
      <c r="L27" s="187" t="s">
        <v>204</v>
      </c>
      <c r="M27" s="187" t="n">
        <v>163.827</v>
      </c>
      <c r="N27" s="187" t="n">
        <v>229.7</v>
      </c>
      <c r="O27" s="187" t="n">
        <v>483.487</v>
      </c>
      <c r="P27" s="187" t="n">
        <v>561.081</v>
      </c>
      <c r="Q27" s="187" t="n">
        <v>342.955</v>
      </c>
      <c r="R27" s="187" t="n">
        <v>590.25</v>
      </c>
      <c r="S27" s="187" t="n">
        <v>25.5358</v>
      </c>
      <c r="T27" s="187" t="n">
        <v>12.1371</v>
      </c>
      <c r="U27" s="187" t="n">
        <v>24.4348</v>
      </c>
      <c r="V27" s="1416"/>
      <c r="X27" s="1416"/>
    </row>
    <row r="28" s="207" customFormat="true" ht="11.45" hidden="false" customHeight="true" outlineLevel="0" collapsed="false">
      <c r="A28" s="840" t="s">
        <v>217</v>
      </c>
      <c r="B28" s="193" t="n">
        <v>1159.25</v>
      </c>
      <c r="C28" s="193" t="n">
        <v>56.0503</v>
      </c>
      <c r="D28" s="193" t="n">
        <v>52.7409</v>
      </c>
      <c r="E28" s="193" t="n">
        <v>46.5518</v>
      </c>
      <c r="F28" s="193" t="n">
        <v>48.1241</v>
      </c>
      <c r="G28" s="193" t="n">
        <v>69.0273</v>
      </c>
      <c r="H28" s="193" t="n">
        <v>380</v>
      </c>
      <c r="I28" s="193" t="n">
        <v>255</v>
      </c>
      <c r="J28" s="193" t="s">
        <v>204</v>
      </c>
      <c r="K28" s="193" t="n">
        <v>405.636</v>
      </c>
      <c r="L28" s="193" t="s">
        <v>204</v>
      </c>
      <c r="M28" s="193" t="n">
        <v>165.388</v>
      </c>
      <c r="N28" s="193" t="n">
        <v>226</v>
      </c>
      <c r="O28" s="193" t="n">
        <v>530.247</v>
      </c>
      <c r="P28" s="193" t="s">
        <v>204</v>
      </c>
      <c r="Q28" s="193" t="n">
        <v>338.214</v>
      </c>
      <c r="R28" s="193" t="n">
        <v>623.807</v>
      </c>
      <c r="S28" s="193" t="n">
        <v>25.5</v>
      </c>
      <c r="T28" s="193" t="n">
        <v>14.1418</v>
      </c>
      <c r="U28" s="193" t="n">
        <v>25.0382</v>
      </c>
      <c r="V28" s="1416"/>
      <c r="X28" s="1416"/>
    </row>
    <row r="29" s="207" customFormat="true" ht="11.45" hidden="false" customHeight="true" outlineLevel="0" collapsed="false">
      <c r="A29" s="842" t="s">
        <v>218</v>
      </c>
      <c r="B29" s="187" t="n">
        <v>1086.44</v>
      </c>
      <c r="C29" s="187" t="n">
        <v>56.3265</v>
      </c>
      <c r="D29" s="187" t="n">
        <v>46.1619</v>
      </c>
      <c r="E29" s="187" t="n">
        <v>42.3233</v>
      </c>
      <c r="F29" s="187" t="n">
        <v>44.4171</v>
      </c>
      <c r="G29" s="187" t="n">
        <v>69.2214</v>
      </c>
      <c r="H29" s="187" t="n">
        <v>380</v>
      </c>
      <c r="I29" s="187" t="n">
        <v>257</v>
      </c>
      <c r="J29" s="187" t="s">
        <v>204</v>
      </c>
      <c r="K29" s="187" t="n">
        <v>460.501</v>
      </c>
      <c r="L29" s="187" t="s">
        <v>204</v>
      </c>
      <c r="M29" s="187" t="n">
        <v>157.742</v>
      </c>
      <c r="N29" s="187" t="n">
        <v>229.7</v>
      </c>
      <c r="O29" s="187" t="n">
        <v>503.164</v>
      </c>
      <c r="P29" s="187" t="s">
        <v>204</v>
      </c>
      <c r="Q29" s="187" t="n">
        <v>320.343</v>
      </c>
      <c r="R29" s="187" t="n">
        <v>614.736</v>
      </c>
      <c r="S29" s="187" t="n">
        <v>25.2958</v>
      </c>
      <c r="T29" s="187" t="n">
        <v>14.888</v>
      </c>
      <c r="U29" s="187" t="n">
        <v>25.606</v>
      </c>
      <c r="V29" s="1416"/>
      <c r="X29" s="1416"/>
    </row>
    <row r="30" s="207" customFormat="true" ht="11.45" hidden="false" customHeight="true" outlineLevel="0" collapsed="false">
      <c r="A30" s="840" t="s">
        <v>219</v>
      </c>
      <c r="B30" s="193" t="n">
        <v>1075.74</v>
      </c>
      <c r="C30" s="193" t="n">
        <v>55.8509</v>
      </c>
      <c r="D30" s="193" t="n">
        <v>39.6043</v>
      </c>
      <c r="E30" s="193" t="n">
        <v>34.7026</v>
      </c>
      <c r="F30" s="193" t="n">
        <v>37.7217</v>
      </c>
      <c r="G30" s="193" t="n">
        <v>70.3881</v>
      </c>
      <c r="H30" s="193" t="n">
        <v>380</v>
      </c>
      <c r="I30" s="193" t="n">
        <v>239.833</v>
      </c>
      <c r="J30" s="193" t="s">
        <v>204</v>
      </c>
      <c r="K30" s="193" t="n">
        <v>435.565</v>
      </c>
      <c r="L30" s="193" t="s">
        <v>204</v>
      </c>
      <c r="M30" s="193" t="n">
        <v>163.793</v>
      </c>
      <c r="N30" s="193" t="n">
        <v>226</v>
      </c>
      <c r="O30" s="193" t="n">
        <v>520.603</v>
      </c>
      <c r="P30" s="193" t="s">
        <v>204</v>
      </c>
      <c r="Q30" s="193" t="n">
        <v>303.862</v>
      </c>
      <c r="R30" s="193" t="n">
        <v>677.199</v>
      </c>
      <c r="S30" s="193" t="n">
        <v>24.9257</v>
      </c>
      <c r="T30" s="193" t="n">
        <v>15</v>
      </c>
      <c r="U30" s="193" t="n">
        <v>25.8309</v>
      </c>
      <c r="V30" s="1416"/>
      <c r="X30" s="1416"/>
    </row>
    <row r="31" s="207" customFormat="true" ht="11.45" hidden="false" customHeight="true" outlineLevel="0" collapsed="false">
      <c r="A31" s="1122" t="n">
        <v>2016</v>
      </c>
      <c r="B31" s="886" t="n">
        <f aca="false">AVERAGE(B32:B43)</f>
        <v>1249.00916666667</v>
      </c>
      <c r="C31" s="886" t="n">
        <f aca="false">AVERAGE(C32:C43)</f>
        <v>70.595975</v>
      </c>
      <c r="D31" s="886" t="n">
        <f aca="false">AVERAGE(D32:D43)</f>
        <v>57.9276083333333</v>
      </c>
      <c r="E31" s="886" t="n">
        <f aca="false">AVERAGE(E32:E43)</f>
        <v>41.2393416666667</v>
      </c>
      <c r="F31" s="886" t="n">
        <f aca="false">AVERAGE(F32:F43)</f>
        <v>44.0432833333333</v>
      </c>
      <c r="G31" s="886" t="n">
        <f aca="false">AVERAGE(G32:G43)</f>
        <v>74.221425</v>
      </c>
      <c r="H31" s="886" t="n">
        <f aca="false">AVERAGE(H32:H43)</f>
        <v>290.5</v>
      </c>
      <c r="I31" s="886" t="n">
        <f aca="false">AVERAGE(I32:I43)</f>
        <v>199.25</v>
      </c>
      <c r="J31" s="886" t="s">
        <v>204</v>
      </c>
      <c r="K31" s="886" t="n">
        <f aca="false">AVERAGE(K32:K43)</f>
        <v>447.199416666667</v>
      </c>
      <c r="L31" s="886" t="s">
        <v>204</v>
      </c>
      <c r="M31" s="886" t="n">
        <f aca="false">AVERAGE(M32:M43)</f>
        <v>143.1505</v>
      </c>
      <c r="N31" s="886" t="s">
        <v>204</v>
      </c>
      <c r="O31" s="886" t="n">
        <f aca="false">AVERAGE(O32:O43)</f>
        <v>639.91375</v>
      </c>
      <c r="P31" s="886" t="n">
        <f aca="false">AVERAGE(P32:P43)</f>
        <v>678.028571428571</v>
      </c>
      <c r="Q31" s="886" t="n">
        <f aca="false">AVERAGE(Q32:Q43)</f>
        <v>350.160583333333</v>
      </c>
      <c r="R31" s="886" t="n">
        <f aca="false">AVERAGE(R32:R43)</f>
        <v>721.166</v>
      </c>
      <c r="S31" s="886" t="n">
        <f aca="false">AVERAGE(S32:S43)</f>
        <v>22.5372833333333</v>
      </c>
      <c r="T31" s="886" t="n">
        <f aca="false">AVERAGE(T32:T43)</f>
        <v>18.25285</v>
      </c>
      <c r="U31" s="886" t="n">
        <f aca="false">AVERAGE(U32:U43)</f>
        <v>27.47915</v>
      </c>
      <c r="V31" s="1416"/>
    </row>
    <row r="32" s="207" customFormat="true" ht="11.45" hidden="false" customHeight="true" outlineLevel="0" collapsed="false">
      <c r="A32" s="840" t="s">
        <v>220</v>
      </c>
      <c r="B32" s="193" t="n">
        <v>1097.91</v>
      </c>
      <c r="C32" s="193" t="n">
        <v>53.3739</v>
      </c>
      <c r="D32" s="193" t="n">
        <v>41.2524</v>
      </c>
      <c r="E32" s="193" t="n">
        <v>27.2467</v>
      </c>
      <c r="F32" s="193" t="n">
        <v>30.8033</v>
      </c>
      <c r="G32" s="193" t="n">
        <v>68.75</v>
      </c>
      <c r="H32" s="193" t="n">
        <v>380</v>
      </c>
      <c r="I32" s="193" t="n">
        <v>214</v>
      </c>
      <c r="J32" s="193" t="s">
        <v>204</v>
      </c>
      <c r="K32" s="193" t="n">
        <v>419.297</v>
      </c>
      <c r="L32" s="193" t="s">
        <v>204</v>
      </c>
      <c r="M32" s="193" t="n">
        <v>164.558</v>
      </c>
      <c r="N32" s="193" t="s">
        <v>204</v>
      </c>
      <c r="O32" s="193" t="n">
        <v>531.619</v>
      </c>
      <c r="P32" s="193" t="s">
        <v>204</v>
      </c>
      <c r="Q32" s="193" t="n">
        <v>297.177</v>
      </c>
      <c r="R32" s="193" t="n">
        <v>659.901</v>
      </c>
      <c r="S32" s="193" t="n">
        <v>23.9497</v>
      </c>
      <c r="T32" s="193" t="n">
        <v>14.2911</v>
      </c>
      <c r="U32" s="193" t="n">
        <v>25.8316</v>
      </c>
      <c r="V32" s="1416"/>
      <c r="X32" s="1416"/>
    </row>
    <row r="33" s="207" customFormat="true" ht="12" hidden="false" customHeight="true" outlineLevel="0" collapsed="false">
      <c r="A33" s="842" t="s">
        <v>221</v>
      </c>
      <c r="B33" s="187" t="n">
        <v>1199.5</v>
      </c>
      <c r="C33" s="187" t="n">
        <v>54.3295</v>
      </c>
      <c r="D33" s="187" t="n">
        <v>46.1762</v>
      </c>
      <c r="E33" s="187" t="n">
        <v>29.6148</v>
      </c>
      <c r="F33" s="187" t="n">
        <v>33.1981</v>
      </c>
      <c r="G33" s="187" t="n">
        <v>66.5714</v>
      </c>
      <c r="H33" s="187" t="n">
        <v>329</v>
      </c>
      <c r="I33" s="187" t="n">
        <v>209</v>
      </c>
      <c r="J33" s="187" t="s">
        <v>204</v>
      </c>
      <c r="K33" s="187" t="n">
        <v>448.315</v>
      </c>
      <c r="L33" s="187" t="s">
        <v>204</v>
      </c>
      <c r="M33" s="187" t="n">
        <v>159.252</v>
      </c>
      <c r="N33" s="187" t="s">
        <v>204</v>
      </c>
      <c r="O33" s="187" t="n">
        <v>595.901</v>
      </c>
      <c r="P33" s="187" t="s">
        <v>204</v>
      </c>
      <c r="Q33" s="187" t="n">
        <v>291.368</v>
      </c>
      <c r="R33" s="187" t="n">
        <v>686.904</v>
      </c>
      <c r="S33" s="187" t="n">
        <v>23.7708</v>
      </c>
      <c r="T33" s="187" t="n">
        <v>13.2905</v>
      </c>
      <c r="U33" s="187" t="n">
        <v>25.4985</v>
      </c>
      <c r="V33" s="1416"/>
      <c r="X33" s="1416"/>
    </row>
    <row r="34" s="207" customFormat="true" ht="11.45" hidden="false" customHeight="true" outlineLevel="0" collapsed="false">
      <c r="A34" s="840" t="s">
        <v>222</v>
      </c>
      <c r="B34" s="193" t="n">
        <v>1245.14</v>
      </c>
      <c r="C34" s="193" t="n">
        <v>55.9179</v>
      </c>
      <c r="D34" s="193" t="n">
        <v>55.5217</v>
      </c>
      <c r="E34" s="193" t="n">
        <v>35.173</v>
      </c>
      <c r="F34" s="193" t="n">
        <v>39.0709</v>
      </c>
      <c r="G34" s="193" t="n">
        <v>65.4571</v>
      </c>
      <c r="H34" s="193" t="n">
        <v>275</v>
      </c>
      <c r="I34" s="193" t="n">
        <v>203</v>
      </c>
      <c r="J34" s="193" t="s">
        <v>204</v>
      </c>
      <c r="K34" s="193" t="n">
        <v>434.281</v>
      </c>
      <c r="L34" s="193" t="s">
        <v>204</v>
      </c>
      <c r="M34" s="193" t="n">
        <v>164.031</v>
      </c>
      <c r="N34" s="193" t="s">
        <v>204</v>
      </c>
      <c r="O34" s="193" t="n">
        <v>633.068</v>
      </c>
      <c r="P34" s="193" t="s">
        <v>204</v>
      </c>
      <c r="Q34" s="193" t="n">
        <v>296.181</v>
      </c>
      <c r="R34" s="193" t="n">
        <v>713.856</v>
      </c>
      <c r="S34" s="193" t="n">
        <v>23.6567</v>
      </c>
      <c r="T34" s="193" t="n">
        <v>15.435</v>
      </c>
      <c r="U34" s="193" t="n">
        <v>26.3168</v>
      </c>
      <c r="V34" s="1416"/>
      <c r="X34" s="1416"/>
    </row>
    <row r="35" s="207" customFormat="true" ht="11.45" hidden="false" customHeight="true" outlineLevel="0" collapsed="false">
      <c r="A35" s="842" t="s">
        <v>223</v>
      </c>
      <c r="B35" s="187" t="n">
        <v>1242.26</v>
      </c>
      <c r="C35" s="187" t="n">
        <v>54.8304</v>
      </c>
      <c r="D35" s="187" t="n">
        <v>59.581</v>
      </c>
      <c r="E35" s="187" t="n">
        <v>39.0376</v>
      </c>
      <c r="F35" s="187" t="n">
        <v>42.2471</v>
      </c>
      <c r="G35" s="187" t="n">
        <v>69.2786</v>
      </c>
      <c r="H35" s="187" t="n">
        <v>278</v>
      </c>
      <c r="I35" s="187" t="n">
        <v>204</v>
      </c>
      <c r="J35" s="187" t="s">
        <v>204</v>
      </c>
      <c r="K35" s="187" t="n">
        <v>441.2</v>
      </c>
      <c r="L35" s="187" t="s">
        <v>204</v>
      </c>
      <c r="M35" s="187" t="n">
        <v>163.365</v>
      </c>
      <c r="N35" s="187" t="s">
        <v>204</v>
      </c>
      <c r="O35" s="187" t="n">
        <v>681.077</v>
      </c>
      <c r="P35" s="187" t="n">
        <v>669.2</v>
      </c>
      <c r="Q35" s="187" t="n">
        <v>327.701</v>
      </c>
      <c r="R35" s="187" t="n">
        <v>748.531</v>
      </c>
      <c r="S35" s="187" t="n">
        <v>23.6702</v>
      </c>
      <c r="T35" s="187" t="n">
        <v>15.2176</v>
      </c>
      <c r="U35" s="187" t="n">
        <v>27.9029</v>
      </c>
      <c r="V35" s="1416"/>
      <c r="X35" s="1416"/>
    </row>
    <row r="36" s="207" customFormat="true" ht="11.45" hidden="false" customHeight="true" outlineLevel="0" collapsed="false">
      <c r="A36" s="840" t="s">
        <v>224</v>
      </c>
      <c r="B36" s="193" t="n">
        <v>1261</v>
      </c>
      <c r="C36" s="193" t="n">
        <v>55.2</v>
      </c>
      <c r="D36" s="193" t="n">
        <v>54.9</v>
      </c>
      <c r="E36" s="193" t="n">
        <v>44</v>
      </c>
      <c r="F36" s="193" t="n">
        <v>47.1</v>
      </c>
      <c r="G36" s="193" t="n">
        <v>70.3</v>
      </c>
      <c r="H36" s="193" t="n">
        <v>284</v>
      </c>
      <c r="I36" s="193" t="n">
        <v>200</v>
      </c>
      <c r="J36" s="193" t="s">
        <v>204</v>
      </c>
      <c r="K36" s="193" t="n">
        <v>448</v>
      </c>
      <c r="L36" s="193" t="s">
        <v>204</v>
      </c>
      <c r="M36" s="193" t="n">
        <v>157.5</v>
      </c>
      <c r="N36" s="193" t="s">
        <v>204</v>
      </c>
      <c r="O36" s="193" t="n">
        <v>644.6</v>
      </c>
      <c r="P36" s="193" t="s">
        <v>204</v>
      </c>
      <c r="Q36" s="193" t="n">
        <v>407.5</v>
      </c>
      <c r="R36" s="193" t="n">
        <v>707</v>
      </c>
      <c r="S36" s="193" t="n">
        <v>24.2</v>
      </c>
      <c r="T36" s="193" t="n">
        <v>16.7</v>
      </c>
      <c r="U36" s="193" t="n">
        <v>27.3</v>
      </c>
      <c r="V36" s="1416"/>
    </row>
    <row r="37" s="207" customFormat="true" ht="11.45" hidden="false" customHeight="true" outlineLevel="0" collapsed="false">
      <c r="A37" s="842" t="s">
        <v>225</v>
      </c>
      <c r="B37" s="187" t="n">
        <v>1276.4</v>
      </c>
      <c r="C37" s="187" t="n">
        <v>57</v>
      </c>
      <c r="D37" s="187" t="n">
        <v>51.4</v>
      </c>
      <c r="E37" s="187" t="n">
        <v>45.8</v>
      </c>
      <c r="F37" s="187" t="n">
        <v>48.5</v>
      </c>
      <c r="G37" s="187" t="n">
        <v>74.1</v>
      </c>
      <c r="H37" s="187" t="n">
        <v>285</v>
      </c>
      <c r="I37" s="187" t="n">
        <v>191</v>
      </c>
      <c r="J37" s="187" t="s">
        <v>204</v>
      </c>
      <c r="K37" s="187" t="n">
        <v>455.1</v>
      </c>
      <c r="L37" s="187" t="s">
        <v>204</v>
      </c>
      <c r="M37" s="187" t="n">
        <v>156.6</v>
      </c>
      <c r="N37" s="187" t="s">
        <v>204</v>
      </c>
      <c r="O37" s="187" t="n">
        <v>618.5</v>
      </c>
      <c r="P37" s="187" t="s">
        <v>204</v>
      </c>
      <c r="Q37" s="187" t="n">
        <v>443.4</v>
      </c>
      <c r="R37" s="187" t="n">
        <v>703.6</v>
      </c>
      <c r="S37" s="187" t="n">
        <v>23.6</v>
      </c>
      <c r="T37" s="187" t="n">
        <v>19.4</v>
      </c>
      <c r="U37" s="187" t="n">
        <v>27.4</v>
      </c>
      <c r="V37" s="1416"/>
    </row>
    <row r="38" s="207" customFormat="true" ht="11.45" hidden="false" customHeight="true" outlineLevel="0" collapsed="false">
      <c r="A38" s="840" t="s">
        <v>214</v>
      </c>
      <c r="B38" s="193" t="n">
        <v>1336.7</v>
      </c>
      <c r="C38" s="193" t="n">
        <v>66.7</v>
      </c>
      <c r="D38" s="193" t="n">
        <v>56.6</v>
      </c>
      <c r="E38" s="193" t="n">
        <v>42.7</v>
      </c>
      <c r="F38" s="193" t="n">
        <v>45.1</v>
      </c>
      <c r="G38" s="193" t="n">
        <v>81.1</v>
      </c>
      <c r="H38" s="193" t="n">
        <v>285</v>
      </c>
      <c r="I38" s="193" t="n">
        <v>177</v>
      </c>
      <c r="J38" s="193" t="s">
        <v>204</v>
      </c>
      <c r="K38" s="193" t="n">
        <v>506.3</v>
      </c>
      <c r="L38" s="193" t="s">
        <v>204</v>
      </c>
      <c r="M38" s="193" t="n">
        <v>133.6</v>
      </c>
      <c r="N38" s="193" t="s">
        <v>204</v>
      </c>
      <c r="O38" s="193" t="n">
        <v>584.2</v>
      </c>
      <c r="P38" s="193" t="n">
        <v>660.5</v>
      </c>
      <c r="Q38" s="193" t="n">
        <v>403.3</v>
      </c>
      <c r="R38" s="193" t="n">
        <v>669.9</v>
      </c>
      <c r="S38" s="193" t="n">
        <v>21.9</v>
      </c>
      <c r="T38" s="193" t="n">
        <v>19.7</v>
      </c>
      <c r="U38" s="193" t="n">
        <v>28.1</v>
      </c>
      <c r="V38" s="1416"/>
    </row>
    <row r="39" s="207" customFormat="true" ht="11.45" hidden="false" customHeight="true" outlineLevel="0" collapsed="false">
      <c r="A39" s="842" t="s">
        <v>215</v>
      </c>
      <c r="B39" s="187" t="n">
        <v>1340.2</v>
      </c>
      <c r="C39" s="187" t="n">
        <v>72.2</v>
      </c>
      <c r="D39" s="187" t="n">
        <v>60.5</v>
      </c>
      <c r="E39" s="187" t="n">
        <v>43.6</v>
      </c>
      <c r="F39" s="187" t="n">
        <v>46.1</v>
      </c>
      <c r="G39" s="187" t="n">
        <v>80.3</v>
      </c>
      <c r="H39" s="187" t="n">
        <v>283</v>
      </c>
      <c r="I39" s="187" t="n">
        <v>182</v>
      </c>
      <c r="J39" s="187" t="s">
        <v>204</v>
      </c>
      <c r="K39" s="187" t="n">
        <v>481.7</v>
      </c>
      <c r="L39" s="187" t="s">
        <v>204</v>
      </c>
      <c r="M39" s="187" t="n">
        <v>127.9</v>
      </c>
      <c r="N39" s="187" t="s">
        <v>204</v>
      </c>
      <c r="O39" s="187" t="n">
        <v>664.4</v>
      </c>
      <c r="P39" s="187" t="n">
        <v>644.2</v>
      </c>
      <c r="Q39" s="187" t="n">
        <v>364.5</v>
      </c>
      <c r="R39" s="187" t="n">
        <v>711.7</v>
      </c>
      <c r="S39" s="187" t="n">
        <v>21.8</v>
      </c>
      <c r="T39" s="187" t="n">
        <v>20.5</v>
      </c>
      <c r="U39" s="187" t="n">
        <v>27.2</v>
      </c>
      <c r="V39" s="1416"/>
    </row>
    <row r="40" s="207" customFormat="true" ht="11.45" hidden="false" customHeight="true" outlineLevel="0" collapsed="false">
      <c r="A40" s="840" t="s">
        <v>216</v>
      </c>
      <c r="B40" s="193" t="n">
        <v>1326.6</v>
      </c>
      <c r="C40" s="193" t="n">
        <v>78.1</v>
      </c>
      <c r="D40" s="193" t="n">
        <v>56.7</v>
      </c>
      <c r="E40" s="193" t="n">
        <v>43.8</v>
      </c>
      <c r="F40" s="193" t="n">
        <v>46.2</v>
      </c>
      <c r="G40" s="193" t="n">
        <v>77.9</v>
      </c>
      <c r="H40" s="193" t="n">
        <v>277</v>
      </c>
      <c r="I40" s="193" t="n">
        <v>191</v>
      </c>
      <c r="J40" s="193" t="s">
        <v>204</v>
      </c>
      <c r="K40" s="193" t="n">
        <v>446.9</v>
      </c>
      <c r="L40" s="193" t="s">
        <v>204</v>
      </c>
      <c r="M40" s="193" t="n">
        <v>123.2</v>
      </c>
      <c r="N40" s="193" t="s">
        <v>204</v>
      </c>
      <c r="O40" s="193" t="n">
        <v>692.4</v>
      </c>
      <c r="P40" s="193" t="n">
        <v>669.5</v>
      </c>
      <c r="Q40" s="193" t="n">
        <v>342.2</v>
      </c>
      <c r="R40" s="193" t="n">
        <v>722.6</v>
      </c>
      <c r="S40" s="193" t="n">
        <v>21.9</v>
      </c>
      <c r="T40" s="193" t="n">
        <v>21.9</v>
      </c>
      <c r="U40" s="193" t="n">
        <v>27.5</v>
      </c>
      <c r="V40" s="1416"/>
    </row>
    <row r="41" s="207" customFormat="true" ht="11.45" hidden="false" customHeight="true" outlineLevel="0" collapsed="false">
      <c r="A41" s="842" t="s">
        <v>217</v>
      </c>
      <c r="B41" s="187" t="n">
        <v>1266.6</v>
      </c>
      <c r="C41" s="187" t="n">
        <v>99.8</v>
      </c>
      <c r="D41" s="187" t="n">
        <v>59</v>
      </c>
      <c r="E41" s="187" t="n">
        <v>48.3</v>
      </c>
      <c r="F41" s="187" t="n">
        <v>49.7</v>
      </c>
      <c r="G41" s="187" t="n">
        <v>78.5</v>
      </c>
      <c r="H41" s="187" t="n">
        <v>273</v>
      </c>
      <c r="I41" s="187" t="n">
        <v>193</v>
      </c>
      <c r="J41" s="187" t="s">
        <v>204</v>
      </c>
      <c r="K41" s="187" t="n">
        <v>429.1</v>
      </c>
      <c r="L41" s="187" t="s">
        <v>204</v>
      </c>
      <c r="M41" s="187" t="n">
        <v>122.5</v>
      </c>
      <c r="N41" s="187" t="s">
        <v>204</v>
      </c>
      <c r="O41" s="187" t="n">
        <v>651.4</v>
      </c>
      <c r="P41" s="187" t="n">
        <v>705.9</v>
      </c>
      <c r="Q41" s="187" t="n">
        <v>337.1</v>
      </c>
      <c r="R41" s="187" t="n">
        <v>757.3</v>
      </c>
      <c r="S41" s="187" t="n">
        <v>20.5</v>
      </c>
      <c r="T41" s="187" t="n">
        <v>22.9</v>
      </c>
      <c r="U41" s="187" t="n">
        <v>28.6</v>
      </c>
      <c r="V41" s="1416"/>
    </row>
    <row r="42" s="207" customFormat="true" ht="10.5" hidden="false" customHeight="true" outlineLevel="0" collapsed="false">
      <c r="A42" s="840" t="s">
        <v>218</v>
      </c>
      <c r="B42" s="193" t="n">
        <v>1238.4</v>
      </c>
      <c r="C42" s="193" t="n">
        <v>107.2</v>
      </c>
      <c r="D42" s="193" t="n">
        <v>74.1</v>
      </c>
      <c r="E42" s="193" t="n">
        <v>43.8</v>
      </c>
      <c r="F42" s="193" t="n">
        <v>46.4</v>
      </c>
      <c r="G42" s="193" t="n">
        <v>78.9</v>
      </c>
      <c r="H42" s="193" t="n">
        <v>270</v>
      </c>
      <c r="I42" s="193" t="n">
        <v>211</v>
      </c>
      <c r="J42" s="193" t="s">
        <v>204</v>
      </c>
      <c r="K42" s="193" t="n">
        <v>440.6</v>
      </c>
      <c r="L42" s="193" t="s">
        <v>204</v>
      </c>
      <c r="M42" s="193" t="n">
        <v>122.5</v>
      </c>
      <c r="N42" s="193" t="s">
        <v>204</v>
      </c>
      <c r="O42" s="193" t="n">
        <v>670</v>
      </c>
      <c r="P42" s="193" t="n">
        <v>685.3</v>
      </c>
      <c r="Q42" s="193" t="n">
        <v>345.7</v>
      </c>
      <c r="R42" s="193" t="n">
        <v>772.4</v>
      </c>
      <c r="S42" s="193" t="n">
        <v>20.7</v>
      </c>
      <c r="T42" s="193" t="n">
        <v>20.9</v>
      </c>
      <c r="U42" s="193" t="n">
        <v>28.8</v>
      </c>
      <c r="V42" s="1416"/>
    </row>
    <row r="43" s="207" customFormat="true" ht="10.5" hidden="false" customHeight="true" outlineLevel="0" collapsed="false">
      <c r="A43" s="842" t="s">
        <v>219</v>
      </c>
      <c r="B43" s="187" t="n">
        <v>1157.4</v>
      </c>
      <c r="C43" s="187" t="n">
        <v>92.5</v>
      </c>
      <c r="D43" s="187" t="n">
        <v>79.4</v>
      </c>
      <c r="E43" s="187" t="n">
        <v>51.8</v>
      </c>
      <c r="F43" s="187" t="n">
        <v>54.1</v>
      </c>
      <c r="G43" s="187" t="n">
        <v>79.5</v>
      </c>
      <c r="H43" s="187" t="n">
        <v>267</v>
      </c>
      <c r="I43" s="187" t="n">
        <v>216</v>
      </c>
      <c r="J43" s="187" t="s">
        <v>204</v>
      </c>
      <c r="K43" s="187" t="n">
        <v>415.6</v>
      </c>
      <c r="L43" s="187" t="s">
        <v>204</v>
      </c>
      <c r="M43" s="187" t="n">
        <v>122.8</v>
      </c>
      <c r="N43" s="187" t="s">
        <v>204</v>
      </c>
      <c r="O43" s="187" t="n">
        <v>711.8</v>
      </c>
      <c r="P43" s="187" t="n">
        <v>711.6</v>
      </c>
      <c r="Q43" s="187" t="n">
        <v>345.8</v>
      </c>
      <c r="R43" s="187" t="n">
        <v>800.3</v>
      </c>
      <c r="S43" s="187" t="n">
        <v>20.8</v>
      </c>
      <c r="T43" s="187" t="n">
        <v>18.8</v>
      </c>
      <c r="U43" s="187" t="n">
        <v>29.3</v>
      </c>
      <c r="V43" s="1416"/>
    </row>
    <row r="44" s="207" customFormat="true" ht="10.5" hidden="false" customHeight="true" outlineLevel="0" collapsed="false">
      <c r="A44" s="1123" t="n">
        <v>2017</v>
      </c>
      <c r="B44" s="193"/>
      <c r="C44" s="193"/>
      <c r="D44" s="193"/>
      <c r="E44" s="193"/>
      <c r="F44" s="193"/>
      <c r="G44" s="193"/>
      <c r="H44" s="193"/>
      <c r="I44" s="193"/>
      <c r="J44" s="193"/>
      <c r="K44" s="193"/>
      <c r="L44" s="193"/>
      <c r="M44" s="193"/>
      <c r="N44" s="193"/>
      <c r="O44" s="193"/>
      <c r="P44" s="193"/>
      <c r="Q44" s="193"/>
      <c r="R44" s="193"/>
      <c r="S44" s="193"/>
      <c r="T44" s="193"/>
      <c r="U44" s="193"/>
      <c r="V44" s="1416"/>
    </row>
    <row r="45" s="207" customFormat="true" ht="11.45" hidden="false" customHeight="true" outlineLevel="0" collapsed="false">
      <c r="A45" s="842" t="s">
        <v>220</v>
      </c>
      <c r="B45" s="187" t="n">
        <v>1192.1</v>
      </c>
      <c r="C45" s="187" t="n">
        <v>89.7</v>
      </c>
      <c r="D45" s="187" t="n">
        <v>80.8</v>
      </c>
      <c r="E45" s="187" t="n">
        <v>53.4</v>
      </c>
      <c r="F45" s="187" t="n">
        <v>54.9</v>
      </c>
      <c r="G45" s="187" t="n">
        <v>82.3</v>
      </c>
      <c r="H45" s="187" t="n">
        <v>269</v>
      </c>
      <c r="I45" s="187" t="n">
        <v>241</v>
      </c>
      <c r="J45" s="187" t="s">
        <v>204</v>
      </c>
      <c r="K45" s="187" t="n">
        <v>422.5</v>
      </c>
      <c r="L45" s="187" t="s">
        <v>204</v>
      </c>
      <c r="M45" s="187" t="n">
        <v>137.1</v>
      </c>
      <c r="N45" s="187" t="s">
        <v>204</v>
      </c>
      <c r="O45" s="187" t="n">
        <v>726.5</v>
      </c>
      <c r="P45" s="187" t="n">
        <v>746.6</v>
      </c>
      <c r="Q45" s="187" t="n">
        <v>364.7</v>
      </c>
      <c r="R45" s="187" t="n">
        <v>771.9</v>
      </c>
      <c r="S45" s="187" t="n">
        <v>20.5</v>
      </c>
      <c r="T45" s="187" t="n">
        <v>20.5</v>
      </c>
      <c r="U45" s="187" t="n">
        <v>29</v>
      </c>
      <c r="V45" s="1416"/>
    </row>
    <row r="46" s="207" customFormat="true" ht="11.45" hidden="false" customHeight="true" outlineLevel="0" collapsed="false">
      <c r="A46" s="840" t="s">
        <v>221</v>
      </c>
      <c r="B46" s="193" t="n">
        <v>1234.2</v>
      </c>
      <c r="C46" s="193" t="n">
        <v>86.2</v>
      </c>
      <c r="D46" s="193" t="n">
        <v>88.8</v>
      </c>
      <c r="E46" s="193" t="n">
        <v>54.2</v>
      </c>
      <c r="F46" s="193" t="n">
        <v>55.5</v>
      </c>
      <c r="G46" s="193" t="n">
        <v>85.2</v>
      </c>
      <c r="H46" s="193" t="n">
        <v>270</v>
      </c>
      <c r="I46" s="193" t="n">
        <v>247</v>
      </c>
      <c r="J46" s="193" t="s">
        <v>204</v>
      </c>
      <c r="K46" s="193" t="n">
        <v>430.1</v>
      </c>
      <c r="L46" s="193" t="s">
        <v>204</v>
      </c>
      <c r="M46" s="193" t="n">
        <v>147.3</v>
      </c>
      <c r="N46" s="193" t="s">
        <v>204</v>
      </c>
      <c r="O46" s="193" t="n">
        <v>706.8</v>
      </c>
      <c r="P46" s="193" t="n">
        <v>761.4</v>
      </c>
      <c r="Q46" s="193" t="n">
        <v>371.4</v>
      </c>
      <c r="R46" s="193" t="n">
        <v>742.9</v>
      </c>
      <c r="S46" s="193" t="n">
        <v>20.8</v>
      </c>
      <c r="T46" s="193" t="n">
        <v>20.3</v>
      </c>
      <c r="U46" s="193" t="n">
        <v>30.4</v>
      </c>
      <c r="V46" s="1416"/>
    </row>
    <row r="47" s="207" customFormat="true" ht="11.45" hidden="false" customHeight="true" outlineLevel="0" collapsed="false">
      <c r="A47" s="842" t="s">
        <v>222</v>
      </c>
      <c r="B47" s="187" t="n">
        <v>1231.4</v>
      </c>
      <c r="C47" s="187" t="n">
        <v>86.3</v>
      </c>
      <c r="D47" s="187" t="n">
        <v>87.2</v>
      </c>
      <c r="E47" s="187" t="n">
        <v>51.2</v>
      </c>
      <c r="F47" s="187" t="n">
        <v>52</v>
      </c>
      <c r="G47" s="187" t="n">
        <v>86.8</v>
      </c>
      <c r="H47" s="187" t="n">
        <v>278</v>
      </c>
      <c r="I47" s="187" t="n">
        <v>234</v>
      </c>
      <c r="J47" s="187" t="s">
        <v>204</v>
      </c>
      <c r="K47" s="187" t="n">
        <v>424.6</v>
      </c>
      <c r="L47" s="187" t="s">
        <v>204</v>
      </c>
      <c r="M47" s="187" t="n">
        <v>146.4</v>
      </c>
      <c r="N47" s="187" t="s">
        <v>204</v>
      </c>
      <c r="O47" s="187" t="n">
        <v>663.3</v>
      </c>
      <c r="P47" s="187" t="s">
        <v>204</v>
      </c>
      <c r="Q47" s="187" t="n">
        <v>356.9</v>
      </c>
      <c r="R47" s="187" t="n">
        <v>723.4</v>
      </c>
      <c r="S47" s="187" t="n">
        <v>20.5</v>
      </c>
      <c r="T47" s="187" t="n">
        <v>18.1</v>
      </c>
      <c r="U47" s="187" t="n">
        <v>29.8</v>
      </c>
      <c r="V47" s="1416"/>
    </row>
    <row r="48" s="207" customFormat="true" ht="11.45" hidden="false" customHeight="true" outlineLevel="0" collapsed="false">
      <c r="A48" s="840" t="s">
        <v>223</v>
      </c>
      <c r="B48" s="193" t="n">
        <v>1266.9</v>
      </c>
      <c r="C48" s="193" t="n">
        <v>90.7</v>
      </c>
      <c r="D48" s="193" t="n">
        <v>70.4</v>
      </c>
      <c r="E48" s="193" t="n">
        <v>52.4</v>
      </c>
      <c r="F48" s="193" t="n">
        <v>53.1</v>
      </c>
      <c r="G48" s="193" t="n">
        <v>87</v>
      </c>
      <c r="H48" s="193" t="n">
        <v>276</v>
      </c>
      <c r="I48" s="193" t="n">
        <v>205</v>
      </c>
      <c r="J48" s="193" t="s">
        <v>204</v>
      </c>
      <c r="K48" s="193" t="n">
        <v>410.3</v>
      </c>
      <c r="L48" s="193" t="s">
        <v>204</v>
      </c>
      <c r="M48" s="193" t="n">
        <v>138.4</v>
      </c>
      <c r="N48" s="193" t="s">
        <v>204</v>
      </c>
      <c r="O48" s="193" t="n">
        <v>623.2</v>
      </c>
      <c r="P48" s="193" t="s">
        <v>204</v>
      </c>
      <c r="Q48" s="193" t="n">
        <v>342.6</v>
      </c>
      <c r="R48" s="193" t="n">
        <v>695.3</v>
      </c>
      <c r="S48" s="193" t="n">
        <v>21</v>
      </c>
      <c r="T48" s="193" t="n">
        <v>16.4</v>
      </c>
      <c r="U48" s="193" t="n">
        <v>28.7</v>
      </c>
      <c r="V48" s="1416"/>
    </row>
    <row r="49" s="207" customFormat="true" ht="11.45" hidden="false" customHeight="true" outlineLevel="0" collapsed="false">
      <c r="A49" s="1391" t="s">
        <v>224</v>
      </c>
      <c r="B49" s="229" t="n">
        <v>1246</v>
      </c>
      <c r="C49" s="229" t="s">
        <v>204</v>
      </c>
      <c r="D49" s="229" t="n">
        <v>61.6</v>
      </c>
      <c r="E49" s="229" t="n">
        <v>50.3</v>
      </c>
      <c r="F49" s="229" t="n">
        <v>50.9</v>
      </c>
      <c r="G49" s="229" t="n">
        <v>88.6</v>
      </c>
      <c r="H49" s="229" t="n">
        <v>273</v>
      </c>
      <c r="I49" s="229" t="n">
        <v>180</v>
      </c>
      <c r="J49" s="229" t="s">
        <v>204</v>
      </c>
      <c r="K49" s="229" t="n">
        <v>444.7</v>
      </c>
      <c r="L49" s="229" t="s">
        <v>204</v>
      </c>
      <c r="M49" s="229" t="n">
        <v>146.5</v>
      </c>
      <c r="N49" s="229" t="s">
        <v>204</v>
      </c>
      <c r="O49" s="229" t="n">
        <v>655.5</v>
      </c>
      <c r="P49" s="229" t="s">
        <v>204</v>
      </c>
      <c r="Q49" s="229" t="n">
        <v>341</v>
      </c>
      <c r="R49" s="229" t="n">
        <v>714.1</v>
      </c>
      <c r="S49" s="229" t="n">
        <v>21.5</v>
      </c>
      <c r="T49" s="229" t="n">
        <v>15.7</v>
      </c>
      <c r="U49" s="229" t="n">
        <v>28.4</v>
      </c>
      <c r="V49" s="1416"/>
    </row>
    <row r="50" customFormat="false" ht="11.25" hidden="false" customHeight="true" outlineLevel="0" collapsed="false">
      <c r="A50" s="961" t="s">
        <v>2614</v>
      </c>
      <c r="B50" s="1561" t="s">
        <v>2615</v>
      </c>
      <c r="C50" s="1561"/>
      <c r="D50" s="1561"/>
      <c r="E50" s="1561"/>
      <c r="F50" s="1561"/>
      <c r="G50" s="1561"/>
      <c r="H50" s="152"/>
      <c r="I50" s="152"/>
      <c r="J50" s="152"/>
      <c r="R50" s="1579"/>
      <c r="S50" s="1579"/>
      <c r="T50" s="735"/>
      <c r="U50" s="152"/>
    </row>
    <row r="51" s="735" customFormat="true" ht="9" hidden="false" customHeight="true" outlineLevel="0" collapsed="false">
      <c r="B51" s="1561" t="s">
        <v>2616</v>
      </c>
      <c r="C51" s="1561"/>
      <c r="D51" s="1561"/>
      <c r="E51" s="1561"/>
      <c r="F51" s="1561"/>
      <c r="G51" s="1561"/>
      <c r="H51" s="1561"/>
      <c r="I51" s="1580"/>
      <c r="J51" s="1580"/>
      <c r="K51" s="961" t="s">
        <v>2617</v>
      </c>
      <c r="L51" s="850" t="s">
        <v>2618</v>
      </c>
      <c r="M51" s="850"/>
      <c r="N51" s="850"/>
      <c r="O51" s="850"/>
      <c r="P51" s="850"/>
      <c r="Q51" s="850"/>
      <c r="S51" s="1579"/>
      <c r="T51" s="1579"/>
    </row>
    <row r="52" s="735" customFormat="true" ht="10.5" hidden="false" customHeight="true" outlineLevel="0" collapsed="false">
      <c r="B52" s="1561" t="s">
        <v>2619</v>
      </c>
      <c r="C52" s="1561"/>
      <c r="F52" s="258"/>
      <c r="G52" s="1581"/>
      <c r="K52" s="1582" t="s">
        <v>2620</v>
      </c>
    </row>
    <row r="53" s="735" customFormat="true" ht="8.25" hidden="false" customHeight="true" outlineLevel="0" collapsed="false">
      <c r="A53" s="1583"/>
      <c r="F53" s="258"/>
      <c r="G53" s="258"/>
      <c r="I53" s="1584"/>
    </row>
    <row r="54" customFormat="false" ht="11.25" hidden="false" customHeight="false" outlineLevel="0" collapsed="false">
      <c r="C54" s="258"/>
      <c r="D54" s="258"/>
      <c r="E54" s="258"/>
      <c r="F54" s="258"/>
      <c r="G54" s="258"/>
      <c r="H54" s="258"/>
      <c r="I54" s="1584"/>
      <c r="J54" s="258"/>
      <c r="K54" s="258"/>
      <c r="L54" s="258"/>
      <c r="M54" s="258"/>
      <c r="N54" s="258"/>
      <c r="O54" s="258"/>
      <c r="P54" s="258"/>
      <c r="Q54" s="258"/>
      <c r="R54" s="258"/>
      <c r="S54" s="258"/>
      <c r="T54" s="258"/>
      <c r="U54" s="1584"/>
      <c r="V54" s="1584"/>
      <c r="W54" s="258"/>
    </row>
    <row r="55" customFormat="false" ht="11.25" hidden="false" customHeight="false" outlineLevel="0" collapsed="false">
      <c r="C55" s="258"/>
      <c r="D55" s="258"/>
      <c r="E55" s="258"/>
      <c r="F55" s="258"/>
      <c r="G55" s="258"/>
      <c r="H55" s="258"/>
      <c r="I55" s="1584"/>
      <c r="J55" s="258"/>
      <c r="K55" s="258"/>
      <c r="L55" s="258"/>
      <c r="M55" s="258"/>
      <c r="N55" s="258"/>
      <c r="O55" s="258"/>
      <c r="P55" s="258"/>
      <c r="Q55" s="258"/>
      <c r="R55" s="258"/>
      <c r="S55" s="258"/>
      <c r="T55" s="258"/>
      <c r="U55" s="1584"/>
      <c r="V55" s="1584"/>
      <c r="W55" s="258"/>
    </row>
    <row r="56" customFormat="false" ht="11.25" hidden="false" customHeight="false" outlineLevel="0" collapsed="false">
      <c r="C56" s="258"/>
      <c r="D56" s="258"/>
      <c r="E56" s="258"/>
      <c r="F56" s="258"/>
      <c r="G56" s="258"/>
      <c r="H56" s="258"/>
      <c r="I56" s="1584"/>
      <c r="J56" s="258"/>
      <c r="K56" s="258"/>
      <c r="L56" s="258"/>
      <c r="M56" s="258"/>
      <c r="N56" s="258"/>
      <c r="O56" s="258"/>
      <c r="P56" s="258"/>
      <c r="Q56" s="258"/>
      <c r="R56" s="258"/>
      <c r="S56" s="258"/>
      <c r="T56" s="258"/>
      <c r="U56" s="1584"/>
      <c r="V56" s="1584"/>
      <c r="W56" s="258"/>
    </row>
    <row r="57" customFormat="false" ht="11.25" hidden="false" customHeight="false" outlineLevel="0" collapsed="false">
      <c r="C57" s="258"/>
      <c r="D57" s="258"/>
      <c r="E57" s="258"/>
      <c r="F57" s="258"/>
      <c r="G57" s="258"/>
      <c r="H57" s="258"/>
      <c r="I57" s="1584"/>
      <c r="J57" s="258"/>
      <c r="K57" s="258"/>
      <c r="L57" s="258"/>
      <c r="M57" s="258"/>
      <c r="N57" s="258"/>
      <c r="O57" s="258"/>
      <c r="P57" s="258"/>
      <c r="Q57" s="258"/>
      <c r="R57" s="258"/>
      <c r="S57" s="258"/>
      <c r="T57" s="258"/>
      <c r="U57" s="1584"/>
      <c r="V57" s="1584"/>
      <c r="W57" s="258"/>
    </row>
    <row r="58" customFormat="false" ht="11.25" hidden="false" customHeight="false" outlineLevel="0" collapsed="false">
      <c r="C58" s="258"/>
      <c r="D58" s="258"/>
      <c r="E58" s="258"/>
      <c r="F58" s="258"/>
      <c r="G58" s="258"/>
      <c r="H58" s="258"/>
      <c r="I58" s="1584"/>
      <c r="J58" s="258"/>
      <c r="K58" s="258"/>
      <c r="L58" s="258"/>
      <c r="M58" s="258"/>
      <c r="N58" s="258"/>
      <c r="O58" s="258"/>
      <c r="P58" s="258"/>
      <c r="Q58" s="258"/>
      <c r="R58" s="258"/>
      <c r="S58" s="258"/>
      <c r="T58" s="258"/>
      <c r="U58" s="1584"/>
      <c r="V58" s="1584"/>
      <c r="W58" s="258"/>
    </row>
    <row r="59" customFormat="false" ht="11.25" hidden="false" customHeight="false" outlineLevel="0" collapsed="false">
      <c r="C59" s="258"/>
      <c r="D59" s="258"/>
      <c r="E59" s="258"/>
      <c r="F59" s="258"/>
      <c r="G59" s="258"/>
      <c r="H59" s="258"/>
      <c r="I59" s="1584"/>
      <c r="J59" s="258"/>
      <c r="K59" s="258"/>
      <c r="L59" s="258"/>
      <c r="M59" s="258"/>
      <c r="N59" s="258"/>
      <c r="O59" s="258"/>
      <c r="P59" s="258"/>
      <c r="Q59" s="258"/>
      <c r="R59" s="258"/>
      <c r="S59" s="258"/>
      <c r="T59" s="258"/>
      <c r="U59" s="1584"/>
      <c r="V59" s="1584"/>
      <c r="W59" s="258"/>
    </row>
    <row r="60" customFormat="false" ht="11.25" hidden="false" customHeight="false" outlineLevel="0" collapsed="false">
      <c r="C60" s="258"/>
      <c r="D60" s="258"/>
      <c r="E60" s="258"/>
      <c r="F60" s="258"/>
      <c r="G60" s="258"/>
      <c r="H60" s="258"/>
      <c r="I60" s="1584"/>
      <c r="J60" s="258"/>
      <c r="K60" s="258"/>
      <c r="L60" s="258"/>
      <c r="M60" s="258"/>
      <c r="N60" s="258"/>
      <c r="O60" s="258"/>
      <c r="P60" s="258"/>
      <c r="Q60" s="258"/>
      <c r="R60" s="258"/>
      <c r="S60" s="258"/>
      <c r="T60" s="258"/>
      <c r="U60" s="1584"/>
      <c r="V60" s="1584"/>
      <c r="W60" s="258"/>
    </row>
    <row r="61" customFormat="false" ht="11.25" hidden="false" customHeight="false" outlineLevel="0" collapsed="false">
      <c r="C61" s="258"/>
      <c r="D61" s="258"/>
      <c r="E61" s="258"/>
      <c r="F61" s="258"/>
      <c r="G61" s="258"/>
      <c r="H61" s="258"/>
      <c r="I61" s="1584"/>
      <c r="J61" s="258"/>
      <c r="K61" s="258"/>
      <c r="L61" s="258"/>
      <c r="M61" s="258"/>
      <c r="N61" s="258"/>
      <c r="O61" s="258"/>
      <c r="P61" s="258"/>
      <c r="Q61" s="258"/>
      <c r="R61" s="258"/>
      <c r="S61" s="258"/>
      <c r="T61" s="258"/>
      <c r="U61" s="1584"/>
      <c r="V61" s="1584"/>
      <c r="W61" s="258"/>
    </row>
    <row r="62" customFormat="false" ht="11.25" hidden="false" customHeight="false" outlineLevel="0" collapsed="false">
      <c r="C62" s="258"/>
      <c r="D62" s="258"/>
      <c r="E62" s="258"/>
      <c r="F62" s="258"/>
      <c r="G62" s="258"/>
      <c r="H62" s="258"/>
      <c r="I62" s="1584"/>
      <c r="J62" s="258"/>
      <c r="K62" s="258"/>
      <c r="L62" s="258"/>
      <c r="M62" s="258"/>
      <c r="N62" s="258"/>
      <c r="O62" s="258"/>
      <c r="P62" s="258"/>
      <c r="Q62" s="258"/>
      <c r="R62" s="258"/>
      <c r="S62" s="258"/>
      <c r="T62" s="258"/>
      <c r="U62" s="1584"/>
      <c r="V62" s="1584"/>
      <c r="W62" s="258"/>
    </row>
    <row r="63" customFormat="false" ht="11.25" hidden="false" customHeight="false" outlineLevel="0" collapsed="false">
      <c r="C63" s="258"/>
      <c r="D63" s="258"/>
      <c r="E63" s="258"/>
      <c r="F63" s="258"/>
      <c r="G63" s="258"/>
      <c r="H63" s="258"/>
      <c r="I63" s="1584"/>
      <c r="J63" s="258"/>
      <c r="K63" s="258"/>
      <c r="L63" s="258"/>
      <c r="M63" s="258"/>
      <c r="N63" s="258"/>
      <c r="O63" s="258"/>
      <c r="P63" s="258"/>
      <c r="Q63" s="258"/>
      <c r="R63" s="258"/>
      <c r="S63" s="258"/>
      <c r="T63" s="258"/>
      <c r="U63" s="1584"/>
      <c r="V63" s="1584"/>
      <c r="W63" s="258"/>
    </row>
    <row r="64" customFormat="false" ht="11.25" hidden="false" customHeight="false" outlineLevel="0" collapsed="false">
      <c r="C64" s="258"/>
      <c r="D64" s="258"/>
      <c r="E64" s="258"/>
      <c r="F64" s="258"/>
      <c r="G64" s="258"/>
      <c r="H64" s="258"/>
      <c r="I64" s="1584"/>
      <c r="J64" s="258"/>
      <c r="K64" s="258"/>
      <c r="L64" s="258"/>
      <c r="M64" s="258"/>
      <c r="N64" s="258"/>
      <c r="O64" s="258"/>
      <c r="P64" s="258"/>
      <c r="Q64" s="258"/>
      <c r="R64" s="258"/>
      <c r="S64" s="258"/>
      <c r="T64" s="258"/>
      <c r="U64" s="1584"/>
      <c r="V64" s="1584"/>
      <c r="W64" s="258"/>
    </row>
    <row r="65" customFormat="false" ht="11.25" hidden="false" customHeight="false" outlineLevel="0" collapsed="false">
      <c r="C65" s="258"/>
      <c r="D65" s="258"/>
      <c r="E65" s="258"/>
      <c r="F65" s="258"/>
      <c r="G65" s="258"/>
      <c r="H65" s="258"/>
      <c r="I65" s="258"/>
      <c r="J65" s="258"/>
      <c r="K65" s="258"/>
      <c r="L65" s="258"/>
      <c r="M65" s="258"/>
      <c r="N65" s="258"/>
      <c r="O65" s="258"/>
      <c r="P65" s="258"/>
      <c r="Q65" s="258"/>
      <c r="R65" s="258"/>
      <c r="S65" s="258"/>
      <c r="T65" s="258"/>
      <c r="U65" s="1584"/>
      <c r="V65" s="1584"/>
      <c r="W65" s="258"/>
    </row>
    <row r="66" customFormat="false" ht="11.25" hidden="false" customHeight="false" outlineLevel="0" collapsed="false">
      <c r="C66" s="258"/>
      <c r="D66" s="258"/>
      <c r="E66" s="258"/>
      <c r="F66" s="258"/>
      <c r="G66" s="258"/>
      <c r="H66" s="258"/>
      <c r="I66" s="258"/>
      <c r="J66" s="258"/>
      <c r="K66" s="258"/>
      <c r="L66" s="258"/>
      <c r="M66" s="258"/>
      <c r="N66" s="258"/>
      <c r="O66" s="258"/>
      <c r="P66" s="258"/>
      <c r="Q66" s="258"/>
      <c r="R66" s="258"/>
      <c r="S66" s="258"/>
      <c r="T66" s="258"/>
      <c r="U66" s="1584"/>
      <c r="V66" s="735"/>
      <c r="W66" s="258"/>
    </row>
    <row r="67" customFormat="false" ht="11.25" hidden="false" customHeight="false" outlineLevel="0" collapsed="false">
      <c r="C67" s="258"/>
      <c r="D67" s="258"/>
      <c r="E67" s="258"/>
      <c r="F67" s="258"/>
      <c r="G67" s="258"/>
      <c r="H67" s="258"/>
      <c r="I67" s="1585"/>
      <c r="J67" s="258"/>
      <c r="K67" s="258"/>
      <c r="L67" s="258"/>
      <c r="M67" s="258"/>
      <c r="N67" s="258"/>
      <c r="O67" s="258"/>
      <c r="P67" s="258"/>
      <c r="Q67" s="258"/>
      <c r="R67" s="258"/>
      <c r="S67" s="258"/>
      <c r="T67" s="258"/>
      <c r="U67" s="1584"/>
      <c r="V67" s="735"/>
      <c r="W67" s="258"/>
    </row>
    <row r="68" customFormat="false" ht="11.25" hidden="false" customHeight="false" outlineLevel="0" collapsed="false">
      <c r="C68" s="258"/>
      <c r="D68" s="258"/>
      <c r="F68" s="258"/>
      <c r="G68" s="258"/>
      <c r="H68" s="258"/>
      <c r="I68" s="258"/>
      <c r="J68" s="258"/>
      <c r="K68" s="258"/>
      <c r="L68" s="258"/>
      <c r="M68" s="258"/>
      <c r="N68" s="258"/>
      <c r="O68" s="258"/>
      <c r="P68" s="258"/>
      <c r="R68" s="258"/>
      <c r="S68" s="258"/>
      <c r="T68" s="258"/>
      <c r="U68" s="1584"/>
      <c r="V68" s="735"/>
      <c r="W68" s="258"/>
    </row>
    <row r="69" customFormat="false" ht="11.25" hidden="false" customHeight="false" outlineLevel="0" collapsed="false">
      <c r="C69" s="258"/>
      <c r="D69" s="258"/>
      <c r="F69" s="258"/>
      <c r="G69" s="258"/>
      <c r="H69" s="258"/>
      <c r="I69" s="258"/>
      <c r="J69" s="258"/>
      <c r="K69" s="258"/>
      <c r="L69" s="258"/>
      <c r="M69" s="258"/>
      <c r="N69" s="258"/>
      <c r="O69" s="258"/>
      <c r="P69" s="258"/>
      <c r="R69" s="258"/>
      <c r="S69" s="258"/>
      <c r="T69" s="258"/>
      <c r="U69" s="1584"/>
      <c r="V69" s="735"/>
      <c r="W69" s="258"/>
    </row>
    <row r="70" customFormat="false" ht="11.25" hidden="false" customHeight="false" outlineLevel="0" collapsed="false">
      <c r="D70" s="258"/>
      <c r="F70" s="258"/>
      <c r="G70" s="258"/>
      <c r="H70" s="258"/>
      <c r="I70" s="258"/>
      <c r="J70" s="258"/>
      <c r="K70" s="258"/>
      <c r="L70" s="258"/>
      <c r="M70" s="258"/>
      <c r="N70" s="258"/>
      <c r="O70" s="258"/>
      <c r="P70" s="258"/>
      <c r="S70" s="258"/>
      <c r="T70" s="258"/>
      <c r="U70" s="1584"/>
      <c r="V70" s="735"/>
      <c r="W70" s="258"/>
    </row>
    <row r="71" customFormat="false" ht="11.25" hidden="false" customHeight="false" outlineLevel="0" collapsed="false">
      <c r="D71" s="258"/>
      <c r="F71" s="258"/>
      <c r="G71" s="258"/>
      <c r="H71" s="258"/>
      <c r="I71" s="258"/>
      <c r="J71" s="258"/>
      <c r="K71" s="258"/>
      <c r="L71" s="258"/>
      <c r="M71" s="258"/>
      <c r="N71" s="258"/>
      <c r="O71" s="258"/>
      <c r="P71" s="258"/>
      <c r="R71" s="258"/>
      <c r="S71" s="258"/>
      <c r="T71" s="258"/>
      <c r="U71" s="1584"/>
      <c r="V71" s="735"/>
      <c r="W71" s="258"/>
    </row>
    <row r="72" customFormat="false" ht="11.25" hidden="false" customHeight="false" outlineLevel="0" collapsed="false">
      <c r="D72" s="258"/>
      <c r="E72" s="258"/>
      <c r="F72" s="258"/>
      <c r="G72" s="258"/>
      <c r="H72" s="258"/>
      <c r="I72" s="258"/>
      <c r="J72" s="258"/>
      <c r="K72" s="258"/>
      <c r="L72" s="258"/>
      <c r="M72" s="258"/>
      <c r="N72" s="258"/>
      <c r="O72" s="258"/>
      <c r="P72" s="258"/>
      <c r="Q72" s="258"/>
      <c r="R72" s="258"/>
      <c r="S72" s="258"/>
      <c r="T72" s="258"/>
      <c r="U72" s="1584"/>
      <c r="V72" s="735"/>
      <c r="W72" s="258"/>
    </row>
    <row r="73" customFormat="false" ht="11.25" hidden="false" customHeight="false" outlineLevel="0" collapsed="false">
      <c r="D73" s="258"/>
      <c r="E73" s="258"/>
      <c r="F73" s="258"/>
      <c r="G73" s="258"/>
      <c r="H73" s="258"/>
      <c r="I73" s="258"/>
      <c r="J73" s="258"/>
      <c r="K73" s="258"/>
      <c r="L73" s="258"/>
      <c r="M73" s="258"/>
      <c r="N73" s="258"/>
      <c r="O73" s="258"/>
      <c r="P73" s="258"/>
      <c r="Q73" s="258"/>
      <c r="R73" s="258"/>
      <c r="S73" s="258"/>
      <c r="T73" s="258"/>
      <c r="U73" s="1584"/>
      <c r="V73" s="735"/>
      <c r="W73" s="258"/>
    </row>
    <row r="74" customFormat="false" ht="11.25" hidden="false" customHeight="false" outlineLevel="0" collapsed="false">
      <c r="C74" s="258"/>
      <c r="D74" s="258"/>
      <c r="E74" s="258"/>
      <c r="F74" s="258"/>
      <c r="G74" s="258"/>
      <c r="H74" s="258"/>
      <c r="I74" s="258"/>
      <c r="J74" s="258"/>
      <c r="K74" s="258"/>
      <c r="L74" s="258"/>
      <c r="M74" s="258"/>
      <c r="N74" s="258"/>
      <c r="O74" s="258"/>
      <c r="P74" s="258"/>
      <c r="Q74" s="258"/>
      <c r="R74" s="258"/>
      <c r="S74" s="258"/>
      <c r="T74" s="258"/>
      <c r="U74" s="1584"/>
      <c r="V74" s="735"/>
      <c r="W74" s="258"/>
    </row>
    <row r="75" customFormat="false" ht="11.25" hidden="false" customHeight="false" outlineLevel="0" collapsed="false">
      <c r="C75" s="258"/>
      <c r="D75" s="258"/>
      <c r="E75" s="258"/>
      <c r="F75" s="258"/>
      <c r="G75" s="258"/>
      <c r="H75" s="258"/>
      <c r="I75" s="258"/>
      <c r="J75" s="258"/>
      <c r="K75" s="258"/>
      <c r="L75" s="258"/>
      <c r="M75" s="258"/>
      <c r="N75" s="258"/>
      <c r="O75" s="258"/>
      <c r="P75" s="258"/>
      <c r="Q75" s="258"/>
      <c r="R75" s="258"/>
      <c r="S75" s="258"/>
      <c r="T75" s="258"/>
      <c r="U75" s="258"/>
      <c r="W75" s="258"/>
    </row>
    <row r="76" customFormat="false" ht="11.25" hidden="false" customHeight="false" outlineLevel="0" collapsed="false">
      <c r="J76" s="258"/>
      <c r="K76" s="258"/>
      <c r="M76" s="258"/>
      <c r="O76" s="258"/>
      <c r="P76" s="258"/>
      <c r="Q76" s="258"/>
      <c r="R76" s="258"/>
    </row>
  </sheetData>
  <mergeCells count="11">
    <mergeCell ref="A1:J1"/>
    <mergeCell ref="K1:R1"/>
    <mergeCell ref="S1:U1"/>
    <mergeCell ref="E2:F2"/>
    <mergeCell ref="L2:N2"/>
    <mergeCell ref="O2:P2"/>
    <mergeCell ref="S2:U2"/>
    <mergeCell ref="B50:G50"/>
    <mergeCell ref="B51:H51"/>
    <mergeCell ref="L51:Q51"/>
    <mergeCell ref="B52:C52"/>
  </mergeCells>
  <printOptions headings="false" gridLines="false" gridLinesSet="true" horizontalCentered="false" verticalCentered="false"/>
  <pageMargins left="0.629861111111111" right="0.511805555555555" top="0.511805555555555" bottom="0.511805555555555" header="0.511805555555555" footer="0.39375"/>
  <pageSetup paperSize="1" scale="100" firstPageNumber="100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>&amp;C&amp;"Times New Roman,Regular"&amp;8&amp;P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6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1" ySplit="5" topLeftCell="G45" activePane="bottomRight" state="frozen"/>
      <selection pane="topLeft" activeCell="A1" activeCellId="0" sqref="A1"/>
      <selection pane="topRight" activeCell="G1" activeCellId="0" sqref="G1"/>
      <selection pane="bottomLeft" activeCell="A45" activeCellId="0" sqref="A45"/>
      <selection pane="bottomRight" activeCell="G56" activeCellId="0" sqref="G56"/>
    </sheetView>
  </sheetViews>
  <sheetFormatPr defaultColWidth="9.15625" defaultRowHeight="11.25" zeroHeight="false" outlineLevelRow="0" outlineLevelCol="0"/>
  <cols>
    <col collapsed="false" customWidth="true" hidden="false" outlineLevel="0" max="1" min="1" style="523" width="9.29"/>
    <col collapsed="false" customWidth="false" hidden="false" outlineLevel="0" max="2" min="2" style="732" width="9.14"/>
    <col collapsed="false" customWidth="true" hidden="false" outlineLevel="0" max="3" min="3" style="732" width="7.57"/>
    <col collapsed="false" customWidth="true" hidden="false" outlineLevel="0" max="4" min="4" style="732" width="9.29"/>
    <col collapsed="false" customWidth="true" hidden="false" outlineLevel="0" max="5" min="5" style="732" width="9.71"/>
    <col collapsed="false" customWidth="true" hidden="false" outlineLevel="0" max="6" min="6" style="732" width="9.29"/>
    <col collapsed="false" customWidth="true" hidden="false" outlineLevel="0" max="7" min="7" style="732" width="8.57"/>
    <col collapsed="false" customWidth="true" hidden="false" outlineLevel="0" max="8" min="8" style="732" width="8.42"/>
    <col collapsed="false" customWidth="true" hidden="false" outlineLevel="0" max="9" min="9" style="732" width="7.42"/>
    <col collapsed="false" customWidth="true" hidden="false" outlineLevel="0" max="10" min="10" style="732" width="10.85"/>
    <col collapsed="false" customWidth="true" hidden="false" outlineLevel="0" max="11" min="11" style="732" width="11.71"/>
    <col collapsed="false" customWidth="true" hidden="false" outlineLevel="0" max="12" min="12" style="732" width="11.57"/>
    <col collapsed="false" customWidth="true" hidden="false" outlineLevel="0" max="13" min="13" style="732" width="11.71"/>
    <col collapsed="false" customWidth="true" hidden="false" outlineLevel="0" max="14" min="14" style="732" width="11.29"/>
    <col collapsed="false" customWidth="true" hidden="false" outlineLevel="0" max="15" min="15" style="732" width="11.14"/>
    <col collapsed="false" customWidth="true" hidden="false" outlineLevel="0" max="16" min="16" style="523" width="10.85"/>
    <col collapsed="false" customWidth="false" hidden="false" outlineLevel="0" max="1024" min="17" style="732" width="9.14"/>
  </cols>
  <sheetData>
    <row r="1" s="1587" customFormat="true" ht="12.75" hidden="false" customHeight="true" outlineLevel="0" collapsed="false">
      <c r="A1" s="1420" t="s">
        <v>2621</v>
      </c>
      <c r="B1" s="1420"/>
      <c r="C1" s="1420"/>
      <c r="D1" s="1420"/>
      <c r="E1" s="1420"/>
      <c r="F1" s="1420"/>
      <c r="G1" s="1420"/>
      <c r="H1" s="1420"/>
      <c r="I1" s="1420"/>
      <c r="J1" s="1586" t="s">
        <v>2622</v>
      </c>
      <c r="K1" s="1586"/>
      <c r="L1" s="1586"/>
      <c r="M1" s="1586"/>
      <c r="N1" s="1586"/>
      <c r="O1" s="1420" t="s">
        <v>2623</v>
      </c>
      <c r="P1" s="1420"/>
    </row>
    <row r="2" s="747" customFormat="true" ht="9.75" hidden="false" customHeight="true" outlineLevel="0" collapsed="false">
      <c r="O2" s="1588" t="s">
        <v>110</v>
      </c>
      <c r="P2" s="1588"/>
    </row>
    <row r="3" s="1591" customFormat="true" ht="13.5" hidden="false" customHeight="true" outlineLevel="0" collapsed="false">
      <c r="A3" s="834" t="s">
        <v>260</v>
      </c>
      <c r="B3" s="1589" t="s">
        <v>2624</v>
      </c>
      <c r="C3" s="1589"/>
      <c r="D3" s="1589"/>
      <c r="E3" s="1589"/>
      <c r="F3" s="1589"/>
      <c r="G3" s="1589"/>
      <c r="H3" s="1589"/>
      <c r="I3" s="1589"/>
      <c r="J3" s="1590"/>
      <c r="K3" s="1590"/>
      <c r="L3" s="1069" t="s">
        <v>2625</v>
      </c>
      <c r="M3" s="1069"/>
      <c r="N3" s="1069"/>
      <c r="O3" s="1069"/>
      <c r="P3" s="834" t="s">
        <v>260</v>
      </c>
    </row>
    <row r="4" s="747" customFormat="true" ht="12.75" hidden="false" customHeight="true" outlineLevel="0" collapsed="false">
      <c r="A4" s="834"/>
      <c r="B4" s="1592" t="s">
        <v>2626</v>
      </c>
      <c r="C4" s="1592" t="s">
        <v>2627</v>
      </c>
      <c r="D4" s="749" t="s">
        <v>2628</v>
      </c>
      <c r="E4" s="749" t="s">
        <v>2629</v>
      </c>
      <c r="F4" s="749" t="s">
        <v>2630</v>
      </c>
      <c r="G4" s="749"/>
      <c r="H4" s="749" t="s">
        <v>2631</v>
      </c>
      <c r="I4" s="749"/>
      <c r="J4" s="451" t="s">
        <v>2632</v>
      </c>
      <c r="K4" s="749" t="s">
        <v>2633</v>
      </c>
      <c r="L4" s="451" t="s">
        <v>2634</v>
      </c>
      <c r="M4" s="451" t="s">
        <v>2635</v>
      </c>
      <c r="N4" s="451" t="s">
        <v>2636</v>
      </c>
      <c r="O4" s="451" t="s">
        <v>2637</v>
      </c>
      <c r="P4" s="834"/>
    </row>
    <row r="5" s="747" customFormat="true" ht="11.25" hidden="false" customHeight="true" outlineLevel="0" collapsed="false">
      <c r="A5" s="834"/>
      <c r="B5" s="1592"/>
      <c r="C5" s="1592"/>
      <c r="D5" s="749"/>
      <c r="E5" s="749"/>
      <c r="F5" s="749" t="s">
        <v>2638</v>
      </c>
      <c r="G5" s="749" t="s">
        <v>2639</v>
      </c>
      <c r="H5" s="749" t="s">
        <v>2638</v>
      </c>
      <c r="I5" s="749" t="s">
        <v>2639</v>
      </c>
      <c r="J5" s="451"/>
      <c r="K5" s="749"/>
      <c r="L5" s="451"/>
      <c r="M5" s="451"/>
      <c r="N5" s="451"/>
      <c r="O5" s="451"/>
      <c r="P5" s="834"/>
    </row>
    <row r="6" s="221" customFormat="true" ht="12" hidden="false" customHeight="true" outlineLevel="0" collapsed="false">
      <c r="A6" s="850" t="s">
        <v>203</v>
      </c>
      <c r="B6" s="159" t="n">
        <v>8997.12</v>
      </c>
      <c r="C6" s="159" t="s">
        <v>204</v>
      </c>
      <c r="D6" s="159" t="n">
        <v>347.49</v>
      </c>
      <c r="E6" s="159" t="n">
        <v>17042.28</v>
      </c>
      <c r="F6" s="159" t="n">
        <v>13816.85</v>
      </c>
      <c r="G6" s="159" t="n">
        <v>10651.22</v>
      </c>
      <c r="H6" s="159" t="n">
        <v>7593.34</v>
      </c>
      <c r="I6" s="159" t="n">
        <v>3203.13</v>
      </c>
      <c r="J6" s="159" t="n">
        <v>390.73</v>
      </c>
      <c r="K6" s="159" t="n">
        <v>62042.16</v>
      </c>
      <c r="L6" s="159" t="n">
        <v>357.61</v>
      </c>
      <c r="M6" s="159" t="n">
        <v>46.46</v>
      </c>
      <c r="N6" s="159" t="n">
        <v>342.97</v>
      </c>
      <c r="O6" s="159" t="s">
        <v>204</v>
      </c>
      <c r="P6" s="777" t="s">
        <v>203</v>
      </c>
    </row>
    <row r="7" s="221" customFormat="true" ht="12" hidden="false" customHeight="true" outlineLevel="0" collapsed="false">
      <c r="A7" s="464" t="s">
        <v>205</v>
      </c>
      <c r="B7" s="172" t="n">
        <v>11574.13</v>
      </c>
      <c r="C7" s="172" t="n">
        <v>28.71</v>
      </c>
      <c r="D7" s="172" t="n">
        <v>486.18</v>
      </c>
      <c r="E7" s="172" t="n">
        <v>23007.52</v>
      </c>
      <c r="F7" s="172" t="n">
        <v>17827.95</v>
      </c>
      <c r="G7" s="172" t="n">
        <v>12375.81</v>
      </c>
      <c r="H7" s="172" t="n">
        <v>9701.16</v>
      </c>
      <c r="I7" s="172" t="n">
        <v>3998.71</v>
      </c>
      <c r="J7" s="172" t="n">
        <v>402.94</v>
      </c>
      <c r="K7" s="172" t="n">
        <v>79403.11</v>
      </c>
      <c r="L7" s="172" t="n">
        <v>243.66</v>
      </c>
      <c r="M7" s="172" t="n">
        <v>57.26</v>
      </c>
      <c r="N7" s="172" t="n">
        <v>175.67</v>
      </c>
      <c r="O7" s="172" t="n">
        <v>1476.82</v>
      </c>
      <c r="P7" s="466" t="s">
        <v>205</v>
      </c>
    </row>
    <row r="8" s="221" customFormat="true" ht="12" hidden="false" customHeight="true" outlineLevel="0" collapsed="false">
      <c r="A8" s="461" t="s">
        <v>282</v>
      </c>
      <c r="B8" s="160" t="n">
        <v>13153.5</v>
      </c>
      <c r="C8" s="160" t="n">
        <v>38.95</v>
      </c>
      <c r="D8" s="160" t="n">
        <v>660.36</v>
      </c>
      <c r="E8" s="160" t="n">
        <v>28652.63</v>
      </c>
      <c r="F8" s="160" t="n">
        <v>21984.81</v>
      </c>
      <c r="G8" s="160" t="n">
        <v>13792.62</v>
      </c>
      <c r="H8" s="160" t="n">
        <v>11923.97</v>
      </c>
      <c r="I8" s="160" t="n">
        <v>4367.71</v>
      </c>
      <c r="J8" s="160" t="n">
        <v>484.44</v>
      </c>
      <c r="K8" s="160" t="n">
        <v>95058.99</v>
      </c>
      <c r="L8" s="160" t="n">
        <v>407.8</v>
      </c>
      <c r="M8" s="160" t="n">
        <v>64.63</v>
      </c>
      <c r="N8" s="160" t="n">
        <v>217.14</v>
      </c>
      <c r="O8" s="160" t="n">
        <v>2018.86</v>
      </c>
      <c r="P8" s="463" t="s">
        <v>282</v>
      </c>
      <c r="R8" s="254"/>
    </row>
    <row r="9" s="221" customFormat="true" ht="12" hidden="false" customHeight="true" outlineLevel="0" collapsed="false">
      <c r="A9" s="464" t="s">
        <v>207</v>
      </c>
      <c r="B9" s="172" t="n">
        <v>13322.45</v>
      </c>
      <c r="C9" s="172" t="n">
        <v>33.47</v>
      </c>
      <c r="D9" s="172" t="n">
        <v>772.53</v>
      </c>
      <c r="E9" s="172" t="n">
        <v>37120.65</v>
      </c>
      <c r="F9" s="172" t="n">
        <v>26367.26</v>
      </c>
      <c r="G9" s="172" t="n">
        <v>14846.48</v>
      </c>
      <c r="H9" s="172" t="n">
        <v>11985.29</v>
      </c>
      <c r="I9" s="172" t="n">
        <v>4205.01</v>
      </c>
      <c r="J9" s="172" t="n">
        <v>498.59</v>
      </c>
      <c r="K9" s="172" t="n">
        <v>109151.73</v>
      </c>
      <c r="L9" s="172" t="n">
        <v>293.5</v>
      </c>
      <c r="M9" s="172" t="n">
        <v>75.7</v>
      </c>
      <c r="N9" s="172" t="n">
        <v>166.19</v>
      </c>
      <c r="O9" s="172" t="n">
        <v>2015.19</v>
      </c>
      <c r="P9" s="466" t="s">
        <v>207</v>
      </c>
      <c r="R9" s="254"/>
    </row>
    <row r="10" s="184" customFormat="true" ht="12" hidden="false" customHeight="true" outlineLevel="0" collapsed="false">
      <c r="A10" s="842" t="s">
        <v>208</v>
      </c>
      <c r="B10" s="160" t="n">
        <v>13650.83</v>
      </c>
      <c r="C10" s="160" t="n">
        <v>41.98</v>
      </c>
      <c r="D10" s="160" t="n">
        <v>822.39</v>
      </c>
      <c r="E10" s="160" t="n">
        <v>43207.27</v>
      </c>
      <c r="F10" s="160" t="n">
        <v>29252.11</v>
      </c>
      <c r="G10" s="160" t="n">
        <v>15325.12</v>
      </c>
      <c r="H10" s="160" t="n">
        <v>13647.19</v>
      </c>
      <c r="I10" s="160" t="n">
        <v>4335.77</v>
      </c>
      <c r="J10" s="160" t="n">
        <v>643.71</v>
      </c>
      <c r="K10" s="160" t="n">
        <v>120819.85</v>
      </c>
      <c r="L10" s="160" t="n">
        <v>424.8</v>
      </c>
      <c r="M10" s="160" t="n">
        <v>71.41</v>
      </c>
      <c r="N10" s="160" t="n">
        <v>219.57</v>
      </c>
      <c r="O10" s="160" t="n">
        <v>2214.52</v>
      </c>
      <c r="P10" s="843" t="s">
        <v>208</v>
      </c>
      <c r="R10" s="187"/>
    </row>
    <row r="11" s="184" customFormat="true" ht="12" hidden="false" customHeight="true" outlineLevel="0" collapsed="false">
      <c r="A11" s="840" t="s">
        <v>209</v>
      </c>
      <c r="B11" s="193" t="n">
        <v>15349.85</v>
      </c>
      <c r="C11" s="193" t="n">
        <v>40.63</v>
      </c>
      <c r="D11" s="193" t="n">
        <v>960.38</v>
      </c>
      <c r="E11" s="193" t="n">
        <v>47477.4</v>
      </c>
      <c r="F11" s="193" t="n">
        <v>32290.13</v>
      </c>
      <c r="G11" s="193" t="n">
        <v>17690.47</v>
      </c>
      <c r="H11" s="193" t="n">
        <v>15758.31</v>
      </c>
      <c r="I11" s="193" t="n">
        <v>5252.42</v>
      </c>
      <c r="J11" s="193" t="n">
        <v>881.11</v>
      </c>
      <c r="K11" s="193" t="n">
        <v>135700.7</v>
      </c>
      <c r="L11" s="172" t="n">
        <v>362.66</v>
      </c>
      <c r="M11" s="172" t="n">
        <v>86.53</v>
      </c>
      <c r="N11" s="172" t="n">
        <v>253.13</v>
      </c>
      <c r="O11" s="172" t="n">
        <v>2139.31</v>
      </c>
      <c r="P11" s="841" t="s">
        <v>209</v>
      </c>
      <c r="R11" s="187"/>
    </row>
    <row r="12" s="184" customFormat="true" ht="12" hidden="false" customHeight="true" outlineLevel="0" collapsed="false">
      <c r="A12" s="842" t="s">
        <v>211</v>
      </c>
      <c r="B12" s="187" t="n">
        <v>18016.58</v>
      </c>
      <c r="C12" s="187" t="n">
        <v>32.75</v>
      </c>
      <c r="D12" s="187" t="n">
        <v>1582.03</v>
      </c>
      <c r="E12" s="187" t="n">
        <v>53235.45</v>
      </c>
      <c r="F12" s="187" t="n">
        <v>34862.82</v>
      </c>
      <c r="G12" s="187" t="n">
        <v>20583.86</v>
      </c>
      <c r="H12" s="187" t="n">
        <v>19630.96</v>
      </c>
      <c r="I12" s="187" t="n">
        <v>6560.2</v>
      </c>
      <c r="J12" s="187" t="n">
        <v>1014.07</v>
      </c>
      <c r="K12" s="187" t="n">
        <v>155518.72</v>
      </c>
      <c r="L12" s="160" t="n">
        <v>432.79</v>
      </c>
      <c r="M12" s="160" t="n">
        <v>95.44</v>
      </c>
      <c r="N12" s="160" t="n">
        <v>195.3</v>
      </c>
      <c r="O12" s="160" t="n">
        <v>2279.71</v>
      </c>
      <c r="P12" s="843" t="s">
        <v>211</v>
      </c>
      <c r="Q12" s="187"/>
    </row>
    <row r="13" s="184" customFormat="true" ht="12" hidden="false" customHeight="true" outlineLevel="0" collapsed="false">
      <c r="A13" s="1123" t="s">
        <v>212</v>
      </c>
      <c r="B13" s="204" t="n">
        <v>21069.19</v>
      </c>
      <c r="C13" s="204" t="n">
        <v>22.7</v>
      </c>
      <c r="D13" s="204" t="n">
        <v>1790.51</v>
      </c>
      <c r="E13" s="204" t="n">
        <v>52754.93</v>
      </c>
      <c r="F13" s="204" t="n">
        <v>38287.76</v>
      </c>
      <c r="G13" s="204" t="n">
        <v>25561.09</v>
      </c>
      <c r="H13" s="204" t="n">
        <v>23481.7</v>
      </c>
      <c r="I13" s="204" t="n">
        <v>7628.89</v>
      </c>
      <c r="J13" s="204" t="n">
        <v>1059.67</v>
      </c>
      <c r="K13" s="204" t="n">
        <v>171656.44</v>
      </c>
      <c r="L13" s="887" t="n">
        <v>1684.054</v>
      </c>
      <c r="M13" s="887" t="n">
        <v>100.3</v>
      </c>
      <c r="N13" s="887" t="n">
        <v>374.15</v>
      </c>
      <c r="O13" s="887" t="n">
        <v>2470.79</v>
      </c>
      <c r="P13" s="1593" t="s">
        <v>212</v>
      </c>
      <c r="Q13" s="187"/>
    </row>
    <row r="14" s="184" customFormat="true" ht="12" hidden="false" customHeight="true" outlineLevel="0" collapsed="false">
      <c r="A14" s="1122" t="s">
        <v>213</v>
      </c>
      <c r="B14" s="212" t="n">
        <f aca="false">SUM(B15:B26)</f>
        <v>24502.12</v>
      </c>
      <c r="C14" s="212" t="n">
        <f aca="false">SUM(C15:C26)</f>
        <v>35.77</v>
      </c>
      <c r="D14" s="212" t="n">
        <f aca="false">SUM(D15:D26)</f>
        <v>2080.34</v>
      </c>
      <c r="E14" s="212" t="n">
        <f aca="false">SUM(E15:E26)</f>
        <v>64548.26</v>
      </c>
      <c r="F14" s="212" t="n">
        <f aca="false">SUM(F15:F26)</f>
        <v>47171.8</v>
      </c>
      <c r="G14" s="212" t="n">
        <f aca="false">SUM(G15:G26)</f>
        <v>29367.76</v>
      </c>
      <c r="H14" s="212" t="n">
        <f aca="false">SUM(H15:H26)</f>
        <v>29639.15</v>
      </c>
      <c r="I14" s="212" t="n">
        <f aca="false">SUM(I15:I26)</f>
        <v>7912.23</v>
      </c>
      <c r="J14" s="212" t="n">
        <f aca="false">SUM(J15:J26)</f>
        <v>1149.82</v>
      </c>
      <c r="K14" s="212" t="n">
        <f aca="false">SUM(K15:K26)</f>
        <v>206407.25</v>
      </c>
      <c r="L14" s="886" t="n">
        <f aca="false">SUM(L15:L26)</f>
        <v>550.12</v>
      </c>
      <c r="M14" s="886" t="n">
        <f aca="false">SUM(M15:M26)</f>
        <v>100.05</v>
      </c>
      <c r="N14" s="886" t="n">
        <f aca="false">SUM(N15:N26)</f>
        <v>404.92</v>
      </c>
      <c r="O14" s="886" t="n">
        <f aca="false">SUM(O15:O26)</f>
        <v>2756.99</v>
      </c>
      <c r="P14" s="1594" t="s">
        <v>213</v>
      </c>
      <c r="Q14" s="187"/>
    </row>
    <row r="15" s="184" customFormat="true" ht="12" hidden="false" customHeight="true" outlineLevel="0" collapsed="false">
      <c r="A15" s="431" t="s">
        <v>214</v>
      </c>
      <c r="B15" s="193" t="n">
        <v>1908.89</v>
      </c>
      <c r="C15" s="193" t="n">
        <v>3.95</v>
      </c>
      <c r="D15" s="193" t="n">
        <v>58.56</v>
      </c>
      <c r="E15" s="193" t="n">
        <v>2991.95</v>
      </c>
      <c r="F15" s="193" t="n">
        <v>3610.21</v>
      </c>
      <c r="G15" s="193" t="n">
        <v>2196.31</v>
      </c>
      <c r="H15" s="193" t="n">
        <v>1705.32</v>
      </c>
      <c r="I15" s="193" t="n">
        <v>667.85</v>
      </c>
      <c r="J15" s="193" t="n">
        <f aca="false">0.12+82.49</f>
        <v>82.61</v>
      </c>
      <c r="K15" s="193" t="n">
        <f aca="false">SUM(B15:J15)</f>
        <v>13225.65</v>
      </c>
      <c r="L15" s="193" t="n">
        <v>36.81</v>
      </c>
      <c r="M15" s="193" t="n">
        <v>4.97</v>
      </c>
      <c r="N15" s="193" t="n">
        <v>24.67</v>
      </c>
      <c r="O15" s="193" t="n">
        <v>196.81</v>
      </c>
      <c r="P15" s="365" t="s">
        <v>214</v>
      </c>
      <c r="Q15" s="187"/>
    </row>
    <row r="16" s="184" customFormat="true" ht="12" hidden="false" customHeight="true" outlineLevel="0" collapsed="false">
      <c r="A16" s="429" t="s">
        <v>215</v>
      </c>
      <c r="B16" s="187" t="n">
        <v>2071.38</v>
      </c>
      <c r="C16" s="187" t="n">
        <v>3.39</v>
      </c>
      <c r="D16" s="187" t="n">
        <v>77.87</v>
      </c>
      <c r="E16" s="187" t="n">
        <v>3516.74</v>
      </c>
      <c r="F16" s="187" t="n">
        <v>3605.58</v>
      </c>
      <c r="G16" s="187" t="n">
        <v>2369.59</v>
      </c>
      <c r="H16" s="187" t="n">
        <v>2193.65</v>
      </c>
      <c r="I16" s="187" t="n">
        <v>723.6</v>
      </c>
      <c r="J16" s="187" t="n">
        <f aca="false">0.11+88.57</f>
        <v>88.68</v>
      </c>
      <c r="K16" s="187" t="n">
        <f aca="false">SUM(B16:J16)</f>
        <v>14650.48</v>
      </c>
      <c r="L16" s="187" t="n">
        <v>41.19</v>
      </c>
      <c r="M16" s="187" t="n">
        <v>5.31</v>
      </c>
      <c r="N16" s="187" t="n">
        <v>23.85</v>
      </c>
      <c r="O16" s="187" t="n">
        <v>190.91</v>
      </c>
      <c r="P16" s="364" t="s">
        <v>215</v>
      </c>
      <c r="Q16" s="187"/>
    </row>
    <row r="17" s="184" customFormat="true" ht="12" hidden="false" customHeight="true" outlineLevel="0" collapsed="false">
      <c r="A17" s="431" t="s">
        <v>216</v>
      </c>
      <c r="B17" s="193" t="n">
        <v>1649.4</v>
      </c>
      <c r="C17" s="193" t="n">
        <v>1.18</v>
      </c>
      <c r="D17" s="193" t="n">
        <v>81.47</v>
      </c>
      <c r="E17" s="193" t="n">
        <v>5066.81</v>
      </c>
      <c r="F17" s="193" t="n">
        <v>3551.11</v>
      </c>
      <c r="G17" s="193" t="n">
        <v>1908.62</v>
      </c>
      <c r="H17" s="193" t="n">
        <v>2880.52</v>
      </c>
      <c r="I17" s="193" t="n">
        <v>520.96</v>
      </c>
      <c r="J17" s="193" t="n">
        <f aca="false">0.22+91.86</f>
        <v>92.08</v>
      </c>
      <c r="K17" s="193" t="n">
        <f aca="false">SUM(B17:J17)</f>
        <v>15752.15</v>
      </c>
      <c r="L17" s="193" t="n">
        <v>45.05</v>
      </c>
      <c r="M17" s="193" t="n">
        <v>5.83</v>
      </c>
      <c r="N17" s="193" t="n">
        <v>22.11</v>
      </c>
      <c r="O17" s="193" t="n">
        <v>181.73</v>
      </c>
      <c r="P17" s="365" t="s">
        <v>216</v>
      </c>
      <c r="Q17" s="187"/>
    </row>
    <row r="18" s="184" customFormat="true" ht="12" hidden="false" customHeight="true" outlineLevel="0" collapsed="false">
      <c r="A18" s="429" t="s">
        <v>217</v>
      </c>
      <c r="B18" s="187" t="n">
        <v>1959.98</v>
      </c>
      <c r="C18" s="187" t="n">
        <v>5.34</v>
      </c>
      <c r="D18" s="187" t="n">
        <v>85.49</v>
      </c>
      <c r="E18" s="187" t="n">
        <v>3760.28</v>
      </c>
      <c r="F18" s="187" t="n">
        <v>3746.86</v>
      </c>
      <c r="G18" s="187" t="n">
        <v>2307.43</v>
      </c>
      <c r="H18" s="187" t="n">
        <v>2334.23</v>
      </c>
      <c r="I18" s="187" t="n">
        <v>655.49</v>
      </c>
      <c r="J18" s="187" t="n">
        <f aca="false">1.02+90.47</f>
        <v>91.49</v>
      </c>
      <c r="K18" s="187" t="n">
        <f aca="false">SUM(B18:J18)</f>
        <v>14946.59</v>
      </c>
      <c r="L18" s="187" t="n">
        <v>32.62</v>
      </c>
      <c r="M18" s="187" t="n">
        <v>8.17</v>
      </c>
      <c r="N18" s="187" t="n">
        <v>26.88</v>
      </c>
      <c r="O18" s="187" t="n">
        <v>217.95</v>
      </c>
      <c r="P18" s="364" t="s">
        <v>217</v>
      </c>
      <c r="Q18" s="187"/>
    </row>
    <row r="19" s="184" customFormat="true" ht="12" hidden="false" customHeight="true" outlineLevel="0" collapsed="false">
      <c r="A19" s="431" t="s">
        <v>218</v>
      </c>
      <c r="B19" s="193" t="n">
        <v>2240.69</v>
      </c>
      <c r="C19" s="193" t="n">
        <v>6.7</v>
      </c>
      <c r="D19" s="193" t="n">
        <v>77.33</v>
      </c>
      <c r="E19" s="193" t="n">
        <v>4043.55</v>
      </c>
      <c r="F19" s="193" t="n">
        <v>3751.31</v>
      </c>
      <c r="G19" s="193" t="n">
        <v>2646.07</v>
      </c>
      <c r="H19" s="193" t="n">
        <v>2212.17</v>
      </c>
      <c r="I19" s="193" t="n">
        <v>761.74</v>
      </c>
      <c r="J19" s="193" t="n">
        <f aca="false">0.12+99.63</f>
        <v>99.75</v>
      </c>
      <c r="K19" s="193" t="n">
        <f aca="false">SUM(B19:J19)</f>
        <v>15839.31</v>
      </c>
      <c r="L19" s="193" t="n">
        <v>44.86</v>
      </c>
      <c r="M19" s="193" t="n">
        <v>8.96</v>
      </c>
      <c r="N19" s="193" t="n">
        <v>22.51</v>
      </c>
      <c r="O19" s="193" t="n">
        <v>244.1</v>
      </c>
      <c r="P19" s="365" t="s">
        <v>218</v>
      </c>
      <c r="Q19" s="187"/>
    </row>
    <row r="20" s="184" customFormat="true" ht="12" hidden="false" customHeight="true" outlineLevel="0" collapsed="false">
      <c r="A20" s="429" t="s">
        <v>219</v>
      </c>
      <c r="B20" s="187" t="n">
        <v>2076.26</v>
      </c>
      <c r="C20" s="187" t="n">
        <v>2.45</v>
      </c>
      <c r="D20" s="187" t="n">
        <v>648.1</v>
      </c>
      <c r="E20" s="187" t="n">
        <v>5992.45</v>
      </c>
      <c r="F20" s="187" t="n">
        <v>3679.48</v>
      </c>
      <c r="G20" s="187" t="n">
        <v>2437.21</v>
      </c>
      <c r="H20" s="187" t="n">
        <v>2229.6</v>
      </c>
      <c r="I20" s="187" t="n">
        <v>587.77</v>
      </c>
      <c r="J20" s="187" t="n">
        <f aca="false">0.19+95.32</f>
        <v>95.51</v>
      </c>
      <c r="K20" s="187" t="n">
        <f aca="false">SUM(B20:J20)</f>
        <v>17748.83</v>
      </c>
      <c r="L20" s="187" t="n">
        <v>42.6</v>
      </c>
      <c r="M20" s="187" t="n">
        <v>8.65</v>
      </c>
      <c r="N20" s="187" t="n">
        <v>24.18</v>
      </c>
      <c r="O20" s="187" t="n">
        <v>213.37</v>
      </c>
      <c r="P20" s="364" t="s">
        <v>219</v>
      </c>
      <c r="Q20" s="187"/>
    </row>
    <row r="21" s="184" customFormat="true" ht="12" hidden="false" customHeight="true" outlineLevel="0" collapsed="false">
      <c r="A21" s="431" t="s">
        <v>220</v>
      </c>
      <c r="B21" s="193" t="n">
        <v>2202.48</v>
      </c>
      <c r="C21" s="193" t="n">
        <v>3.41</v>
      </c>
      <c r="D21" s="193" t="n">
        <v>346.43</v>
      </c>
      <c r="E21" s="193" t="n">
        <v>4569.31</v>
      </c>
      <c r="F21" s="193" t="n">
        <v>3868.62</v>
      </c>
      <c r="G21" s="193" t="n">
        <v>2673.98</v>
      </c>
      <c r="H21" s="193" t="n">
        <v>2462.08</v>
      </c>
      <c r="I21" s="193" t="n">
        <v>705.31</v>
      </c>
      <c r="J21" s="193" t="n">
        <f aca="false">0.15+98.59</f>
        <v>98.74</v>
      </c>
      <c r="K21" s="193" t="n">
        <f aca="false">SUM(B21:J21)</f>
        <v>16930.36</v>
      </c>
      <c r="L21" s="193" t="n">
        <v>43.05</v>
      </c>
      <c r="M21" s="193" t="n">
        <v>12.32</v>
      </c>
      <c r="N21" s="193" t="n">
        <v>27.97</v>
      </c>
      <c r="O21" s="193" t="n">
        <v>285.61</v>
      </c>
      <c r="P21" s="365" t="s">
        <v>220</v>
      </c>
      <c r="Q21" s="187"/>
    </row>
    <row r="22" s="184" customFormat="true" ht="12" hidden="false" customHeight="true" outlineLevel="0" collapsed="false">
      <c r="A22" s="429" t="s">
        <v>221</v>
      </c>
      <c r="B22" s="187" t="n">
        <v>1868.15</v>
      </c>
      <c r="C22" s="187" t="n">
        <v>2.87</v>
      </c>
      <c r="D22" s="187" t="n">
        <v>294.64</v>
      </c>
      <c r="E22" s="187" t="n">
        <v>4031.53</v>
      </c>
      <c r="F22" s="187" t="n">
        <v>3928.25</v>
      </c>
      <c r="G22" s="187" t="n">
        <v>2308.77</v>
      </c>
      <c r="H22" s="187" t="n">
        <v>2434.81</v>
      </c>
      <c r="I22" s="187" t="n">
        <v>652.55</v>
      </c>
      <c r="J22" s="187" t="n">
        <f aca="false">0.14+92.51</f>
        <v>92.65</v>
      </c>
      <c r="K22" s="187" t="n">
        <f aca="false">SUM(B22:J22)</f>
        <v>15614.22</v>
      </c>
      <c r="L22" s="187" t="n">
        <v>48.19</v>
      </c>
      <c r="M22" s="187" t="n">
        <v>10.69</v>
      </c>
      <c r="N22" s="187" t="n">
        <v>28.3</v>
      </c>
      <c r="O22" s="187" t="n">
        <v>232.57</v>
      </c>
      <c r="P22" s="364" t="s">
        <v>221</v>
      </c>
      <c r="Q22" s="187"/>
    </row>
    <row r="23" s="184" customFormat="true" ht="12" hidden="false" customHeight="true" outlineLevel="0" collapsed="false">
      <c r="A23" s="431" t="s">
        <v>222</v>
      </c>
      <c r="B23" s="193" t="n">
        <v>2084.89</v>
      </c>
      <c r="C23" s="193" t="n">
        <v>1.52</v>
      </c>
      <c r="D23" s="193" t="n">
        <v>148.84</v>
      </c>
      <c r="E23" s="193" t="n">
        <v>6527.61</v>
      </c>
      <c r="F23" s="193" t="n">
        <v>3775.74</v>
      </c>
      <c r="G23" s="193" t="n">
        <v>2580.49</v>
      </c>
      <c r="H23" s="193" t="n">
        <v>2689.22</v>
      </c>
      <c r="I23" s="193" t="n">
        <v>670.76</v>
      </c>
      <c r="J23" s="193" t="n">
        <f aca="false">0.19+90.42</f>
        <v>90.61</v>
      </c>
      <c r="K23" s="193" t="n">
        <f aca="false">SUM(B23:J23)</f>
        <v>18569.68</v>
      </c>
      <c r="L23" s="193" t="n">
        <v>53.02</v>
      </c>
      <c r="M23" s="193" t="n">
        <v>11.28</v>
      </c>
      <c r="N23" s="193" t="n">
        <v>23.61</v>
      </c>
      <c r="O23" s="193" t="n">
        <v>250.91</v>
      </c>
      <c r="P23" s="365" t="s">
        <v>222</v>
      </c>
      <c r="Q23" s="187"/>
    </row>
    <row r="24" s="184" customFormat="true" ht="12" hidden="false" customHeight="true" outlineLevel="0" collapsed="false">
      <c r="A24" s="429" t="s">
        <v>223</v>
      </c>
      <c r="B24" s="187" t="n">
        <v>2226.79</v>
      </c>
      <c r="C24" s="187" t="n">
        <v>2.32</v>
      </c>
      <c r="D24" s="187" t="n">
        <v>103.91</v>
      </c>
      <c r="E24" s="187" t="n">
        <v>4859.96</v>
      </c>
      <c r="F24" s="187" t="n">
        <v>4180.97</v>
      </c>
      <c r="G24" s="187" t="n">
        <v>2815.44</v>
      </c>
      <c r="H24" s="187" t="n">
        <v>3332.71</v>
      </c>
      <c r="I24" s="187" t="n">
        <v>669.45</v>
      </c>
      <c r="J24" s="187" t="n">
        <f aca="false">0.17+94.53</f>
        <v>94.7</v>
      </c>
      <c r="K24" s="187" t="n">
        <f aca="false">SUM(B24:J24)</f>
        <v>18286.25</v>
      </c>
      <c r="L24" s="187" t="n">
        <v>69.7</v>
      </c>
      <c r="M24" s="187" t="n">
        <v>8.75</v>
      </c>
      <c r="N24" s="187" t="n">
        <v>27.06</v>
      </c>
      <c r="O24" s="187" t="n">
        <v>193.37</v>
      </c>
      <c r="P24" s="364" t="s">
        <v>223</v>
      </c>
      <c r="Q24" s="187"/>
    </row>
    <row r="25" s="184" customFormat="true" ht="12" hidden="false" customHeight="true" outlineLevel="0" collapsed="false">
      <c r="A25" s="431" t="s">
        <v>224</v>
      </c>
      <c r="B25" s="193" t="n">
        <v>2189.69</v>
      </c>
      <c r="C25" s="193" t="n">
        <v>1.17</v>
      </c>
      <c r="D25" s="193" t="n">
        <v>91.48</v>
      </c>
      <c r="E25" s="193" t="n">
        <v>5084.77</v>
      </c>
      <c r="F25" s="193" t="n">
        <v>4038.56</v>
      </c>
      <c r="G25" s="193" t="n">
        <v>2810.89</v>
      </c>
      <c r="H25" s="193" t="n">
        <v>2901.81</v>
      </c>
      <c r="I25" s="193" t="n">
        <v>704.91</v>
      </c>
      <c r="J25" s="193" t="n">
        <f aca="false">0.16+84.54</f>
        <v>84.7</v>
      </c>
      <c r="K25" s="193" t="n">
        <f aca="false">SUM(B25:J25)</f>
        <v>17907.98</v>
      </c>
      <c r="L25" s="193" t="n">
        <v>54.73</v>
      </c>
      <c r="M25" s="193" t="n">
        <v>9.29</v>
      </c>
      <c r="N25" s="193" t="n">
        <v>26.99</v>
      </c>
      <c r="O25" s="193" t="n">
        <v>376.02</v>
      </c>
      <c r="P25" s="365" t="s">
        <v>224</v>
      </c>
      <c r="Q25" s="187"/>
    </row>
    <row r="26" s="184" customFormat="true" ht="12" hidden="false" customHeight="true" outlineLevel="0" collapsed="false">
      <c r="A26" s="429" t="s">
        <v>225</v>
      </c>
      <c r="B26" s="187" t="n">
        <v>2023.52</v>
      </c>
      <c r="C26" s="187" t="n">
        <v>1.47</v>
      </c>
      <c r="D26" s="187" t="n">
        <v>66.22</v>
      </c>
      <c r="E26" s="187" t="n">
        <v>14103.3</v>
      </c>
      <c r="F26" s="187" t="n">
        <v>5435.11</v>
      </c>
      <c r="G26" s="187" t="n">
        <v>2312.96</v>
      </c>
      <c r="H26" s="187" t="n">
        <v>2263.03</v>
      </c>
      <c r="I26" s="187" t="n">
        <v>591.84</v>
      </c>
      <c r="J26" s="187" t="n">
        <f aca="false">0.3+138</f>
        <v>138.3</v>
      </c>
      <c r="K26" s="187" t="n">
        <f aca="false">SUM(B26:J26)</f>
        <v>26935.75</v>
      </c>
      <c r="L26" s="187" t="n">
        <v>38.3</v>
      </c>
      <c r="M26" s="187" t="n">
        <v>5.83</v>
      </c>
      <c r="N26" s="187" t="n">
        <v>126.79</v>
      </c>
      <c r="O26" s="187" t="n">
        <v>173.64</v>
      </c>
      <c r="P26" s="364" t="s">
        <v>225</v>
      </c>
      <c r="Q26" s="187"/>
    </row>
    <row r="27" s="184" customFormat="true" ht="12" hidden="false" customHeight="true" outlineLevel="0" collapsed="false">
      <c r="A27" s="1123" t="s">
        <v>226</v>
      </c>
      <c r="B27" s="204" t="n">
        <f aca="false">SUM(B28:B39)</f>
        <v>24277.4</v>
      </c>
      <c r="C27" s="204" t="n">
        <f aca="false">SUM(C28:C39)</f>
        <v>42.17</v>
      </c>
      <c r="D27" s="204" t="n">
        <f aca="false">SUM(D28:D39)</f>
        <v>2373.33</v>
      </c>
      <c r="E27" s="204" t="n">
        <f aca="false">SUM(E28:E39)</f>
        <v>71795.5</v>
      </c>
      <c r="F27" s="204" t="n">
        <f aca="false">SUM(F28:F39)</f>
        <v>56323.02</v>
      </c>
      <c r="G27" s="204" t="n">
        <f aca="false">SUM(G28:G39)</f>
        <v>31398.55</v>
      </c>
      <c r="H27" s="204" t="n">
        <f aca="false">SUM(H28:H39)</f>
        <v>28891.02</v>
      </c>
      <c r="I27" s="204" t="n">
        <f aca="false">SUM(I28:I39)</f>
        <v>7664.04</v>
      </c>
      <c r="J27" s="204" t="n">
        <f aca="false">SUM(J28:J39)</f>
        <v>1127.39</v>
      </c>
      <c r="K27" s="204" t="n">
        <f aca="false">SUM(K28:K39)</f>
        <v>223892.42</v>
      </c>
      <c r="L27" s="887" t="n">
        <f aca="false">SUM(L28:L39)</f>
        <v>892.14</v>
      </c>
      <c r="M27" s="887" t="n">
        <f aca="false">SUM(M28:M39)</f>
        <v>100.23</v>
      </c>
      <c r="N27" s="887" t="n">
        <f aca="false">SUM(N28:N39)</f>
        <v>443.39</v>
      </c>
      <c r="O27" s="887" t="n">
        <f aca="false">SUM(O28:O39)</f>
        <v>3032.62</v>
      </c>
      <c r="P27" s="1593" t="s">
        <v>226</v>
      </c>
      <c r="Q27" s="187"/>
    </row>
    <row r="28" s="184" customFormat="true" ht="12" hidden="false" customHeight="true" outlineLevel="0" collapsed="false">
      <c r="A28" s="429" t="s">
        <v>214</v>
      </c>
      <c r="B28" s="187" t="n">
        <v>1941.13</v>
      </c>
      <c r="C28" s="187" t="n">
        <v>5.01</v>
      </c>
      <c r="D28" s="187" t="n">
        <v>88.01</v>
      </c>
      <c r="E28" s="187" t="n">
        <v>3802.39</v>
      </c>
      <c r="F28" s="187" t="n">
        <v>3438.24</v>
      </c>
      <c r="G28" s="187" t="n">
        <v>2297.52</v>
      </c>
      <c r="H28" s="187" t="n">
        <v>1416.13</v>
      </c>
      <c r="I28" s="187" t="n">
        <v>604.35</v>
      </c>
      <c r="J28" s="187" t="n">
        <v>119.82</v>
      </c>
      <c r="K28" s="187" t="n">
        <f aca="false">SUM(B28:J28)</f>
        <v>13712.6</v>
      </c>
      <c r="L28" s="187" t="n">
        <v>35.68</v>
      </c>
      <c r="M28" s="187" t="n">
        <v>6.01</v>
      </c>
      <c r="N28" s="187" t="n">
        <v>25.84</v>
      </c>
      <c r="O28" s="187" t="n">
        <v>211.18</v>
      </c>
      <c r="P28" s="364" t="s">
        <v>214</v>
      </c>
      <c r="Q28" s="187"/>
    </row>
    <row r="29" s="221" customFormat="true" ht="12" hidden="false" customHeight="true" outlineLevel="0" collapsed="false">
      <c r="A29" s="431" t="s">
        <v>215</v>
      </c>
      <c r="B29" s="193" t="n">
        <v>1817.61</v>
      </c>
      <c r="C29" s="193" t="n">
        <v>4.32</v>
      </c>
      <c r="D29" s="193" t="n">
        <v>106.83</v>
      </c>
      <c r="E29" s="193" t="n">
        <v>3851.75</v>
      </c>
      <c r="F29" s="193" t="n">
        <v>3633.28</v>
      </c>
      <c r="G29" s="193" t="n">
        <v>2459.38</v>
      </c>
      <c r="H29" s="193" t="n">
        <v>2403.86</v>
      </c>
      <c r="I29" s="193" t="n">
        <v>584.32</v>
      </c>
      <c r="J29" s="193" t="n">
        <v>87.17</v>
      </c>
      <c r="K29" s="193" t="n">
        <f aca="false">SUM(B29:J29)</f>
        <v>14948.52</v>
      </c>
      <c r="L29" s="193" t="n">
        <v>31.46</v>
      </c>
      <c r="M29" s="193" t="n">
        <v>6.01</v>
      </c>
      <c r="N29" s="193" t="n">
        <v>24.11</v>
      </c>
      <c r="O29" s="193" t="n">
        <v>287.58</v>
      </c>
      <c r="P29" s="365" t="s">
        <v>215</v>
      </c>
    </row>
    <row r="30" s="207" customFormat="true" ht="12" hidden="false" customHeight="true" outlineLevel="0" collapsed="false">
      <c r="A30" s="429" t="s">
        <v>216</v>
      </c>
      <c r="B30" s="187" t="n">
        <v>2132.86</v>
      </c>
      <c r="C30" s="187" t="n">
        <v>6.1</v>
      </c>
      <c r="D30" s="187" t="n">
        <v>95.7</v>
      </c>
      <c r="E30" s="187" t="n">
        <v>5559.25</v>
      </c>
      <c r="F30" s="187" t="n">
        <v>3984.08</v>
      </c>
      <c r="G30" s="187" t="n">
        <v>2585.21</v>
      </c>
      <c r="H30" s="187" t="n">
        <v>2358.28</v>
      </c>
      <c r="I30" s="187" t="n">
        <v>709.18</v>
      </c>
      <c r="J30" s="187" t="n">
        <v>88.63</v>
      </c>
      <c r="K30" s="187" t="n">
        <f aca="false">SUM(B30:J30)</f>
        <v>17519.29</v>
      </c>
      <c r="L30" s="187" t="n">
        <v>44.48</v>
      </c>
      <c r="M30" s="187" t="n">
        <v>6</v>
      </c>
      <c r="N30" s="187" t="n">
        <v>29.71</v>
      </c>
      <c r="O30" s="187" t="n">
        <v>275.51</v>
      </c>
      <c r="P30" s="364" t="s">
        <v>216</v>
      </c>
    </row>
    <row r="31" s="207" customFormat="true" ht="12" hidden="false" customHeight="true" outlineLevel="0" collapsed="false">
      <c r="A31" s="431" t="s">
        <v>217</v>
      </c>
      <c r="B31" s="193" t="n">
        <v>2049.61</v>
      </c>
      <c r="C31" s="193" t="n">
        <v>12.9</v>
      </c>
      <c r="D31" s="193" t="n">
        <v>103.61</v>
      </c>
      <c r="E31" s="193" t="n">
        <v>3844.49</v>
      </c>
      <c r="F31" s="193" t="n">
        <v>4410.78</v>
      </c>
      <c r="G31" s="193" t="n">
        <v>2774.31</v>
      </c>
      <c r="H31" s="193" t="n">
        <v>2277.6</v>
      </c>
      <c r="I31" s="193" t="n">
        <v>647.86</v>
      </c>
      <c r="J31" s="193" t="n">
        <v>91.95</v>
      </c>
      <c r="K31" s="193" t="n">
        <f aca="false">SUM(B31:J31)</f>
        <v>16213.11</v>
      </c>
      <c r="L31" s="193" t="n">
        <v>38.86</v>
      </c>
      <c r="M31" s="193" t="n">
        <v>9.68</v>
      </c>
      <c r="N31" s="193" t="n">
        <v>30.52</v>
      </c>
      <c r="O31" s="193" t="n">
        <v>248.16</v>
      </c>
      <c r="P31" s="365" t="s">
        <v>217</v>
      </c>
    </row>
    <row r="32" s="207" customFormat="true" ht="12" hidden="false" customHeight="true" outlineLevel="0" collapsed="false">
      <c r="A32" s="429" t="s">
        <v>218</v>
      </c>
      <c r="B32" s="187" t="n">
        <v>1928.36</v>
      </c>
      <c r="C32" s="187" t="n">
        <v>3.29</v>
      </c>
      <c r="D32" s="187" t="n">
        <v>105.35</v>
      </c>
      <c r="E32" s="187" t="n">
        <v>4379.97</v>
      </c>
      <c r="F32" s="187" t="n">
        <v>4408.97</v>
      </c>
      <c r="G32" s="187" t="n">
        <v>2895.15</v>
      </c>
      <c r="H32" s="187" t="n">
        <v>2804.5</v>
      </c>
      <c r="I32" s="187" t="n">
        <v>645.82</v>
      </c>
      <c r="J32" s="187" t="n">
        <v>95.62</v>
      </c>
      <c r="K32" s="187" t="n">
        <f aca="false">SUM(B32:J32)</f>
        <v>17267.03</v>
      </c>
      <c r="L32" s="187" t="n">
        <v>42.29</v>
      </c>
      <c r="M32" s="187" t="n">
        <v>8.96</v>
      </c>
      <c r="N32" s="187" t="n">
        <v>27.87</v>
      </c>
      <c r="O32" s="187" t="n">
        <v>244.79</v>
      </c>
      <c r="P32" s="364" t="s">
        <v>218</v>
      </c>
    </row>
    <row r="33" s="207" customFormat="true" ht="12" hidden="false" customHeight="true" outlineLevel="0" collapsed="false">
      <c r="A33" s="431" t="s">
        <v>219</v>
      </c>
      <c r="B33" s="193" t="n">
        <v>1764.21</v>
      </c>
      <c r="C33" s="193" t="n">
        <v>1.46</v>
      </c>
      <c r="D33" s="193" t="n">
        <v>311.9</v>
      </c>
      <c r="E33" s="193" t="n">
        <v>6708.44</v>
      </c>
      <c r="F33" s="193" t="n">
        <v>4370.86</v>
      </c>
      <c r="G33" s="193" t="n">
        <v>2438.84</v>
      </c>
      <c r="H33" s="193" t="n">
        <v>2132.85</v>
      </c>
      <c r="I33" s="193" t="n">
        <v>509.78</v>
      </c>
      <c r="J33" s="193" t="n">
        <v>94.8</v>
      </c>
      <c r="K33" s="193" t="n">
        <f aca="false">SUM(B33:J33)</f>
        <v>18333.14</v>
      </c>
      <c r="L33" s="193" t="n">
        <v>238.23</v>
      </c>
      <c r="M33" s="193" t="n">
        <v>6.91</v>
      </c>
      <c r="N33" s="193" t="n">
        <v>22.39</v>
      </c>
      <c r="O33" s="193" t="n">
        <v>281.86</v>
      </c>
      <c r="P33" s="365" t="s">
        <v>219</v>
      </c>
    </row>
    <row r="34" s="207" customFormat="true" ht="12" hidden="false" customHeight="true" outlineLevel="0" collapsed="false">
      <c r="A34" s="429" t="s">
        <v>220</v>
      </c>
      <c r="B34" s="187" t="n">
        <v>2285.26</v>
      </c>
      <c r="C34" s="187" t="n">
        <v>1.43</v>
      </c>
      <c r="D34" s="187" t="n">
        <v>762.35</v>
      </c>
      <c r="E34" s="187" t="n">
        <v>5161.68</v>
      </c>
      <c r="F34" s="187" t="n">
        <v>4634.54</v>
      </c>
      <c r="G34" s="187" t="n">
        <v>2983.11</v>
      </c>
      <c r="H34" s="187" t="n">
        <v>2174.3</v>
      </c>
      <c r="I34" s="187" t="n">
        <v>683.97</v>
      </c>
      <c r="J34" s="187" t="n">
        <v>92.21</v>
      </c>
      <c r="K34" s="187" t="n">
        <f aca="false">SUM(B34:J34)</f>
        <v>18778.85</v>
      </c>
      <c r="L34" s="187" t="n">
        <v>50.98</v>
      </c>
      <c r="M34" s="187" t="n">
        <v>10.29</v>
      </c>
      <c r="N34" s="187" t="n">
        <v>32.62</v>
      </c>
      <c r="O34" s="187" t="n">
        <v>297.16</v>
      </c>
      <c r="P34" s="364" t="s">
        <v>220</v>
      </c>
    </row>
    <row r="35" s="207" customFormat="true" ht="12" hidden="false" customHeight="true" outlineLevel="0" collapsed="false">
      <c r="A35" s="431" t="s">
        <v>221</v>
      </c>
      <c r="B35" s="193" t="n">
        <v>1808.41</v>
      </c>
      <c r="C35" s="193" t="n">
        <v>2.84</v>
      </c>
      <c r="D35" s="193" t="n">
        <v>370.12</v>
      </c>
      <c r="E35" s="193" t="n">
        <v>4886.62</v>
      </c>
      <c r="F35" s="193" t="n">
        <v>4478.19</v>
      </c>
      <c r="G35" s="193" t="n">
        <v>2443.04</v>
      </c>
      <c r="H35" s="193" t="n">
        <v>2033.72</v>
      </c>
      <c r="I35" s="193" t="n">
        <v>602.63</v>
      </c>
      <c r="J35" s="193" t="n">
        <v>97.19</v>
      </c>
      <c r="K35" s="193" t="n">
        <f aca="false">SUM(B35:J35)</f>
        <v>16722.76</v>
      </c>
      <c r="L35" s="193" t="n">
        <v>46.08</v>
      </c>
      <c r="M35" s="193" t="n">
        <v>10.46</v>
      </c>
      <c r="N35" s="193" t="n">
        <v>27.57</v>
      </c>
      <c r="O35" s="193" t="n">
        <v>279.01</v>
      </c>
      <c r="P35" s="365" t="s">
        <v>221</v>
      </c>
    </row>
    <row r="36" s="207" customFormat="true" ht="12" hidden="false" customHeight="true" outlineLevel="0" collapsed="false">
      <c r="A36" s="429" t="s">
        <v>222</v>
      </c>
      <c r="B36" s="187" t="n">
        <v>2038.34</v>
      </c>
      <c r="C36" s="187" t="n">
        <v>1.4</v>
      </c>
      <c r="D36" s="187" t="n">
        <v>125.21</v>
      </c>
      <c r="E36" s="187" t="n">
        <v>7350.76</v>
      </c>
      <c r="F36" s="187" t="n">
        <v>4598.58</v>
      </c>
      <c r="G36" s="187" t="n">
        <v>2596.46</v>
      </c>
      <c r="H36" s="187" t="n">
        <v>2482.11</v>
      </c>
      <c r="I36" s="187" t="n">
        <v>664.76</v>
      </c>
      <c r="J36" s="187" t="n">
        <v>95.76</v>
      </c>
      <c r="K36" s="187" t="n">
        <f aca="false">SUM(B36:J36)</f>
        <v>19953.38</v>
      </c>
      <c r="L36" s="187" t="n">
        <v>45.47</v>
      </c>
      <c r="M36" s="187" t="n">
        <v>11.21</v>
      </c>
      <c r="N36" s="187" t="n">
        <v>28.11</v>
      </c>
      <c r="O36" s="187" t="n">
        <v>165.85</v>
      </c>
      <c r="P36" s="364" t="s">
        <v>222</v>
      </c>
    </row>
    <row r="37" s="207" customFormat="true" ht="12" hidden="false" customHeight="true" outlineLevel="0" collapsed="false">
      <c r="A37" s="431" t="s">
        <v>223</v>
      </c>
      <c r="B37" s="193" t="n">
        <v>2410.37</v>
      </c>
      <c r="C37" s="193" t="n">
        <v>1.67</v>
      </c>
      <c r="D37" s="193" t="n">
        <v>98.87</v>
      </c>
      <c r="E37" s="193" t="n">
        <v>5370.08</v>
      </c>
      <c r="F37" s="193" t="n">
        <v>4773.67</v>
      </c>
      <c r="G37" s="193" t="n">
        <v>3016.83</v>
      </c>
      <c r="H37" s="193" t="n">
        <v>3190.46</v>
      </c>
      <c r="I37" s="193" t="n">
        <v>688.2</v>
      </c>
      <c r="J37" s="193" t="n">
        <v>67.68</v>
      </c>
      <c r="K37" s="193" t="n">
        <f aca="false">SUM(B37:J37)</f>
        <v>19617.83</v>
      </c>
      <c r="L37" s="193" t="n">
        <v>66.5</v>
      </c>
      <c r="M37" s="193" t="n">
        <v>9.92</v>
      </c>
      <c r="N37" s="193" t="n">
        <v>26.95</v>
      </c>
      <c r="O37" s="193" t="n">
        <v>269.14</v>
      </c>
      <c r="P37" s="365" t="s">
        <v>223</v>
      </c>
    </row>
    <row r="38" s="207" customFormat="true" ht="12" hidden="false" customHeight="true" outlineLevel="0" collapsed="false">
      <c r="A38" s="429" t="s">
        <v>224</v>
      </c>
      <c r="B38" s="187" t="n">
        <v>2270.98</v>
      </c>
      <c r="C38" s="187" t="n">
        <v>1.11</v>
      </c>
      <c r="D38" s="187" t="n">
        <v>94.7</v>
      </c>
      <c r="E38" s="187" t="n">
        <v>5711.8</v>
      </c>
      <c r="F38" s="187" t="n">
        <v>5369.08</v>
      </c>
      <c r="G38" s="187" t="n">
        <v>2654.65</v>
      </c>
      <c r="H38" s="187" t="n">
        <v>3630.93</v>
      </c>
      <c r="I38" s="187" t="n">
        <v>686.33</v>
      </c>
      <c r="J38" s="187" t="n">
        <v>129.32</v>
      </c>
      <c r="K38" s="187" t="n">
        <f aca="false">SUM(B38:J38)</f>
        <v>20548.9</v>
      </c>
      <c r="L38" s="187" t="n">
        <v>70.17</v>
      </c>
      <c r="M38" s="187" t="n">
        <v>6.95</v>
      </c>
      <c r="N38" s="187" t="n">
        <v>25.79</v>
      </c>
      <c r="O38" s="187" t="n">
        <v>232.86</v>
      </c>
      <c r="P38" s="364" t="s">
        <v>224</v>
      </c>
    </row>
    <row r="39" s="207" customFormat="true" ht="12" hidden="false" customHeight="true" outlineLevel="0" collapsed="false">
      <c r="A39" s="431" t="s">
        <v>225</v>
      </c>
      <c r="B39" s="193" t="n">
        <v>1830.26</v>
      </c>
      <c r="C39" s="193" t="n">
        <v>0.64</v>
      </c>
      <c r="D39" s="193" t="n">
        <v>110.68</v>
      </c>
      <c r="E39" s="193" t="n">
        <v>15168.27</v>
      </c>
      <c r="F39" s="193" t="n">
        <v>8222.75</v>
      </c>
      <c r="G39" s="193" t="n">
        <v>2254.05</v>
      </c>
      <c r="H39" s="193" t="n">
        <v>1986.28</v>
      </c>
      <c r="I39" s="193" t="n">
        <v>636.84</v>
      </c>
      <c r="J39" s="193" t="n">
        <v>67.24</v>
      </c>
      <c r="K39" s="193" t="n">
        <f aca="false">SUM(B39:J39)</f>
        <v>30277.01</v>
      </c>
      <c r="L39" s="193" t="n">
        <v>181.94</v>
      </c>
      <c r="M39" s="193" t="n">
        <v>7.83</v>
      </c>
      <c r="N39" s="193" t="n">
        <v>141.91</v>
      </c>
      <c r="O39" s="193" t="n">
        <v>239.52</v>
      </c>
      <c r="P39" s="365" t="s">
        <v>225</v>
      </c>
    </row>
    <row r="40" s="207" customFormat="true" ht="12" hidden="false" customHeight="true" outlineLevel="0" collapsed="false">
      <c r="A40" s="1122" t="s">
        <v>2640</v>
      </c>
      <c r="B40" s="1595" t="n">
        <f aca="false">SUM(B41:B52)</f>
        <v>26113.6</v>
      </c>
      <c r="C40" s="1595" t="n">
        <f aca="false">SUM(C41:C52)</f>
        <v>1.07</v>
      </c>
      <c r="D40" s="1595" t="n">
        <f aca="false">SUM(D41:D52)</f>
        <v>2279.46</v>
      </c>
      <c r="E40" s="1595" t="n">
        <f aca="false">SUM(E41:E52)</f>
        <v>72179.79</v>
      </c>
      <c r="F40" s="1595" t="n">
        <f aca="false">SUM(F41:F52)</f>
        <v>56451.32</v>
      </c>
      <c r="G40" s="1595" t="n">
        <f aca="false">SUM(G41:G52)</f>
        <v>27817.93</v>
      </c>
      <c r="H40" s="1595" t="n">
        <f aca="false">SUM(H41:H52)</f>
        <v>25471.34</v>
      </c>
      <c r="I40" s="1595" t="n">
        <f aca="false">SUM(I41:I52)</f>
        <v>6619.64</v>
      </c>
      <c r="J40" s="1595" t="n">
        <f aca="false">SUM(J41:J52)</f>
        <v>1471.9</v>
      </c>
      <c r="K40" s="1595" t="n">
        <f aca="false">SUM(K41:K52)</f>
        <v>218406.05</v>
      </c>
      <c r="L40" s="187"/>
      <c r="M40" s="187"/>
      <c r="N40" s="187"/>
      <c r="O40" s="187"/>
      <c r="P40" s="1594" t="s">
        <v>2640</v>
      </c>
    </row>
    <row r="41" s="207" customFormat="true" ht="12" hidden="false" customHeight="true" outlineLevel="0" collapsed="false">
      <c r="A41" s="431" t="s">
        <v>214</v>
      </c>
      <c r="B41" s="193" t="n">
        <v>2058.86</v>
      </c>
      <c r="C41" s="193" t="n">
        <v>0.48</v>
      </c>
      <c r="D41" s="193" t="n">
        <v>117.55</v>
      </c>
      <c r="E41" s="193" t="n">
        <v>4257.07</v>
      </c>
      <c r="F41" s="193" t="n">
        <v>4663.12</v>
      </c>
      <c r="G41" s="193" t="n">
        <v>2526.92</v>
      </c>
      <c r="H41" s="193" t="n">
        <v>1357.31</v>
      </c>
      <c r="I41" s="193" t="n">
        <v>714.72</v>
      </c>
      <c r="J41" s="193" t="n">
        <f aca="false">88.72+41.51+0.12</f>
        <v>130.35</v>
      </c>
      <c r="K41" s="193" t="n">
        <f aca="false">SUM(B41:J41)</f>
        <v>15826.38</v>
      </c>
      <c r="L41" s="193" t="n">
        <v>37.15</v>
      </c>
      <c r="M41" s="193" t="s">
        <v>204</v>
      </c>
      <c r="N41" s="193" t="n">
        <v>18.92</v>
      </c>
      <c r="O41" s="193" t="n">
        <v>264.84</v>
      </c>
      <c r="P41" s="365" t="s">
        <v>214</v>
      </c>
    </row>
    <row r="42" s="207" customFormat="true" ht="12" hidden="false" customHeight="true" outlineLevel="0" collapsed="false">
      <c r="A42" s="429" t="s">
        <v>215</v>
      </c>
      <c r="B42" s="187" t="n">
        <v>1667.65</v>
      </c>
      <c r="C42" s="187" t="n">
        <v>0.21</v>
      </c>
      <c r="D42" s="187" t="n">
        <v>101.25</v>
      </c>
      <c r="E42" s="187" t="n">
        <v>4480.69</v>
      </c>
      <c r="F42" s="187" t="n">
        <v>4082.42</v>
      </c>
      <c r="G42" s="187" t="n">
        <v>2076.15</v>
      </c>
      <c r="H42" s="187" t="n">
        <v>1228.17</v>
      </c>
      <c r="I42" s="187" t="n">
        <v>527.83</v>
      </c>
      <c r="J42" s="187" t="n">
        <v>121.08</v>
      </c>
      <c r="K42" s="187" t="n">
        <f aca="false">SUM(B42:J42)</f>
        <v>14285.45</v>
      </c>
      <c r="L42" s="187" t="n">
        <v>40</v>
      </c>
      <c r="M42" s="187" t="s">
        <v>204</v>
      </c>
      <c r="N42" s="187" t="n">
        <v>19.16</v>
      </c>
      <c r="O42" s="187" t="n">
        <v>197.32</v>
      </c>
      <c r="P42" s="364" t="s">
        <v>215</v>
      </c>
    </row>
    <row r="43" s="207" customFormat="true" ht="12" hidden="false" customHeight="true" outlineLevel="0" collapsed="false">
      <c r="A43" s="431" t="s">
        <v>216</v>
      </c>
      <c r="B43" s="193" t="n">
        <v>2163.6</v>
      </c>
      <c r="C43" s="193" t="n">
        <v>0.19</v>
      </c>
      <c r="D43" s="193" t="n">
        <v>91.24</v>
      </c>
      <c r="E43" s="193" t="n">
        <v>6174.76</v>
      </c>
      <c r="F43" s="193" t="n">
        <v>4397.39</v>
      </c>
      <c r="G43" s="193" t="n">
        <v>2563.48</v>
      </c>
      <c r="H43" s="193" t="n">
        <v>1731.05</v>
      </c>
      <c r="I43" s="193" t="n">
        <v>644.65</v>
      </c>
      <c r="J43" s="193" t="n">
        <v>137.51</v>
      </c>
      <c r="K43" s="193" t="n">
        <f aca="false">SUM(B43:J43)</f>
        <v>17903.87</v>
      </c>
      <c r="L43" s="193" t="s">
        <v>204</v>
      </c>
      <c r="M43" s="193" t="s">
        <v>204</v>
      </c>
      <c r="N43" s="193" t="s">
        <v>204</v>
      </c>
      <c r="O43" s="193" t="s">
        <v>204</v>
      </c>
      <c r="P43" s="365" t="s">
        <v>216</v>
      </c>
    </row>
    <row r="44" s="207" customFormat="true" ht="12" hidden="false" customHeight="true" outlineLevel="0" collapsed="false">
      <c r="A44" s="429" t="s">
        <v>217</v>
      </c>
      <c r="B44" s="187" t="n">
        <v>2254.2</v>
      </c>
      <c r="C44" s="187" t="n">
        <v>0.05</v>
      </c>
      <c r="D44" s="187" t="n">
        <v>100.13</v>
      </c>
      <c r="E44" s="187" t="n">
        <v>4479.81</v>
      </c>
      <c r="F44" s="187" t="n">
        <v>5021.09</v>
      </c>
      <c r="G44" s="187" t="n">
        <v>2747.44</v>
      </c>
      <c r="H44" s="187" t="n">
        <v>2323.8</v>
      </c>
      <c r="I44" s="187" t="n">
        <v>702.98</v>
      </c>
      <c r="J44" s="187" t="n">
        <v>161.38</v>
      </c>
      <c r="K44" s="187" t="n">
        <f aca="false">SUM(B44:J44)</f>
        <v>17790.88</v>
      </c>
      <c r="L44" s="187" t="s">
        <v>204</v>
      </c>
      <c r="M44" s="187" t="s">
        <v>204</v>
      </c>
      <c r="N44" s="187" t="s">
        <v>204</v>
      </c>
      <c r="O44" s="187" t="s">
        <v>204</v>
      </c>
      <c r="P44" s="364" t="s">
        <v>217</v>
      </c>
    </row>
    <row r="45" s="207" customFormat="true" ht="12" hidden="false" customHeight="true" outlineLevel="0" collapsed="false">
      <c r="A45" s="431" t="s">
        <v>218</v>
      </c>
      <c r="B45" s="193" t="n">
        <v>2232.29</v>
      </c>
      <c r="C45" s="193" t="n">
        <v>0.03</v>
      </c>
      <c r="D45" s="193" t="n">
        <v>93.1</v>
      </c>
      <c r="E45" s="193" t="n">
        <v>5028.8</v>
      </c>
      <c r="F45" s="193" t="n">
        <v>5568.56</v>
      </c>
      <c r="G45" s="193" t="n">
        <v>2571.08</v>
      </c>
      <c r="H45" s="193" t="n">
        <v>2313.5</v>
      </c>
      <c r="I45" s="193" t="n">
        <v>633.28</v>
      </c>
      <c r="J45" s="193" t="n">
        <v>155.33</v>
      </c>
      <c r="K45" s="193" t="n">
        <f aca="false">SUM(B45:J45)</f>
        <v>18595.97</v>
      </c>
      <c r="L45" s="193" t="s">
        <v>204</v>
      </c>
      <c r="M45" s="193" t="s">
        <v>204</v>
      </c>
      <c r="N45" s="193" t="s">
        <v>204</v>
      </c>
      <c r="O45" s="193" t="s">
        <v>204</v>
      </c>
      <c r="P45" s="365" t="s">
        <v>218</v>
      </c>
    </row>
    <row r="46" s="207" customFormat="true" ht="12" hidden="false" customHeight="true" outlineLevel="0" collapsed="false">
      <c r="A46" s="429" t="s">
        <v>219</v>
      </c>
      <c r="B46" s="187" t="n">
        <v>2124.11</v>
      </c>
      <c r="C46" s="187" t="n">
        <v>0.01</v>
      </c>
      <c r="D46" s="187" t="n">
        <v>994.55</v>
      </c>
      <c r="E46" s="187" t="n">
        <v>7717.43</v>
      </c>
      <c r="F46" s="187" t="n">
        <v>5343.5</v>
      </c>
      <c r="G46" s="187" t="n">
        <v>2653.05</v>
      </c>
      <c r="H46" s="187" t="n">
        <v>2209.1</v>
      </c>
      <c r="I46" s="187" t="n">
        <v>646.72</v>
      </c>
      <c r="J46" s="187" t="n">
        <v>149.39</v>
      </c>
      <c r="K46" s="187" t="n">
        <f aca="false">SUM(B46:J46)</f>
        <v>21837.86</v>
      </c>
      <c r="L46" s="187" t="s">
        <v>204</v>
      </c>
      <c r="M46" s="187" t="s">
        <v>204</v>
      </c>
      <c r="N46" s="187" t="s">
        <v>204</v>
      </c>
      <c r="O46" s="187" t="s">
        <v>204</v>
      </c>
      <c r="P46" s="364" t="s">
        <v>219</v>
      </c>
    </row>
    <row r="47" s="207" customFormat="true" ht="12" hidden="false" customHeight="true" outlineLevel="0" collapsed="false">
      <c r="A47" s="431" t="s">
        <v>220</v>
      </c>
      <c r="B47" s="193" t="n">
        <v>2250.61</v>
      </c>
      <c r="C47" s="193" t="n">
        <v>0.05</v>
      </c>
      <c r="D47" s="193" t="n">
        <v>385.19</v>
      </c>
      <c r="E47" s="193" t="n">
        <v>6188.54</v>
      </c>
      <c r="F47" s="193" t="n">
        <v>5071.14</v>
      </c>
      <c r="G47" s="193" t="n">
        <v>2676.49</v>
      </c>
      <c r="H47" s="193" t="n">
        <v>2883.58</v>
      </c>
      <c r="I47" s="193" t="n">
        <v>716.93</v>
      </c>
      <c r="J47" s="193" t="n">
        <v>165.06</v>
      </c>
      <c r="K47" s="193" t="n">
        <f aca="false">SUM(B47:J47)</f>
        <v>20337.59</v>
      </c>
      <c r="L47" s="193" t="s">
        <v>204</v>
      </c>
      <c r="M47" s="193" t="s">
        <v>204</v>
      </c>
      <c r="N47" s="193" t="s">
        <v>204</v>
      </c>
      <c r="O47" s="193" t="s">
        <v>204</v>
      </c>
      <c r="P47" s="365" t="s">
        <v>220</v>
      </c>
    </row>
    <row r="48" s="207" customFormat="true" ht="12" hidden="false" customHeight="true" outlineLevel="0" collapsed="false">
      <c r="A48" s="429" t="s">
        <v>221</v>
      </c>
      <c r="B48" s="187" t="n">
        <v>2183.33</v>
      </c>
      <c r="C48" s="187" t="n">
        <v>0.04</v>
      </c>
      <c r="D48" s="187" t="n">
        <v>242.63</v>
      </c>
      <c r="E48" s="187" t="n">
        <v>5545.81</v>
      </c>
      <c r="F48" s="187" t="n">
        <v>4717.45</v>
      </c>
      <c r="G48" s="187" t="n">
        <v>2759.99</v>
      </c>
      <c r="H48" s="187" t="n">
        <v>2627.72</v>
      </c>
      <c r="I48" s="187" t="n">
        <v>769.83</v>
      </c>
      <c r="J48" s="187" t="n">
        <f aca="false">162.8-0.35</f>
        <v>162.45</v>
      </c>
      <c r="K48" s="187" t="n">
        <f aca="false">SUM(B48:J48)</f>
        <v>19009.25</v>
      </c>
      <c r="L48" s="187" t="s">
        <v>204</v>
      </c>
      <c r="M48" s="187" t="s">
        <v>204</v>
      </c>
      <c r="N48" s="187" t="s">
        <v>204</v>
      </c>
      <c r="O48" s="187" t="s">
        <v>204</v>
      </c>
      <c r="P48" s="364" t="s">
        <v>221</v>
      </c>
    </row>
    <row r="49" s="207" customFormat="true" ht="12" hidden="false" customHeight="true" outlineLevel="0" collapsed="false">
      <c r="A49" s="431" t="s">
        <v>222</v>
      </c>
      <c r="B49" s="193" t="n">
        <v>2122.73</v>
      </c>
      <c r="C49" s="193" t="n">
        <v>0</v>
      </c>
      <c r="D49" s="193" t="n">
        <v>47.36</v>
      </c>
      <c r="E49" s="193" t="n">
        <v>8171.75</v>
      </c>
      <c r="F49" s="193" t="n">
        <v>4036.26</v>
      </c>
      <c r="G49" s="193" t="n">
        <v>2597.28</v>
      </c>
      <c r="H49" s="193" t="n">
        <v>2886.43</v>
      </c>
      <c r="I49" s="193" t="n">
        <v>554.09</v>
      </c>
      <c r="J49" s="193" t="n">
        <f aca="false">114.82+3.4</f>
        <v>118.22</v>
      </c>
      <c r="K49" s="193" t="n">
        <f aca="false">SUM(B49:J49)</f>
        <v>20534.12</v>
      </c>
      <c r="L49" s="193" t="s">
        <v>204</v>
      </c>
      <c r="M49" s="193" t="s">
        <v>204</v>
      </c>
      <c r="N49" s="193" t="s">
        <v>204</v>
      </c>
      <c r="O49" s="193" t="s">
        <v>204</v>
      </c>
      <c r="P49" s="365" t="s">
        <v>222</v>
      </c>
    </row>
    <row r="50" s="207" customFormat="true" ht="12" hidden="false" customHeight="true" outlineLevel="0" collapsed="false">
      <c r="A50" s="429" t="s">
        <v>223</v>
      </c>
      <c r="B50" s="187" t="n">
        <v>979.58</v>
      </c>
      <c r="C50" s="187" t="s">
        <v>204</v>
      </c>
      <c r="D50" s="187" t="n">
        <v>23.96</v>
      </c>
      <c r="E50" s="187" t="n">
        <v>2264.64</v>
      </c>
      <c r="F50" s="187" t="n">
        <v>2660.08</v>
      </c>
      <c r="G50" s="187" t="n">
        <v>1501.42</v>
      </c>
      <c r="H50" s="187" t="n">
        <v>1299.53</v>
      </c>
      <c r="I50" s="187" t="n">
        <v>169.46</v>
      </c>
      <c r="J50" s="187" t="n">
        <v>42.04</v>
      </c>
      <c r="K50" s="187" t="n">
        <f aca="false">SUM(B50:J50)</f>
        <v>8940.71</v>
      </c>
      <c r="L50" s="187" t="s">
        <v>204</v>
      </c>
      <c r="M50" s="187" t="s">
        <v>204</v>
      </c>
      <c r="N50" s="187" t="s">
        <v>204</v>
      </c>
      <c r="O50" s="187" t="s">
        <v>204</v>
      </c>
      <c r="P50" s="364" t="s">
        <v>223</v>
      </c>
    </row>
    <row r="51" s="207" customFormat="true" ht="12" hidden="false" customHeight="true" outlineLevel="0" collapsed="false">
      <c r="A51" s="431" t="s">
        <v>224</v>
      </c>
      <c r="B51" s="193" t="n">
        <v>4024.86</v>
      </c>
      <c r="C51" s="193" t="s">
        <v>204</v>
      </c>
      <c r="D51" s="193" t="n">
        <v>23.34</v>
      </c>
      <c r="E51" s="193" t="n">
        <v>2669.87</v>
      </c>
      <c r="F51" s="193" t="n">
        <v>3862.88</v>
      </c>
      <c r="G51" s="193" t="s">
        <v>204</v>
      </c>
      <c r="H51" s="193" t="n">
        <v>2798.72</v>
      </c>
      <c r="I51" s="193" t="s">
        <v>204</v>
      </c>
      <c r="J51" s="193" t="n">
        <v>73.88</v>
      </c>
      <c r="K51" s="193" t="n">
        <f aca="false">SUM(B51:J51)</f>
        <v>13453.55</v>
      </c>
      <c r="L51" s="193" t="s">
        <v>204</v>
      </c>
      <c r="M51" s="193" t="s">
        <v>204</v>
      </c>
      <c r="N51" s="193" t="s">
        <v>204</v>
      </c>
      <c r="O51" s="193" t="s">
        <v>204</v>
      </c>
      <c r="P51" s="365" t="s">
        <v>224</v>
      </c>
    </row>
    <row r="52" s="207" customFormat="true" ht="12" hidden="false" customHeight="true" outlineLevel="0" collapsed="false">
      <c r="A52" s="1596" t="s">
        <v>225</v>
      </c>
      <c r="B52" s="229" t="n">
        <v>2051.78</v>
      </c>
      <c r="C52" s="229" t="n">
        <v>0.01</v>
      </c>
      <c r="D52" s="229" t="n">
        <v>59.16</v>
      </c>
      <c r="E52" s="229" t="n">
        <v>15200.62</v>
      </c>
      <c r="F52" s="229" t="n">
        <v>7027.43</v>
      </c>
      <c r="G52" s="229" t="n">
        <v>3144.63</v>
      </c>
      <c r="H52" s="229" t="n">
        <v>1812.43</v>
      </c>
      <c r="I52" s="229" t="n">
        <v>539.15</v>
      </c>
      <c r="J52" s="229" t="n">
        <v>55.21</v>
      </c>
      <c r="K52" s="229" t="n">
        <f aca="false">SUM(B52:J52)</f>
        <v>29890.42</v>
      </c>
      <c r="L52" s="229" t="s">
        <v>204</v>
      </c>
      <c r="M52" s="229" t="s">
        <v>204</v>
      </c>
      <c r="N52" s="229" t="s">
        <v>204</v>
      </c>
      <c r="O52" s="229" t="s">
        <v>204</v>
      </c>
      <c r="P52" s="488" t="s">
        <v>225</v>
      </c>
    </row>
    <row r="53" s="107" customFormat="true" ht="11.25" hidden="false" customHeight="true" outlineLevel="0" collapsed="false">
      <c r="A53" s="1464"/>
      <c r="B53" s="1597"/>
      <c r="C53" s="1597"/>
      <c r="D53" s="1597"/>
      <c r="E53" s="1597"/>
      <c r="F53" s="1597"/>
      <c r="G53" s="1597"/>
      <c r="H53" s="221"/>
      <c r="I53" s="221"/>
      <c r="J53" s="849" t="s">
        <v>2641</v>
      </c>
      <c r="K53" s="849"/>
      <c r="L53" s="849"/>
      <c r="M53" s="849"/>
      <c r="N53" s="849"/>
      <c r="O53" s="849"/>
      <c r="P53" s="849"/>
    </row>
    <row r="54" customFormat="false" ht="11.25" hidden="false" customHeight="true" outlineLevel="0" collapsed="false">
      <c r="A54" s="730"/>
      <c r="B54" s="107"/>
      <c r="C54" s="107"/>
      <c r="D54" s="107"/>
      <c r="E54" s="107"/>
      <c r="F54" s="258"/>
      <c r="G54" s="107"/>
      <c r="H54" s="107"/>
      <c r="I54" s="107"/>
      <c r="J54" s="850" t="s">
        <v>2642</v>
      </c>
      <c r="K54" s="850"/>
      <c r="L54" s="850"/>
      <c r="M54" s="850"/>
      <c r="N54" s="850"/>
      <c r="O54" s="850"/>
      <c r="P54" s="850"/>
    </row>
    <row r="55" customFormat="false" ht="10.5" hidden="false" customHeight="true" outlineLevel="0" collapsed="false">
      <c r="B55" s="1598"/>
      <c r="C55" s="1598"/>
      <c r="D55" s="1598"/>
      <c r="E55" s="1598"/>
      <c r="F55" s="258"/>
      <c r="G55" s="1598"/>
      <c r="H55" s="1598"/>
      <c r="I55" s="1598"/>
      <c r="J55" s="1598"/>
      <c r="K55" s="1598"/>
    </row>
    <row r="56" customFormat="false" ht="9" hidden="false" customHeight="true" outlineLevel="0" collapsed="false">
      <c r="F56" s="258"/>
      <c r="J56" s="1598"/>
      <c r="K56" s="187"/>
    </row>
    <row r="57" customFormat="false" ht="11.25" hidden="false" customHeight="false" outlineLevel="0" collapsed="false">
      <c r="F57" s="258"/>
      <c r="J57" s="1598"/>
      <c r="K57" s="187"/>
      <c r="L57" s="1598"/>
    </row>
    <row r="58" customFormat="false" ht="11.25" hidden="false" customHeight="false" outlineLevel="0" collapsed="false">
      <c r="B58" s="1598"/>
      <c r="C58" s="1598"/>
      <c r="D58" s="1598"/>
      <c r="E58" s="1598"/>
      <c r="F58" s="258"/>
      <c r="G58" s="1598"/>
      <c r="H58" s="1598"/>
      <c r="I58" s="1598"/>
      <c r="J58" s="1598"/>
      <c r="K58" s="187"/>
      <c r="L58" s="1598"/>
    </row>
    <row r="59" customFormat="false" ht="11.25" hidden="false" customHeight="false" outlineLevel="0" collapsed="false">
      <c r="B59" s="1598"/>
      <c r="C59" s="1598"/>
      <c r="D59" s="1598"/>
      <c r="E59" s="1598"/>
      <c r="F59" s="258"/>
      <c r="G59" s="1598"/>
      <c r="H59" s="1598"/>
      <c r="I59" s="1598"/>
      <c r="J59" s="1598"/>
      <c r="K59" s="187"/>
      <c r="L59" s="1598"/>
    </row>
    <row r="60" customFormat="false" ht="11.25" hidden="false" customHeight="false" outlineLevel="0" collapsed="false">
      <c r="F60" s="258"/>
      <c r="J60" s="1598"/>
      <c r="K60" s="187"/>
      <c r="L60" s="1598"/>
    </row>
    <row r="61" customFormat="false" ht="11.25" hidden="false" customHeight="false" outlineLevel="0" collapsed="false">
      <c r="F61" s="258"/>
      <c r="J61" s="1598"/>
      <c r="K61" s="187"/>
      <c r="L61" s="1598"/>
    </row>
    <row r="62" customFormat="false" ht="11.25" hidden="false" customHeight="false" outlineLevel="0" collapsed="false">
      <c r="F62" s="258"/>
      <c r="K62" s="187"/>
      <c r="L62" s="1598"/>
    </row>
    <row r="63" customFormat="false" ht="11.25" hidden="false" customHeight="false" outlineLevel="0" collapsed="false">
      <c r="B63" s="1598"/>
      <c r="C63" s="1598"/>
      <c r="D63" s="1598"/>
      <c r="E63" s="1598"/>
      <c r="F63" s="258"/>
      <c r="G63" s="1598"/>
      <c r="H63" s="1598"/>
      <c r="I63" s="1598"/>
      <c r="J63" s="1598"/>
      <c r="K63" s="187"/>
      <c r="L63" s="1598"/>
    </row>
    <row r="64" customFormat="false" ht="11.25" hidden="false" customHeight="false" outlineLevel="0" collapsed="false">
      <c r="B64" s="1598"/>
      <c r="C64" s="1598"/>
      <c r="D64" s="1598"/>
      <c r="E64" s="1598"/>
      <c r="F64" s="1598"/>
      <c r="G64" s="1598"/>
      <c r="H64" s="1598"/>
      <c r="I64" s="1598"/>
      <c r="J64" s="1598"/>
      <c r="K64" s="187"/>
      <c r="L64" s="1598"/>
    </row>
    <row r="65" customFormat="false" ht="11.25" hidden="false" customHeight="false" outlineLevel="0" collapsed="false">
      <c r="B65" s="1598"/>
      <c r="C65" s="1598"/>
      <c r="D65" s="1598"/>
      <c r="E65" s="1598"/>
      <c r="F65" s="1598"/>
      <c r="G65" s="1598"/>
      <c r="H65" s="1598"/>
      <c r="I65" s="1598"/>
      <c r="J65" s="1598"/>
      <c r="K65" s="187"/>
      <c r="L65" s="1598"/>
    </row>
    <row r="66" customFormat="false" ht="11.25" hidden="false" customHeight="false" outlineLevel="0" collapsed="false">
      <c r="B66" s="1598"/>
      <c r="C66" s="1598"/>
      <c r="D66" s="1598"/>
      <c r="E66" s="1598"/>
      <c r="F66" s="1598"/>
      <c r="G66" s="1598"/>
      <c r="H66" s="1598"/>
      <c r="I66" s="1598"/>
      <c r="J66" s="1598"/>
      <c r="K66" s="1598"/>
      <c r="L66" s="1598"/>
    </row>
    <row r="67" customFormat="false" ht="11.25" hidden="false" customHeight="false" outlineLevel="0" collapsed="false">
      <c r="B67" s="1598"/>
      <c r="C67" s="1598"/>
      <c r="D67" s="1598"/>
      <c r="E67" s="1598"/>
      <c r="F67" s="1598"/>
      <c r="G67" s="1598"/>
      <c r="H67" s="1598"/>
      <c r="I67" s="1598"/>
      <c r="J67" s="1598"/>
      <c r="K67" s="1598"/>
    </row>
    <row r="68" customFormat="false" ht="11.25" hidden="false" customHeight="false" outlineLevel="0" collapsed="false">
      <c r="B68" s="1598"/>
      <c r="C68" s="1598"/>
      <c r="D68" s="1598"/>
      <c r="E68" s="1598"/>
      <c r="F68" s="1598"/>
      <c r="G68" s="1598"/>
      <c r="H68" s="1598"/>
      <c r="I68" s="1598"/>
      <c r="J68" s="1598"/>
    </row>
  </sheetData>
  <mergeCells count="23">
    <mergeCell ref="A1:I1"/>
    <mergeCell ref="J1:N1"/>
    <mergeCell ref="O1:P1"/>
    <mergeCell ref="O2:P2"/>
    <mergeCell ref="A3:A5"/>
    <mergeCell ref="B3:I3"/>
    <mergeCell ref="J3:K3"/>
    <mergeCell ref="L3:O3"/>
    <mergeCell ref="P3:P5"/>
    <mergeCell ref="B4:B5"/>
    <mergeCell ref="C4:C5"/>
    <mergeCell ref="D4:D5"/>
    <mergeCell ref="E4:E5"/>
    <mergeCell ref="F4:G4"/>
    <mergeCell ref="H4:I4"/>
    <mergeCell ref="J4:J5"/>
    <mergeCell ref="K4:K5"/>
    <mergeCell ref="L4:L5"/>
    <mergeCell ref="M4:M5"/>
    <mergeCell ref="N4:N5"/>
    <mergeCell ref="O4:O5"/>
    <mergeCell ref="J53:P53"/>
    <mergeCell ref="J54:P54"/>
  </mergeCells>
  <printOptions headings="false" gridLines="false" gridLinesSet="true" horizontalCentered="false" verticalCentered="false"/>
  <pageMargins left="0.590277777777778" right="0.511805555555555" top="0.511805555555555" bottom="0.511805555555556" header="0.511805555555555" footer="0.354166666666667"/>
  <pageSetup paperSize="1" scale="100" firstPageNumber="102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>&amp;C&amp;"Times New Roman,Regular"&amp;8&amp;P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5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5" topLeftCell="B39" activePane="bottomRight" state="frozen"/>
      <selection pane="topLeft" activeCell="A1" activeCellId="0" sqref="A1"/>
      <selection pane="topRight" activeCell="B1" activeCellId="0" sqref="B1"/>
      <selection pane="bottomLeft" activeCell="A39" activeCellId="0" sqref="A39"/>
      <selection pane="bottomRight" activeCell="G39" activeCellId="0" sqref="G39"/>
    </sheetView>
  </sheetViews>
  <sheetFormatPr defaultColWidth="8.8671875" defaultRowHeight="15" zeroHeight="false" outlineLevelRow="0" outlineLevelCol="0"/>
  <cols>
    <col collapsed="false" customWidth="true" hidden="false" outlineLevel="0" max="1" min="1" style="1066" width="8.14"/>
    <col collapsed="false" customWidth="true" hidden="false" outlineLevel="0" max="2" min="2" style="1066" width="8.42"/>
    <col collapsed="false" customWidth="true" hidden="false" outlineLevel="0" max="3" min="3" style="1066" width="11.42"/>
    <col collapsed="false" customWidth="false" hidden="false" outlineLevel="0" max="5" min="4" style="1066" width="8.86"/>
    <col collapsed="false" customWidth="true" hidden="false" outlineLevel="0" max="6" min="6" style="1066" width="8.42"/>
    <col collapsed="false" customWidth="false" hidden="false" outlineLevel="0" max="8" min="7" style="1066" width="8.86"/>
    <col collapsed="false" customWidth="true" hidden="false" outlineLevel="0" max="9" min="9" style="1066" width="9.29"/>
    <col collapsed="false" customWidth="true" hidden="false" outlineLevel="0" max="10" min="10" style="1066" width="7.57"/>
    <col collapsed="false" customWidth="true" hidden="false" outlineLevel="0" max="11" min="11" style="1066" width="8.14"/>
    <col collapsed="false" customWidth="true" hidden="false" outlineLevel="0" max="12" min="12" style="1066" width="9"/>
    <col collapsed="false" customWidth="false" hidden="false" outlineLevel="0" max="13" min="13" style="1066" width="8.86"/>
    <col collapsed="false" customWidth="true" hidden="false" outlineLevel="0" max="14" min="14" style="1066" width="8.14"/>
    <col collapsed="false" customWidth="true" hidden="false" outlineLevel="0" max="15" min="15" style="1066" width="6.28"/>
    <col collapsed="false" customWidth="true" hidden="false" outlineLevel="0" max="16" min="16" style="1066" width="8.14"/>
    <col collapsed="false" customWidth="true" hidden="false" outlineLevel="0" max="17" min="17" style="1066" width="7.86"/>
    <col collapsed="false" customWidth="false" hidden="false" outlineLevel="0" max="1024" min="18" style="1066" width="8.86"/>
  </cols>
  <sheetData>
    <row r="1" s="1600" customFormat="true" ht="17.45" hidden="false" customHeight="true" outlineLevel="0" collapsed="false">
      <c r="A1" s="1599"/>
      <c r="G1" s="1601" t="s">
        <v>2643</v>
      </c>
      <c r="I1" s="1602"/>
      <c r="J1" s="1601" t="s">
        <v>2644</v>
      </c>
      <c r="K1" s="1603"/>
      <c r="L1" s="1602"/>
      <c r="M1" s="1602"/>
      <c r="R1" s="1419" t="s">
        <v>2645</v>
      </c>
      <c r="S1" s="1419"/>
    </row>
    <row r="2" customFormat="false" ht="21" hidden="false" customHeight="false" outlineLevel="0" collapsed="false">
      <c r="C2" s="1604"/>
      <c r="R2" s="1605" t="s">
        <v>2646</v>
      </c>
      <c r="S2" s="1605"/>
    </row>
    <row r="3" customFormat="false" ht="13.9" hidden="false" customHeight="true" outlineLevel="0" collapsed="false">
      <c r="A3" s="1606" t="s">
        <v>384</v>
      </c>
      <c r="B3" s="1607" t="s">
        <v>307</v>
      </c>
      <c r="C3" s="1607" t="s">
        <v>2647</v>
      </c>
      <c r="D3" s="1608" t="s">
        <v>2648</v>
      </c>
      <c r="E3" s="1608"/>
      <c r="F3" s="1608"/>
      <c r="G3" s="1607" t="s">
        <v>2649</v>
      </c>
      <c r="H3" s="1609" t="s">
        <v>2650</v>
      </c>
      <c r="I3" s="1609"/>
      <c r="J3" s="1609"/>
      <c r="K3" s="1609"/>
      <c r="L3" s="1609"/>
      <c r="M3" s="1607" t="s">
        <v>2651</v>
      </c>
      <c r="N3" s="1607" t="s">
        <v>2652</v>
      </c>
      <c r="O3" s="1607" t="s">
        <v>2653</v>
      </c>
      <c r="P3" s="1610" t="s">
        <v>2654</v>
      </c>
      <c r="Q3" s="1607" t="s">
        <v>2655</v>
      </c>
      <c r="R3" s="1607" t="s">
        <v>2656</v>
      </c>
      <c r="S3" s="1607" t="s">
        <v>2657</v>
      </c>
    </row>
    <row r="4" customFormat="false" ht="90.75" hidden="false" customHeight="true" outlineLevel="0" collapsed="false">
      <c r="A4" s="1606"/>
      <c r="B4" s="1607"/>
      <c r="C4" s="1607"/>
      <c r="D4" s="1607" t="s">
        <v>2658</v>
      </c>
      <c r="E4" s="1607" t="s">
        <v>2659</v>
      </c>
      <c r="F4" s="1607" t="s">
        <v>2660</v>
      </c>
      <c r="G4" s="1607"/>
      <c r="H4" s="1607" t="s">
        <v>114</v>
      </c>
      <c r="I4" s="1607" t="s">
        <v>2661</v>
      </c>
      <c r="J4" s="1607" t="s">
        <v>2662</v>
      </c>
      <c r="K4" s="1607" t="s">
        <v>2663</v>
      </c>
      <c r="L4" s="1607" t="s">
        <v>2664</v>
      </c>
      <c r="M4" s="1607"/>
      <c r="N4" s="1607"/>
      <c r="O4" s="1607"/>
      <c r="P4" s="1610"/>
      <c r="Q4" s="1607"/>
      <c r="R4" s="1607"/>
      <c r="S4" s="1607"/>
    </row>
    <row r="5" customFormat="false" ht="17.25" hidden="false" customHeight="true" outlineLevel="0" collapsed="false">
      <c r="A5" s="1606"/>
      <c r="B5" s="835" t="n">
        <v>1</v>
      </c>
      <c r="C5" s="835" t="n">
        <v>2</v>
      </c>
      <c r="D5" s="835" t="n">
        <v>3</v>
      </c>
      <c r="E5" s="835" t="n">
        <v>4</v>
      </c>
      <c r="F5" s="835" t="n">
        <v>5</v>
      </c>
      <c r="G5" s="835" t="n">
        <v>6</v>
      </c>
      <c r="H5" s="835" t="n">
        <v>7</v>
      </c>
      <c r="I5" s="835" t="n">
        <v>8</v>
      </c>
      <c r="J5" s="835" t="n">
        <v>9</v>
      </c>
      <c r="K5" s="835" t="n">
        <v>10</v>
      </c>
      <c r="L5" s="835" t="n">
        <v>11</v>
      </c>
      <c r="M5" s="835" t="n">
        <v>12</v>
      </c>
      <c r="N5" s="835" t="n">
        <v>13</v>
      </c>
      <c r="O5" s="835" t="n">
        <v>14</v>
      </c>
      <c r="P5" s="835" t="n">
        <v>15</v>
      </c>
      <c r="Q5" s="835" t="n">
        <v>16</v>
      </c>
      <c r="R5" s="835" t="n">
        <v>17</v>
      </c>
      <c r="S5" s="835" t="n">
        <v>18</v>
      </c>
    </row>
    <row r="6" s="1614" customFormat="true" ht="10.35" hidden="false" customHeight="true" outlineLevel="0" collapsed="false">
      <c r="A6" s="1611" t="s">
        <v>213</v>
      </c>
      <c r="B6" s="1612" t="n">
        <f aca="false">B18</f>
        <v>2535100</v>
      </c>
      <c r="C6" s="1613" t="n">
        <f aca="false">C18</f>
        <v>73472</v>
      </c>
      <c r="D6" s="1613" t="n">
        <f aca="false">D18</f>
        <v>223759</v>
      </c>
      <c r="E6" s="1613" t="n">
        <f aca="false">E18</f>
        <v>97067</v>
      </c>
      <c r="F6" s="1613" t="n">
        <f aca="false">F18</f>
        <v>126692</v>
      </c>
      <c r="G6" s="1613" t="n">
        <f aca="false">G18</f>
        <v>57565</v>
      </c>
      <c r="H6" s="1613" t="n">
        <f aca="false">H18</f>
        <v>1534112</v>
      </c>
      <c r="I6" s="1613" t="n">
        <f aca="false">I18</f>
        <v>787992</v>
      </c>
      <c r="J6" s="1613" t="n">
        <f aca="false">J18</f>
        <v>33</v>
      </c>
      <c r="K6" s="1613" t="n">
        <f aca="false">K18</f>
        <v>0</v>
      </c>
      <c r="L6" s="1613" t="n">
        <f aca="false">L18</f>
        <v>2322137</v>
      </c>
      <c r="M6" s="1613" t="n">
        <f aca="false">M18</f>
        <v>3455</v>
      </c>
      <c r="N6" s="1613" t="n">
        <f aca="false">N18</f>
        <v>0</v>
      </c>
      <c r="O6" s="1613" t="n">
        <f aca="false">O18</f>
        <v>0</v>
      </c>
      <c r="P6" s="1613" t="n">
        <f aca="false">P18</f>
        <v>0</v>
      </c>
      <c r="Q6" s="1613" t="n">
        <f aca="false">Q18</f>
        <v>0</v>
      </c>
      <c r="R6" s="1613" t="n">
        <f aca="false">R18</f>
        <v>303085</v>
      </c>
      <c r="S6" s="1613" t="n">
        <f aca="false">S18</f>
        <v>164152</v>
      </c>
    </row>
    <row r="7" s="1616" customFormat="true" ht="10.35" hidden="false" customHeight="true" outlineLevel="0" collapsed="false">
      <c r="A7" s="1615" t="s">
        <v>214</v>
      </c>
      <c r="B7" s="1615" t="n">
        <v>2516491</v>
      </c>
      <c r="C7" s="1456" t="n">
        <v>65078</v>
      </c>
      <c r="D7" s="1456" t="n">
        <v>113041</v>
      </c>
      <c r="E7" s="1456" t="n">
        <v>148082</v>
      </c>
      <c r="F7" s="1456" t="n">
        <f aca="false">D7-E7</f>
        <v>-35041</v>
      </c>
      <c r="G7" s="1456" t="n">
        <v>53760</v>
      </c>
      <c r="H7" s="1456" t="n">
        <v>1369563</v>
      </c>
      <c r="I7" s="1456" t="n">
        <v>717758</v>
      </c>
      <c r="J7" s="1456" t="n">
        <v>155</v>
      </c>
      <c r="K7" s="1456" t="n">
        <v>0</v>
      </c>
      <c r="L7" s="1456" t="n">
        <f aca="false">H7+I7+J7+K7</f>
        <v>2087476</v>
      </c>
      <c r="M7" s="1456" t="n">
        <v>8379</v>
      </c>
      <c r="N7" s="1456" t="n">
        <v>190</v>
      </c>
      <c r="O7" s="1456" t="n">
        <v>0</v>
      </c>
      <c r="P7" s="1456" t="n">
        <v>0</v>
      </c>
      <c r="Q7" s="1456" t="n">
        <v>0</v>
      </c>
      <c r="R7" s="1456" t="n">
        <v>228335</v>
      </c>
      <c r="S7" s="1456" t="n">
        <v>275908</v>
      </c>
    </row>
    <row r="8" s="1619" customFormat="true" ht="10.35" hidden="false" customHeight="true" outlineLevel="0" collapsed="false">
      <c r="A8" s="1617" t="s">
        <v>215</v>
      </c>
      <c r="B8" s="1617" t="n">
        <v>2516310</v>
      </c>
      <c r="C8" s="1618" t="n">
        <v>66697</v>
      </c>
      <c r="D8" s="1618" t="n">
        <v>171998</v>
      </c>
      <c r="E8" s="1618" t="n">
        <v>96393</v>
      </c>
      <c r="F8" s="1618" t="n">
        <f aca="false">D8-E8</f>
        <v>75605</v>
      </c>
      <c r="G8" s="1618" t="n">
        <v>53082</v>
      </c>
      <c r="H8" s="1618" t="n">
        <v>1576547</v>
      </c>
      <c r="I8" s="1618" t="n">
        <v>709859</v>
      </c>
      <c r="J8" s="1618" t="n">
        <v>104</v>
      </c>
      <c r="K8" s="1618" t="n">
        <v>0</v>
      </c>
      <c r="L8" s="1618" t="n">
        <f aca="false">H8+I8+J8+K8</f>
        <v>2286510</v>
      </c>
      <c r="M8" s="1618" t="n">
        <v>8988</v>
      </c>
      <c r="N8" s="1618" t="n">
        <v>809</v>
      </c>
      <c r="O8" s="1618" t="n">
        <v>0</v>
      </c>
      <c r="P8" s="1618" t="n">
        <v>0</v>
      </c>
      <c r="Q8" s="1618" t="n">
        <v>0</v>
      </c>
      <c r="R8" s="1618" t="n">
        <v>230875</v>
      </c>
      <c r="S8" s="1618" t="n">
        <v>184512</v>
      </c>
    </row>
    <row r="9" s="1616" customFormat="true" ht="10.35" hidden="false" customHeight="true" outlineLevel="0" collapsed="false">
      <c r="A9" s="1615" t="s">
        <v>216</v>
      </c>
      <c r="B9" s="1615" t="n">
        <v>2508112</v>
      </c>
      <c r="C9" s="1456" t="n">
        <v>69251</v>
      </c>
      <c r="D9" s="1456" t="n">
        <v>113310</v>
      </c>
      <c r="E9" s="1456" t="n">
        <v>117147</v>
      </c>
      <c r="F9" s="1456" t="n">
        <f aca="false">D9-E9</f>
        <v>-3837</v>
      </c>
      <c r="G9" s="1456" t="n">
        <v>53566</v>
      </c>
      <c r="H9" s="1456" t="n">
        <v>1425872</v>
      </c>
      <c r="I9" s="1456" t="n">
        <v>711055</v>
      </c>
      <c r="J9" s="1456" t="n">
        <v>236</v>
      </c>
      <c r="K9" s="1456" t="n">
        <v>0</v>
      </c>
      <c r="L9" s="1456" t="n">
        <f aca="false">H9+I9+J9+K9</f>
        <v>2137163</v>
      </c>
      <c r="M9" s="1456" t="n">
        <v>9696</v>
      </c>
      <c r="N9" s="1456" t="n">
        <v>0</v>
      </c>
      <c r="O9" s="1456" t="n">
        <v>0</v>
      </c>
      <c r="P9" s="1456" t="n">
        <v>0</v>
      </c>
      <c r="Q9" s="1456" t="n">
        <v>0</v>
      </c>
      <c r="R9" s="1456" t="n">
        <v>238172</v>
      </c>
      <c r="S9" s="1456" t="n">
        <v>242061</v>
      </c>
    </row>
    <row r="10" s="1619" customFormat="true" ht="10.35" hidden="false" customHeight="true" outlineLevel="0" collapsed="false">
      <c r="A10" s="1617" t="s">
        <v>217</v>
      </c>
      <c r="B10" s="1617" t="n">
        <v>2516396</v>
      </c>
      <c r="C10" s="1618" t="n">
        <v>71969</v>
      </c>
      <c r="D10" s="1618" t="n">
        <v>112041</v>
      </c>
      <c r="E10" s="1618" t="n">
        <v>97739</v>
      </c>
      <c r="F10" s="1618" t="n">
        <f aca="false">D10-E10</f>
        <v>14302</v>
      </c>
      <c r="G10" s="1618" t="n">
        <v>53825</v>
      </c>
      <c r="H10" s="1618" t="n">
        <v>1375333</v>
      </c>
      <c r="I10" s="1618" t="n">
        <v>711869</v>
      </c>
      <c r="J10" s="1618" t="n">
        <v>148</v>
      </c>
      <c r="K10" s="1618" t="n">
        <v>0</v>
      </c>
      <c r="L10" s="1618" t="n">
        <f aca="false">H10+I10+J10+K10</f>
        <v>2087350</v>
      </c>
      <c r="M10" s="1618" t="n">
        <v>9445</v>
      </c>
      <c r="N10" s="1618" t="n">
        <v>210</v>
      </c>
      <c r="O10" s="1618" t="n">
        <v>0</v>
      </c>
      <c r="P10" s="1618" t="n">
        <v>0</v>
      </c>
      <c r="Q10" s="1618" t="n">
        <v>0</v>
      </c>
      <c r="R10" s="1618" t="n">
        <v>237874</v>
      </c>
      <c r="S10" s="1618" t="n">
        <v>321613</v>
      </c>
    </row>
    <row r="11" s="1616" customFormat="true" ht="10.35" hidden="false" customHeight="true" outlineLevel="0" collapsed="false">
      <c r="A11" s="1615" t="s">
        <v>218</v>
      </c>
      <c r="B11" s="1615" t="n">
        <v>2528327</v>
      </c>
      <c r="C11" s="1456" t="n">
        <v>71002</v>
      </c>
      <c r="D11" s="1456" t="n">
        <v>119475</v>
      </c>
      <c r="E11" s="1456" t="n">
        <v>99915</v>
      </c>
      <c r="F11" s="1456" t="n">
        <f aca="false">D11-E11</f>
        <v>19560</v>
      </c>
      <c r="G11" s="1456" t="n">
        <v>54037</v>
      </c>
      <c r="H11" s="1456" t="n">
        <v>1367015</v>
      </c>
      <c r="I11" s="1456" t="n">
        <v>707679</v>
      </c>
      <c r="J11" s="1456" t="n">
        <v>107</v>
      </c>
      <c r="K11" s="1456" t="n">
        <v>0</v>
      </c>
      <c r="L11" s="1456" t="n">
        <f aca="false">H11+I11+J11+K11</f>
        <v>2074801</v>
      </c>
      <c r="M11" s="1456" t="n">
        <v>7454</v>
      </c>
      <c r="N11" s="1456" t="n">
        <v>1045</v>
      </c>
      <c r="O11" s="1456" t="n">
        <v>0</v>
      </c>
      <c r="P11" s="1456" t="n">
        <v>0</v>
      </c>
      <c r="Q11" s="1456" t="n">
        <v>0</v>
      </c>
      <c r="R11" s="1456" t="n">
        <v>285181</v>
      </c>
      <c r="S11" s="1456" t="n">
        <v>304445</v>
      </c>
    </row>
    <row r="12" s="1616" customFormat="true" ht="10.35" hidden="false" customHeight="true" outlineLevel="0" collapsed="false">
      <c r="A12" s="1617" t="s">
        <v>219</v>
      </c>
      <c r="B12" s="1617" t="n">
        <v>2534979</v>
      </c>
      <c r="C12" s="1618" t="n">
        <v>65381</v>
      </c>
      <c r="D12" s="1618" t="n">
        <v>118166</v>
      </c>
      <c r="E12" s="1618" t="n">
        <v>101875</v>
      </c>
      <c r="F12" s="1618" t="n">
        <f aca="false">D12-E12</f>
        <v>16291</v>
      </c>
      <c r="G12" s="1618" t="n">
        <v>55362</v>
      </c>
      <c r="H12" s="1618" t="n">
        <v>1391509</v>
      </c>
      <c r="I12" s="1618" t="n">
        <v>762873</v>
      </c>
      <c r="J12" s="1618" t="n">
        <v>100</v>
      </c>
      <c r="K12" s="1618" t="n">
        <v>0</v>
      </c>
      <c r="L12" s="1618" t="n">
        <f aca="false">H12+I12+J12+K12</f>
        <v>2154482</v>
      </c>
      <c r="M12" s="1618" t="n">
        <v>7890</v>
      </c>
      <c r="N12" s="1618" t="n">
        <v>0</v>
      </c>
      <c r="O12" s="1618" t="n">
        <v>0</v>
      </c>
      <c r="P12" s="1618" t="n">
        <v>0</v>
      </c>
      <c r="Q12" s="1618" t="n">
        <v>0</v>
      </c>
      <c r="R12" s="1618" t="n">
        <v>301325</v>
      </c>
      <c r="S12" s="1618" t="n">
        <v>208316</v>
      </c>
    </row>
    <row r="13" s="1616" customFormat="true" ht="10.35" hidden="false" customHeight="true" outlineLevel="0" collapsed="false">
      <c r="A13" s="1615" t="s">
        <v>220</v>
      </c>
      <c r="B13" s="1615" t="n">
        <v>2535619</v>
      </c>
      <c r="C13" s="1456" t="n">
        <v>66721</v>
      </c>
      <c r="D13" s="1456" t="n">
        <v>116387</v>
      </c>
      <c r="E13" s="1456" t="n">
        <v>116526</v>
      </c>
      <c r="F13" s="1456" t="n">
        <f aca="false">D13-E13</f>
        <v>-139</v>
      </c>
      <c r="G13" s="1456" t="n">
        <v>55465</v>
      </c>
      <c r="H13" s="1456" t="n">
        <v>1387593</v>
      </c>
      <c r="I13" s="1456" t="n">
        <v>700158</v>
      </c>
      <c r="J13" s="1456" t="n">
        <v>134</v>
      </c>
      <c r="K13" s="1456" t="n">
        <v>0</v>
      </c>
      <c r="L13" s="1456" t="n">
        <f aca="false">H13+I13+J13+K13</f>
        <v>2087885</v>
      </c>
      <c r="M13" s="1456" t="n">
        <v>8246</v>
      </c>
      <c r="N13" s="1456" t="n">
        <v>310</v>
      </c>
      <c r="O13" s="1456" t="n">
        <v>0</v>
      </c>
      <c r="P13" s="1456" t="n">
        <v>0</v>
      </c>
      <c r="Q13" s="1456" t="n">
        <v>0</v>
      </c>
      <c r="R13" s="1456" t="n">
        <v>326295</v>
      </c>
      <c r="S13" s="1456" t="n">
        <v>234930</v>
      </c>
    </row>
    <row r="14" s="1616" customFormat="true" ht="10.35" hidden="false" customHeight="true" outlineLevel="0" collapsed="false">
      <c r="A14" s="1617" t="s">
        <v>221</v>
      </c>
      <c r="B14" s="1617" t="n">
        <v>2535729</v>
      </c>
      <c r="C14" s="1618" t="n">
        <v>66250</v>
      </c>
      <c r="D14" s="1618" t="n">
        <v>101602</v>
      </c>
      <c r="E14" s="1618" t="n">
        <v>108066</v>
      </c>
      <c r="F14" s="1618" t="n">
        <f aca="false">D14-E14</f>
        <v>-6464</v>
      </c>
      <c r="G14" s="1618" t="n">
        <v>55076</v>
      </c>
      <c r="H14" s="1618" t="n">
        <v>1395923</v>
      </c>
      <c r="I14" s="1618" t="n">
        <v>694206</v>
      </c>
      <c r="J14" s="1618" t="n">
        <v>74</v>
      </c>
      <c r="K14" s="1618" t="n">
        <v>0</v>
      </c>
      <c r="L14" s="1618" t="n">
        <f aca="false">H14+I14+J14+K14</f>
        <v>2090203</v>
      </c>
      <c r="M14" s="1618" t="n">
        <v>9394</v>
      </c>
      <c r="N14" s="1618" t="n">
        <v>2487</v>
      </c>
      <c r="O14" s="1618" t="n">
        <v>0</v>
      </c>
      <c r="P14" s="1618" t="n">
        <v>0</v>
      </c>
      <c r="Q14" s="1618" t="n">
        <v>0</v>
      </c>
      <c r="R14" s="1618" t="n">
        <v>323192</v>
      </c>
      <c r="S14" s="1618" t="n">
        <v>225315</v>
      </c>
    </row>
    <row r="15" s="1616" customFormat="true" ht="10.35" hidden="false" customHeight="true" outlineLevel="0" collapsed="false">
      <c r="A15" s="1615" t="s">
        <v>222</v>
      </c>
      <c r="B15" s="1615" t="n">
        <v>2529084</v>
      </c>
      <c r="C15" s="1456" t="n">
        <v>66613</v>
      </c>
      <c r="D15" s="1456" t="n">
        <v>103248</v>
      </c>
      <c r="E15" s="1456" t="n">
        <v>84994</v>
      </c>
      <c r="F15" s="1456" t="n">
        <f aca="false">D15-E15</f>
        <v>18254</v>
      </c>
      <c r="G15" s="1456" t="n">
        <v>55835</v>
      </c>
      <c r="H15" s="1456" t="n">
        <v>1386485</v>
      </c>
      <c r="I15" s="1456" t="n">
        <v>720718</v>
      </c>
      <c r="J15" s="1456" t="n">
        <v>27</v>
      </c>
      <c r="K15" s="1456" t="n">
        <v>0</v>
      </c>
      <c r="L15" s="1456" t="n">
        <f aca="false">H15+I15+J15+K15</f>
        <v>2107230</v>
      </c>
      <c r="M15" s="1456" t="n">
        <v>4735</v>
      </c>
      <c r="N15" s="1456" t="n">
        <v>2777</v>
      </c>
      <c r="O15" s="1456" t="n">
        <v>0</v>
      </c>
      <c r="P15" s="1456" t="n">
        <v>0</v>
      </c>
      <c r="Q15" s="1456" t="n">
        <v>0</v>
      </c>
      <c r="R15" s="1456" t="n">
        <v>327366</v>
      </c>
      <c r="S15" s="1456" t="n">
        <v>227678</v>
      </c>
    </row>
    <row r="16" s="1616" customFormat="true" ht="10.35" hidden="false" customHeight="true" outlineLevel="0" collapsed="false">
      <c r="A16" s="1617" t="s">
        <v>223</v>
      </c>
      <c r="B16" s="1617" t="n">
        <v>2513204</v>
      </c>
      <c r="C16" s="1618" t="n">
        <v>73619</v>
      </c>
      <c r="D16" s="1618" t="n">
        <v>111367</v>
      </c>
      <c r="E16" s="1618" t="n">
        <v>90221</v>
      </c>
      <c r="F16" s="1618" t="n">
        <f aca="false">D16-E16</f>
        <v>21146</v>
      </c>
      <c r="G16" s="1618" t="n">
        <v>56122</v>
      </c>
      <c r="H16" s="1618" t="n">
        <v>1393703</v>
      </c>
      <c r="I16" s="1618" t="n">
        <v>714719</v>
      </c>
      <c r="J16" s="1618" t="n">
        <v>121</v>
      </c>
      <c r="K16" s="1618" t="n">
        <v>0</v>
      </c>
      <c r="L16" s="1618" t="n">
        <f aca="false">H16+I16+J16+K16</f>
        <v>2108543</v>
      </c>
      <c r="M16" s="1618" t="n">
        <v>5301</v>
      </c>
      <c r="N16" s="1618" t="n">
        <v>2338</v>
      </c>
      <c r="O16" s="1618" t="n">
        <v>0</v>
      </c>
      <c r="P16" s="1618" t="n">
        <v>0</v>
      </c>
      <c r="Q16" s="1618" t="n">
        <v>0</v>
      </c>
      <c r="R16" s="1618" t="n">
        <v>325957</v>
      </c>
      <c r="S16" s="1618" t="n">
        <v>221952</v>
      </c>
    </row>
    <row r="17" s="1616" customFormat="true" ht="10.35" hidden="false" customHeight="true" outlineLevel="0" collapsed="false">
      <c r="A17" s="1615" t="s">
        <v>224</v>
      </c>
      <c r="B17" s="1615" t="n">
        <v>2523794</v>
      </c>
      <c r="C17" s="1456" t="n">
        <v>72723</v>
      </c>
      <c r="D17" s="1456" t="n">
        <v>103640</v>
      </c>
      <c r="E17" s="1456" t="n">
        <v>84336</v>
      </c>
      <c r="F17" s="1456" t="n">
        <f aca="false">D17-E17</f>
        <v>19304</v>
      </c>
      <c r="G17" s="1456" t="n">
        <v>56488</v>
      </c>
      <c r="H17" s="1456" t="n">
        <v>1450992</v>
      </c>
      <c r="I17" s="1456" t="n">
        <v>644076</v>
      </c>
      <c r="J17" s="1456" t="n">
        <v>64</v>
      </c>
      <c r="K17" s="1456" t="n">
        <v>0</v>
      </c>
      <c r="L17" s="1456" t="n">
        <f aca="false">H17+I17+J17+K17</f>
        <v>2095132</v>
      </c>
      <c r="M17" s="1456" t="n">
        <v>4089</v>
      </c>
      <c r="N17" s="1456" t="n">
        <v>0</v>
      </c>
      <c r="O17" s="1456" t="n">
        <v>0</v>
      </c>
      <c r="P17" s="1456" t="n">
        <v>0</v>
      </c>
      <c r="Q17" s="1456" t="n">
        <v>0</v>
      </c>
      <c r="R17" s="1456" t="n">
        <v>331477</v>
      </c>
      <c r="S17" s="1456" t="n">
        <v>241611</v>
      </c>
    </row>
    <row r="18" s="931" customFormat="true" ht="10.35" hidden="false" customHeight="true" outlineLevel="0" collapsed="false">
      <c r="A18" s="1620" t="s">
        <v>225</v>
      </c>
      <c r="B18" s="1620" t="n">
        <v>2535100</v>
      </c>
      <c r="C18" s="930" t="n">
        <v>73472</v>
      </c>
      <c r="D18" s="930" t="n">
        <v>223759</v>
      </c>
      <c r="E18" s="930" t="n">
        <v>97067</v>
      </c>
      <c r="F18" s="930" t="n">
        <f aca="false">D18-E18</f>
        <v>126692</v>
      </c>
      <c r="G18" s="930" t="n">
        <v>57565</v>
      </c>
      <c r="H18" s="930" t="n">
        <v>1534112</v>
      </c>
      <c r="I18" s="930" t="n">
        <v>787992</v>
      </c>
      <c r="J18" s="930" t="n">
        <v>33</v>
      </c>
      <c r="K18" s="930" t="n">
        <v>0</v>
      </c>
      <c r="L18" s="930" t="n">
        <f aca="false">H18+I18+J18+K18</f>
        <v>2322137</v>
      </c>
      <c r="M18" s="930" t="n">
        <v>3455</v>
      </c>
      <c r="N18" s="930" t="n">
        <v>0</v>
      </c>
      <c r="O18" s="930" t="n">
        <v>0</v>
      </c>
      <c r="P18" s="930" t="n">
        <v>0</v>
      </c>
      <c r="Q18" s="930" t="n">
        <v>0</v>
      </c>
      <c r="R18" s="930" t="n">
        <v>303085</v>
      </c>
      <c r="S18" s="930" t="n">
        <v>164152</v>
      </c>
    </row>
    <row r="19" s="931" customFormat="true" ht="10.35" hidden="false" customHeight="true" outlineLevel="0" collapsed="false">
      <c r="A19" s="1621" t="s">
        <v>226</v>
      </c>
      <c r="B19" s="1622" t="n">
        <f aca="false">B31</f>
        <v>2571956</v>
      </c>
      <c r="C19" s="1623" t="n">
        <f aca="false">C31</f>
        <v>70311</v>
      </c>
      <c r="D19" s="1623" t="n">
        <f aca="false">D31</f>
        <v>321534</v>
      </c>
      <c r="E19" s="1623" t="n">
        <f aca="false">E31</f>
        <v>106459</v>
      </c>
      <c r="F19" s="1623" t="n">
        <f aca="false">F31</f>
        <v>215075</v>
      </c>
      <c r="G19" s="1623" t="n">
        <f aca="false">G31</f>
        <v>55377</v>
      </c>
      <c r="H19" s="1623" t="n">
        <f aca="false">H31</f>
        <v>1688583</v>
      </c>
      <c r="I19" s="1623" t="n">
        <f aca="false">I31</f>
        <v>757875</v>
      </c>
      <c r="J19" s="1623" t="n">
        <f aca="false">J31</f>
        <v>131</v>
      </c>
      <c r="K19" s="1623" t="n">
        <f aca="false">K31</f>
        <v>0</v>
      </c>
      <c r="L19" s="1623" t="n">
        <f aca="false">L31</f>
        <v>2446589</v>
      </c>
      <c r="M19" s="1623" t="n">
        <f aca="false">M31</f>
        <v>4118</v>
      </c>
      <c r="N19" s="1623" t="n">
        <f aca="false">N31</f>
        <v>0</v>
      </c>
      <c r="O19" s="1623" t="n">
        <f aca="false">O31</f>
        <v>0</v>
      </c>
      <c r="P19" s="1623" t="n">
        <f aca="false">P31</f>
        <v>0</v>
      </c>
      <c r="Q19" s="1623" t="n">
        <f aca="false">Q31</f>
        <v>0</v>
      </c>
      <c r="R19" s="1623" t="n">
        <f aca="false">R31</f>
        <v>335486</v>
      </c>
      <c r="S19" s="1623" t="n">
        <f aca="false">S31</f>
        <v>126526</v>
      </c>
    </row>
    <row r="20" s="931" customFormat="true" ht="10.35" hidden="false" customHeight="true" outlineLevel="0" collapsed="false">
      <c r="A20" s="1617" t="s">
        <v>214</v>
      </c>
      <c r="B20" s="1620" t="n">
        <v>2519743</v>
      </c>
      <c r="C20" s="930" t="n">
        <v>67439</v>
      </c>
      <c r="D20" s="930" t="n">
        <v>153452</v>
      </c>
      <c r="E20" s="930" t="n">
        <v>132478</v>
      </c>
      <c r="F20" s="930" t="n">
        <f aca="false">D20-E20</f>
        <v>20974</v>
      </c>
      <c r="G20" s="930" t="n">
        <v>57153</v>
      </c>
      <c r="H20" s="930" t="n">
        <v>1494928</v>
      </c>
      <c r="I20" s="930" t="n">
        <v>702360</v>
      </c>
      <c r="J20" s="930" t="n">
        <v>121</v>
      </c>
      <c r="K20" s="930" t="n">
        <v>0</v>
      </c>
      <c r="L20" s="930" t="n">
        <f aca="false">H20+I20+J20+K20</f>
        <v>2197409</v>
      </c>
      <c r="M20" s="930" t="n">
        <v>3724</v>
      </c>
      <c r="N20" s="930" t="n">
        <v>0</v>
      </c>
      <c r="O20" s="930" t="n">
        <v>0</v>
      </c>
      <c r="P20" s="930" t="n">
        <v>0</v>
      </c>
      <c r="Q20" s="930" t="n">
        <v>0</v>
      </c>
      <c r="R20" s="930" t="n">
        <v>305789</v>
      </c>
      <c r="S20" s="930" t="n">
        <v>158387</v>
      </c>
    </row>
    <row r="21" s="931" customFormat="true" ht="10.35" hidden="false" customHeight="true" outlineLevel="0" collapsed="false">
      <c r="A21" s="1615" t="s">
        <v>215</v>
      </c>
      <c r="B21" s="1615" t="n">
        <v>2546772</v>
      </c>
      <c r="C21" s="1456" t="n">
        <v>66792</v>
      </c>
      <c r="D21" s="1456" t="n">
        <v>193758</v>
      </c>
      <c r="E21" s="1456" t="n">
        <v>123476</v>
      </c>
      <c r="F21" s="1456" t="n">
        <f aca="false">D21-E21</f>
        <v>70282</v>
      </c>
      <c r="G21" s="1456" t="n">
        <v>57011</v>
      </c>
      <c r="H21" s="1456" t="n">
        <v>1660591</v>
      </c>
      <c r="I21" s="1456" t="n">
        <v>667771</v>
      </c>
      <c r="J21" s="1456" t="n">
        <v>70</v>
      </c>
      <c r="K21" s="1456" t="n">
        <v>0</v>
      </c>
      <c r="L21" s="1456" t="n">
        <f aca="false">H21+I21+J21+K21</f>
        <v>2328432</v>
      </c>
      <c r="M21" s="1456" t="n">
        <v>4038</v>
      </c>
      <c r="N21" s="1456" t="n">
        <v>0</v>
      </c>
      <c r="O21" s="1456" t="n">
        <v>0</v>
      </c>
      <c r="P21" s="1456" t="n">
        <v>0</v>
      </c>
      <c r="Q21" s="1456" t="n">
        <v>0</v>
      </c>
      <c r="R21" s="1456" t="n">
        <v>308350</v>
      </c>
      <c r="S21" s="1456" t="n">
        <v>100037</v>
      </c>
    </row>
    <row r="22" s="931" customFormat="true" ht="10.35" hidden="false" customHeight="true" outlineLevel="0" collapsed="false">
      <c r="A22" s="1617" t="s">
        <v>216</v>
      </c>
      <c r="B22" s="1617" t="n">
        <v>2517324</v>
      </c>
      <c r="C22" s="1618" t="n">
        <v>67296</v>
      </c>
      <c r="D22" s="1618" t="n">
        <v>148759</v>
      </c>
      <c r="E22" s="1618" t="n">
        <v>143554</v>
      </c>
      <c r="F22" s="1618" t="n">
        <f aca="false">D22-E22</f>
        <v>5205</v>
      </c>
      <c r="G22" s="1618" t="n">
        <v>56564</v>
      </c>
      <c r="H22" s="1618" t="n">
        <v>1539960</v>
      </c>
      <c r="I22" s="1618" t="n">
        <v>729547</v>
      </c>
      <c r="J22" s="1618" t="n">
        <v>111</v>
      </c>
      <c r="K22" s="1618" t="n">
        <v>0</v>
      </c>
      <c r="L22" s="1618" t="n">
        <f aca="false">H22+I22+J22+K22</f>
        <v>2269618</v>
      </c>
      <c r="M22" s="1618" t="n">
        <v>5911</v>
      </c>
      <c r="N22" s="1618" t="n">
        <v>0</v>
      </c>
      <c r="O22" s="1618" t="n">
        <v>0</v>
      </c>
      <c r="P22" s="1618" t="n">
        <v>0</v>
      </c>
      <c r="Q22" s="1618" t="n">
        <v>0</v>
      </c>
      <c r="R22" s="1618" t="n">
        <v>309555</v>
      </c>
      <c r="S22" s="1618" t="n">
        <v>61305</v>
      </c>
    </row>
    <row r="23" s="931" customFormat="true" ht="10.35" hidden="false" customHeight="true" outlineLevel="0" collapsed="false">
      <c r="A23" s="1615" t="s">
        <v>217</v>
      </c>
      <c r="B23" s="1615" t="n">
        <v>2481543</v>
      </c>
      <c r="C23" s="1456" t="n">
        <v>67032</v>
      </c>
      <c r="D23" s="1456" t="n">
        <v>166447</v>
      </c>
      <c r="E23" s="1456" t="n">
        <v>123970</v>
      </c>
      <c r="F23" s="1456" t="n">
        <f aca="false">D23-E23</f>
        <v>42477</v>
      </c>
      <c r="G23" s="1456" t="n">
        <v>56280</v>
      </c>
      <c r="H23" s="1456" t="n">
        <v>1509006</v>
      </c>
      <c r="I23" s="1456" t="n">
        <v>756847</v>
      </c>
      <c r="J23" s="1456" t="n">
        <v>93</v>
      </c>
      <c r="K23" s="1456" t="n">
        <v>0</v>
      </c>
      <c r="L23" s="1456" t="n">
        <f aca="false">H23+I23+J23+K23</f>
        <v>2265946</v>
      </c>
      <c r="M23" s="1456" t="n">
        <v>7601</v>
      </c>
      <c r="N23" s="1456" t="n">
        <v>0</v>
      </c>
      <c r="O23" s="1456" t="n">
        <v>0</v>
      </c>
      <c r="P23" s="1456" t="n">
        <v>0</v>
      </c>
      <c r="Q23" s="1456" t="n">
        <v>0</v>
      </c>
      <c r="R23" s="1456" t="n">
        <v>309760</v>
      </c>
      <c r="S23" s="1456" t="n">
        <v>64025</v>
      </c>
    </row>
    <row r="24" s="931" customFormat="true" ht="10.35" hidden="false" customHeight="true" outlineLevel="0" collapsed="false">
      <c r="A24" s="1617" t="s">
        <v>218</v>
      </c>
      <c r="B24" s="1617" t="n">
        <v>2453091</v>
      </c>
      <c r="C24" s="1618" t="n">
        <v>69091</v>
      </c>
      <c r="D24" s="1618" t="n">
        <v>184323</v>
      </c>
      <c r="E24" s="1618" t="n">
        <v>134044</v>
      </c>
      <c r="F24" s="1618" t="n">
        <f aca="false">D24-E24</f>
        <v>50279</v>
      </c>
      <c r="G24" s="1618" t="n">
        <v>56129</v>
      </c>
      <c r="H24" s="1618" t="n">
        <v>1507507</v>
      </c>
      <c r="I24" s="1618" t="n">
        <v>730455</v>
      </c>
      <c r="J24" s="1618" t="n">
        <v>101</v>
      </c>
      <c r="K24" s="1618" t="n">
        <v>0</v>
      </c>
      <c r="L24" s="1618" t="n">
        <f aca="false">H24+I24+J24+K24</f>
        <v>2238063</v>
      </c>
      <c r="M24" s="1618" t="n">
        <v>5774</v>
      </c>
      <c r="N24" s="1618" t="n">
        <v>0</v>
      </c>
      <c r="O24" s="1618" t="n">
        <v>0</v>
      </c>
      <c r="P24" s="1618" t="n">
        <v>0</v>
      </c>
      <c r="Q24" s="1618" t="n">
        <v>0</v>
      </c>
      <c r="R24" s="1618" t="n">
        <v>316466</v>
      </c>
      <c r="S24" s="1618" t="n">
        <v>68287</v>
      </c>
    </row>
    <row r="25" s="931" customFormat="true" ht="10.35" hidden="false" customHeight="true" outlineLevel="0" collapsed="false">
      <c r="A25" s="1615" t="s">
        <v>219</v>
      </c>
      <c r="B25" s="1615" t="n">
        <v>2476919</v>
      </c>
      <c r="C25" s="1456" t="n">
        <v>75528</v>
      </c>
      <c r="D25" s="1456" t="n">
        <v>230826</v>
      </c>
      <c r="E25" s="1456" t="n">
        <v>122877</v>
      </c>
      <c r="F25" s="1456" t="n">
        <f aca="false">D25-E25</f>
        <v>107949</v>
      </c>
      <c r="G25" s="1456" t="n">
        <v>56662</v>
      </c>
      <c r="H25" s="1456" t="n">
        <v>1568330</v>
      </c>
      <c r="I25" s="1456" t="n">
        <v>762870</v>
      </c>
      <c r="J25" s="1456" t="n">
        <v>99</v>
      </c>
      <c r="K25" s="1456" t="n">
        <v>0</v>
      </c>
      <c r="L25" s="1456" t="n">
        <f aca="false">H25+I25+J25+K25</f>
        <v>2331299</v>
      </c>
      <c r="M25" s="1456" t="n">
        <v>10971</v>
      </c>
      <c r="N25" s="1456" t="n">
        <v>0</v>
      </c>
      <c r="O25" s="1456" t="n">
        <v>0</v>
      </c>
      <c r="P25" s="1456" t="n">
        <v>0</v>
      </c>
      <c r="Q25" s="1456" t="n">
        <v>0</v>
      </c>
      <c r="R25" s="1456" t="n">
        <v>316950</v>
      </c>
      <c r="S25" s="1456" t="n">
        <v>57838</v>
      </c>
    </row>
    <row r="26" s="931" customFormat="true" ht="10.35" hidden="false" customHeight="true" outlineLevel="0" collapsed="false">
      <c r="A26" s="1617" t="s">
        <v>220</v>
      </c>
      <c r="B26" s="1617" t="n">
        <v>2455646</v>
      </c>
      <c r="C26" s="1618" t="n">
        <v>68645</v>
      </c>
      <c r="D26" s="1618" t="n">
        <v>210506</v>
      </c>
      <c r="E26" s="1618" t="n">
        <v>136810</v>
      </c>
      <c r="F26" s="1618" t="n">
        <f aca="false">D26-E26</f>
        <v>73696</v>
      </c>
      <c r="G26" s="1618" t="n">
        <v>56124</v>
      </c>
      <c r="H26" s="1618" t="n">
        <v>1558273</v>
      </c>
      <c r="I26" s="1618" t="n">
        <v>706536</v>
      </c>
      <c r="J26" s="1618" t="n">
        <v>182</v>
      </c>
      <c r="K26" s="1618" t="n">
        <v>0</v>
      </c>
      <c r="L26" s="1618" t="n">
        <f aca="false">H26+I26+J26+K26</f>
        <v>2264991</v>
      </c>
      <c r="M26" s="1618" t="n">
        <v>9026</v>
      </c>
      <c r="N26" s="1618" t="n">
        <v>0</v>
      </c>
      <c r="O26" s="1618" t="n">
        <v>0</v>
      </c>
      <c r="P26" s="1618" t="n">
        <v>0</v>
      </c>
      <c r="Q26" s="1618" t="n">
        <v>0</v>
      </c>
      <c r="R26" s="1618" t="n">
        <v>334837</v>
      </c>
      <c r="S26" s="1618" t="n">
        <v>45257</v>
      </c>
    </row>
    <row r="27" s="931" customFormat="true" ht="10.35" hidden="false" customHeight="true" outlineLevel="0" collapsed="false">
      <c r="A27" s="1615" t="s">
        <v>221</v>
      </c>
      <c r="B27" s="1615" t="n">
        <v>2503230</v>
      </c>
      <c r="C27" s="1456" t="n">
        <v>79372</v>
      </c>
      <c r="D27" s="1456" t="n">
        <v>209128</v>
      </c>
      <c r="E27" s="1456" t="n">
        <v>173720</v>
      </c>
      <c r="F27" s="1456" t="n">
        <f aca="false">D27-E27</f>
        <v>35408</v>
      </c>
      <c r="G27" s="1456" t="n">
        <v>55070</v>
      </c>
      <c r="H27" s="1456" t="n">
        <v>1574073</v>
      </c>
      <c r="I27" s="1456" t="n">
        <v>677987</v>
      </c>
      <c r="J27" s="1456" t="n">
        <v>83</v>
      </c>
      <c r="K27" s="1456" t="n">
        <v>0</v>
      </c>
      <c r="L27" s="1456" t="n">
        <f aca="false">H27+I27+J27+K27</f>
        <v>2252143</v>
      </c>
      <c r="M27" s="1456" t="n">
        <v>8870</v>
      </c>
      <c r="N27" s="1456" t="n">
        <v>0</v>
      </c>
      <c r="O27" s="1456" t="n">
        <v>0</v>
      </c>
      <c r="P27" s="1456" t="n">
        <v>0</v>
      </c>
      <c r="Q27" s="1456" t="n">
        <v>0</v>
      </c>
      <c r="R27" s="1456" t="n">
        <v>346024</v>
      </c>
      <c r="S27" s="1456" t="n">
        <v>66043</v>
      </c>
    </row>
    <row r="28" s="455" customFormat="true" ht="10.35" hidden="false" customHeight="true" outlineLevel="0" collapsed="false">
      <c r="A28" s="1617" t="s">
        <v>222</v>
      </c>
      <c r="B28" s="1617" t="n">
        <v>2513947</v>
      </c>
      <c r="C28" s="1618" t="n">
        <v>85621</v>
      </c>
      <c r="D28" s="1618" t="n">
        <v>191228</v>
      </c>
      <c r="E28" s="1618" t="n">
        <v>172042</v>
      </c>
      <c r="F28" s="1618" t="n">
        <f aca="false">D28-E28</f>
        <v>19186</v>
      </c>
      <c r="G28" s="1618" t="n">
        <v>55538</v>
      </c>
      <c r="H28" s="1618" t="n">
        <v>1579718</v>
      </c>
      <c r="I28" s="1618" t="n">
        <v>655792</v>
      </c>
      <c r="J28" s="1618" t="n">
        <v>108</v>
      </c>
      <c r="K28" s="1618" t="n">
        <v>0</v>
      </c>
      <c r="L28" s="1618" t="n">
        <f aca="false">H28+I28+J28+K28</f>
        <v>2235618</v>
      </c>
      <c r="M28" s="1618" t="n">
        <v>8729</v>
      </c>
      <c r="N28" s="1618" t="n">
        <v>0</v>
      </c>
      <c r="O28" s="1618" t="n">
        <v>0</v>
      </c>
      <c r="P28" s="1618" t="n">
        <v>0</v>
      </c>
      <c r="Q28" s="1618" t="n">
        <v>0</v>
      </c>
      <c r="R28" s="1618" t="n">
        <v>343152</v>
      </c>
      <c r="S28" s="1618" t="n">
        <v>86793</v>
      </c>
    </row>
    <row r="29" s="455" customFormat="true" ht="10.35" hidden="false" customHeight="true" outlineLevel="0" collapsed="false">
      <c r="A29" s="1615" t="s">
        <v>223</v>
      </c>
      <c r="B29" s="1615" t="n">
        <v>2496379</v>
      </c>
      <c r="C29" s="1456" t="n">
        <v>72982</v>
      </c>
      <c r="D29" s="1456" t="n">
        <v>193566</v>
      </c>
      <c r="E29" s="1456" t="n">
        <v>127991</v>
      </c>
      <c r="F29" s="1456" t="n">
        <f aca="false">D29-E29</f>
        <v>65575</v>
      </c>
      <c r="G29" s="1456" t="n">
        <v>55304</v>
      </c>
      <c r="H29" s="1456" t="n">
        <v>1572639</v>
      </c>
      <c r="I29" s="1456" t="n">
        <v>681794</v>
      </c>
      <c r="J29" s="1456" t="n">
        <v>209</v>
      </c>
      <c r="K29" s="1456" t="n">
        <v>0</v>
      </c>
      <c r="L29" s="1456" t="n">
        <f aca="false">H29+I29+J29+K29</f>
        <v>2254642</v>
      </c>
      <c r="M29" s="1456" t="n">
        <v>11119</v>
      </c>
      <c r="N29" s="1456" t="n">
        <v>0</v>
      </c>
      <c r="O29" s="1456" t="n">
        <v>0</v>
      </c>
      <c r="P29" s="1456" t="n">
        <v>0</v>
      </c>
      <c r="Q29" s="1456" t="n">
        <v>0</v>
      </c>
      <c r="R29" s="1456" t="n">
        <v>351251</v>
      </c>
      <c r="S29" s="1456" t="n">
        <v>73228</v>
      </c>
    </row>
    <row r="30" s="455" customFormat="true" ht="10.35" hidden="false" customHeight="true" outlineLevel="0" collapsed="false">
      <c r="A30" s="1617" t="s">
        <v>224</v>
      </c>
      <c r="B30" s="1617" t="n">
        <v>2487366</v>
      </c>
      <c r="C30" s="1618" t="n">
        <v>93646</v>
      </c>
      <c r="D30" s="1618" t="n">
        <v>337205</v>
      </c>
      <c r="E30" s="1618" t="n">
        <v>92494</v>
      </c>
      <c r="F30" s="1618" t="n">
        <f aca="false">D30-E30</f>
        <v>244711</v>
      </c>
      <c r="G30" s="1618" t="n">
        <v>55197</v>
      </c>
      <c r="H30" s="1618" t="n">
        <v>1782379</v>
      </c>
      <c r="I30" s="1618" t="n">
        <v>658927</v>
      </c>
      <c r="J30" s="1618" t="n">
        <v>135</v>
      </c>
      <c r="K30" s="1618" t="n">
        <v>0</v>
      </c>
      <c r="L30" s="1618" t="n">
        <f aca="false">H30+I30+J30+K30</f>
        <v>2441441</v>
      </c>
      <c r="M30" s="1618" t="n">
        <v>9621</v>
      </c>
      <c r="N30" s="1618" t="n">
        <v>0</v>
      </c>
      <c r="O30" s="1618" t="n">
        <v>0</v>
      </c>
      <c r="P30" s="1618" t="n">
        <v>0</v>
      </c>
      <c r="Q30" s="1618" t="n">
        <v>0</v>
      </c>
      <c r="R30" s="1618" t="n">
        <v>354036</v>
      </c>
      <c r="S30" s="1618" t="n">
        <v>75822</v>
      </c>
    </row>
    <row r="31" s="455" customFormat="true" ht="9.75" hidden="false" customHeight="true" outlineLevel="0" collapsed="false">
      <c r="A31" s="1615" t="s">
        <v>225</v>
      </c>
      <c r="B31" s="1615" t="n">
        <v>2571956</v>
      </c>
      <c r="C31" s="1456" t="n">
        <v>70311</v>
      </c>
      <c r="D31" s="1456" t="n">
        <v>321534</v>
      </c>
      <c r="E31" s="1456" t="n">
        <v>106459</v>
      </c>
      <c r="F31" s="1456" t="n">
        <f aca="false">D31-E31</f>
        <v>215075</v>
      </c>
      <c r="G31" s="1456" t="n">
        <v>55377</v>
      </c>
      <c r="H31" s="1456" t="n">
        <v>1688583</v>
      </c>
      <c r="I31" s="1456" t="n">
        <v>757875</v>
      </c>
      <c r="J31" s="1456" t="n">
        <v>131</v>
      </c>
      <c r="K31" s="1456" t="n">
        <v>0</v>
      </c>
      <c r="L31" s="1456" t="n">
        <f aca="false">H31+I31+J31+K31</f>
        <v>2446589</v>
      </c>
      <c r="M31" s="1456" t="n">
        <v>4118</v>
      </c>
      <c r="N31" s="1456" t="n">
        <v>0</v>
      </c>
      <c r="O31" s="1456" t="n">
        <v>0</v>
      </c>
      <c r="P31" s="1456" t="n">
        <v>0</v>
      </c>
      <c r="Q31" s="1456" t="n">
        <v>0</v>
      </c>
      <c r="R31" s="1456" t="n">
        <v>335486</v>
      </c>
      <c r="S31" s="1456" t="n">
        <v>126526</v>
      </c>
    </row>
    <row r="32" s="455" customFormat="true" ht="12.75" hidden="false" customHeight="true" outlineLevel="0" collapsed="false">
      <c r="A32" s="1624" t="s">
        <v>2665</v>
      </c>
      <c r="B32" s="1612" t="n">
        <f aca="false">B44</f>
        <v>2901748</v>
      </c>
      <c r="C32" s="1613" t="n">
        <f aca="false">C44</f>
        <v>159196</v>
      </c>
      <c r="D32" s="1613" t="n">
        <f aca="false">D44</f>
        <v>421997</v>
      </c>
      <c r="E32" s="1613" t="n">
        <f aca="false">E44</f>
        <v>149558</v>
      </c>
      <c r="F32" s="1613" t="n">
        <f aca="false">F44</f>
        <v>272439</v>
      </c>
      <c r="G32" s="1613" t="n">
        <f aca="false">G44</f>
        <v>57551</v>
      </c>
      <c r="H32" s="1613" t="n">
        <f aca="false">H44</f>
        <v>2065522</v>
      </c>
      <c r="I32" s="1613" t="n">
        <f aca="false">I44</f>
        <v>763604</v>
      </c>
      <c r="J32" s="1613" t="n">
        <f aca="false">J44</f>
        <v>289</v>
      </c>
      <c r="K32" s="1613" t="n">
        <f aca="false">K44</f>
        <v>0</v>
      </c>
      <c r="L32" s="1613" t="n">
        <f aca="false">L44</f>
        <v>2829415</v>
      </c>
      <c r="M32" s="1613" t="n">
        <f aca="false">M44</f>
        <v>12725</v>
      </c>
      <c r="N32" s="1613" t="n">
        <f aca="false">N44</f>
        <v>0</v>
      </c>
      <c r="O32" s="1613" t="n">
        <f aca="false">O44</f>
        <v>0</v>
      </c>
      <c r="P32" s="1613" t="n">
        <f aca="false">P44</f>
        <v>0</v>
      </c>
      <c r="Q32" s="1613" t="n">
        <f aca="false">Q44</f>
        <v>0</v>
      </c>
      <c r="R32" s="1613" t="n">
        <f aca="false">R44</f>
        <v>364936</v>
      </c>
      <c r="S32" s="1613" t="n">
        <f aca="false">S44</f>
        <v>183858</v>
      </c>
    </row>
    <row r="33" s="455" customFormat="true" ht="10.35" hidden="false" customHeight="true" outlineLevel="0" collapsed="false">
      <c r="A33" s="1615" t="s">
        <v>214</v>
      </c>
      <c r="B33" s="1615" t="n">
        <v>2556568</v>
      </c>
      <c r="C33" s="1456" t="n">
        <v>70382</v>
      </c>
      <c r="D33" s="1456" t="n">
        <v>320886</v>
      </c>
      <c r="E33" s="1456" t="n">
        <v>123121</v>
      </c>
      <c r="F33" s="1456" t="n">
        <f aca="false">D33-E33</f>
        <v>197765</v>
      </c>
      <c r="G33" s="1456" t="n">
        <v>55402</v>
      </c>
      <c r="H33" s="1456" t="n">
        <v>1708957</v>
      </c>
      <c r="I33" s="1456" t="n">
        <v>711011</v>
      </c>
      <c r="J33" s="1456" t="n">
        <v>243</v>
      </c>
      <c r="K33" s="1456" t="n">
        <v>0</v>
      </c>
      <c r="L33" s="1456" t="n">
        <f aca="false">H33+I33+J33+K33</f>
        <v>2420211</v>
      </c>
      <c r="M33" s="1456" t="n">
        <v>4351</v>
      </c>
      <c r="N33" s="1456" t="n">
        <v>0</v>
      </c>
      <c r="O33" s="1456" t="n">
        <v>0</v>
      </c>
      <c r="P33" s="1456" t="n">
        <v>0</v>
      </c>
      <c r="Q33" s="1456" t="n">
        <v>0</v>
      </c>
      <c r="R33" s="1456" t="n">
        <v>331535</v>
      </c>
      <c r="S33" s="1456" t="n">
        <v>124020</v>
      </c>
    </row>
    <row r="34" s="455" customFormat="true" ht="10.35" hidden="false" customHeight="true" outlineLevel="0" collapsed="false">
      <c r="A34" s="1617" t="s">
        <v>215</v>
      </c>
      <c r="B34" s="1617" t="n">
        <v>2575489</v>
      </c>
      <c r="C34" s="1618" t="n">
        <v>100786</v>
      </c>
      <c r="D34" s="1618" t="n">
        <v>371301</v>
      </c>
      <c r="E34" s="1618" t="n">
        <v>170238</v>
      </c>
      <c r="F34" s="1618" t="n">
        <f aca="false">D34-E34</f>
        <v>201063</v>
      </c>
      <c r="G34" s="1618" t="n">
        <v>55575</v>
      </c>
      <c r="H34" s="1618" t="n">
        <v>1786271</v>
      </c>
      <c r="I34" s="1618" t="n">
        <v>712185</v>
      </c>
      <c r="J34" s="1618" t="n">
        <v>80</v>
      </c>
      <c r="K34" s="1618" t="n">
        <v>0</v>
      </c>
      <c r="L34" s="1618" t="n">
        <f aca="false">H34+I34+J34+K34</f>
        <v>2498536</v>
      </c>
      <c r="M34" s="1618" t="n">
        <v>4096</v>
      </c>
      <c r="N34" s="1618" t="n">
        <v>0</v>
      </c>
      <c r="O34" s="1618" t="n">
        <v>0</v>
      </c>
      <c r="P34" s="1618" t="n">
        <v>0</v>
      </c>
      <c r="Q34" s="1618" t="n">
        <v>0</v>
      </c>
      <c r="R34" s="1618" t="n">
        <v>337162</v>
      </c>
      <c r="S34" s="1618" t="n">
        <v>93119</v>
      </c>
    </row>
    <row r="35" s="455" customFormat="true" ht="10.35" hidden="false" customHeight="true" outlineLevel="0" collapsed="false">
      <c r="A35" s="1615" t="s">
        <v>216</v>
      </c>
      <c r="B35" s="1615" t="n">
        <v>2546112</v>
      </c>
      <c r="C35" s="1456" t="n">
        <v>80446</v>
      </c>
      <c r="D35" s="1456" t="n">
        <v>344388</v>
      </c>
      <c r="E35" s="1456" t="n">
        <v>150859</v>
      </c>
      <c r="F35" s="1456" t="n">
        <f aca="false">D35-E35</f>
        <v>193529</v>
      </c>
      <c r="G35" s="1456" t="n">
        <v>55671</v>
      </c>
      <c r="H35" s="1456" t="n">
        <v>1724113</v>
      </c>
      <c r="I35" s="1456" t="n">
        <v>732338</v>
      </c>
      <c r="J35" s="1456" t="n">
        <v>74</v>
      </c>
      <c r="K35" s="1456" t="n">
        <v>0</v>
      </c>
      <c r="L35" s="1456" t="n">
        <f aca="false">H35+I35+J35+K35</f>
        <v>2456525</v>
      </c>
      <c r="M35" s="1456" t="n">
        <v>3947</v>
      </c>
      <c r="N35" s="1456" t="n">
        <v>0</v>
      </c>
      <c r="O35" s="1456" t="n">
        <v>0</v>
      </c>
      <c r="P35" s="1456" t="n">
        <v>0</v>
      </c>
      <c r="Q35" s="1456" t="n">
        <v>0</v>
      </c>
      <c r="R35" s="1456" t="n">
        <v>344426</v>
      </c>
      <c r="S35" s="1456" t="n">
        <v>70860</v>
      </c>
    </row>
    <row r="36" s="455" customFormat="true" ht="10.35" hidden="false" customHeight="true" outlineLevel="0" collapsed="false">
      <c r="A36" s="1617" t="s">
        <v>217</v>
      </c>
      <c r="B36" s="1617" t="n">
        <v>2560118</v>
      </c>
      <c r="C36" s="1618" t="n">
        <v>74123</v>
      </c>
      <c r="D36" s="1618" t="n">
        <v>403182</v>
      </c>
      <c r="E36" s="1618" t="n">
        <v>154739</v>
      </c>
      <c r="F36" s="1618" t="n">
        <f aca="false">D36-E36</f>
        <v>248443</v>
      </c>
      <c r="G36" s="1618" t="n">
        <v>55891</v>
      </c>
      <c r="H36" s="1618" t="n">
        <v>1672101</v>
      </c>
      <c r="I36" s="1618" t="n">
        <v>822839</v>
      </c>
      <c r="J36" s="1618" t="n">
        <v>89</v>
      </c>
      <c r="K36" s="1618" t="n">
        <v>0</v>
      </c>
      <c r="L36" s="1618" t="n">
        <f aca="false">H36+I36+J36+K36</f>
        <v>2495029</v>
      </c>
      <c r="M36" s="1618" t="n">
        <v>5777</v>
      </c>
      <c r="N36" s="1618" t="n">
        <v>0</v>
      </c>
      <c r="O36" s="1618" t="n">
        <v>0</v>
      </c>
      <c r="P36" s="1618" t="n">
        <v>0</v>
      </c>
      <c r="Q36" s="1618" t="n">
        <v>0</v>
      </c>
      <c r="R36" s="1618" t="n">
        <v>363791</v>
      </c>
      <c r="S36" s="1618" t="n">
        <v>73978</v>
      </c>
    </row>
    <row r="37" s="455" customFormat="true" ht="10.35" hidden="false" customHeight="true" outlineLevel="0" collapsed="false">
      <c r="A37" s="1615" t="s">
        <v>218</v>
      </c>
      <c r="B37" s="1615" t="n">
        <v>2554544</v>
      </c>
      <c r="C37" s="1456" t="n">
        <v>74788</v>
      </c>
      <c r="D37" s="1456" t="n">
        <v>380971</v>
      </c>
      <c r="E37" s="1456" t="n">
        <v>172684</v>
      </c>
      <c r="F37" s="1456" t="n">
        <f aca="false">D37-E37</f>
        <v>208287</v>
      </c>
      <c r="G37" s="1456" t="n">
        <v>55993</v>
      </c>
      <c r="H37" s="1456" t="n">
        <v>1674646</v>
      </c>
      <c r="I37" s="1456" t="n">
        <v>771699</v>
      </c>
      <c r="J37" s="1456" t="n">
        <v>167</v>
      </c>
      <c r="K37" s="1456" t="n">
        <v>0</v>
      </c>
      <c r="L37" s="1456" t="n">
        <f aca="false">H37+I37+J37+K37</f>
        <v>2446512</v>
      </c>
      <c r="M37" s="1456" t="n">
        <v>3981</v>
      </c>
      <c r="N37" s="1456" t="n">
        <v>0</v>
      </c>
      <c r="O37" s="1456" t="n">
        <v>0</v>
      </c>
      <c r="P37" s="1456" t="n">
        <v>0</v>
      </c>
      <c r="Q37" s="1456" t="n">
        <v>0</v>
      </c>
      <c r="R37" s="1456" t="n">
        <v>369011</v>
      </c>
      <c r="S37" s="1456" t="n">
        <v>74108</v>
      </c>
    </row>
    <row r="38" s="455" customFormat="true" ht="10.35" hidden="false" customHeight="true" outlineLevel="0" collapsed="false">
      <c r="A38" s="1617" t="s">
        <v>219</v>
      </c>
      <c r="B38" s="1617" t="n">
        <v>2591134</v>
      </c>
      <c r="C38" s="1618" t="n">
        <v>76429</v>
      </c>
      <c r="D38" s="1618" t="n">
        <v>425625</v>
      </c>
      <c r="E38" s="1618" t="n">
        <v>181095</v>
      </c>
      <c r="F38" s="1618" t="n">
        <f aca="false">D38-E38</f>
        <v>244530</v>
      </c>
      <c r="G38" s="1618" t="n">
        <v>56814</v>
      </c>
      <c r="H38" s="1618" t="n">
        <v>1703957</v>
      </c>
      <c r="I38" s="1618" t="n">
        <v>789488</v>
      </c>
      <c r="J38" s="1618" t="n">
        <v>316</v>
      </c>
      <c r="K38" s="1618" t="n">
        <v>0</v>
      </c>
      <c r="L38" s="1618" t="n">
        <f aca="false">H38+I38+J38+K38</f>
        <v>2493761</v>
      </c>
      <c r="M38" s="1618" t="n">
        <v>3645</v>
      </c>
      <c r="N38" s="1618" t="n">
        <v>0</v>
      </c>
      <c r="O38" s="1618" t="n">
        <v>0</v>
      </c>
      <c r="P38" s="1618" t="n">
        <v>0</v>
      </c>
      <c r="Q38" s="1618" t="n">
        <v>0</v>
      </c>
      <c r="R38" s="1618" t="n">
        <v>384142</v>
      </c>
      <c r="S38" s="1618" t="n">
        <v>87359</v>
      </c>
    </row>
    <row r="39" s="455" customFormat="true" ht="10.35" hidden="false" customHeight="true" outlineLevel="0" collapsed="false">
      <c r="A39" s="1615" t="s">
        <v>220</v>
      </c>
      <c r="B39" s="1615" t="n">
        <v>2597398</v>
      </c>
      <c r="C39" s="1456" t="n">
        <v>78298</v>
      </c>
      <c r="D39" s="1456" t="n">
        <v>415059</v>
      </c>
      <c r="E39" s="1456" t="n">
        <v>185484</v>
      </c>
      <c r="F39" s="1456" t="n">
        <f aca="false">D39-E39</f>
        <v>229575</v>
      </c>
      <c r="G39" s="1456" t="n">
        <v>56496</v>
      </c>
      <c r="H39" s="1456" t="n">
        <v>1718156</v>
      </c>
      <c r="I39" s="1456" t="n">
        <v>758182</v>
      </c>
      <c r="J39" s="1456" t="n">
        <v>311</v>
      </c>
      <c r="K39" s="1456" t="n">
        <v>0</v>
      </c>
      <c r="L39" s="1456" t="n">
        <f aca="false">H39+I39+J39+K39</f>
        <v>2476649</v>
      </c>
      <c r="M39" s="1456" t="n">
        <v>6251</v>
      </c>
      <c r="N39" s="1456" t="n">
        <v>0</v>
      </c>
      <c r="O39" s="1456" t="n">
        <v>0</v>
      </c>
      <c r="P39" s="1456" t="n">
        <v>0</v>
      </c>
      <c r="Q39" s="1456" t="n">
        <v>0</v>
      </c>
      <c r="R39" s="1456" t="n">
        <v>383967</v>
      </c>
      <c r="S39" s="1456" t="n">
        <v>94900</v>
      </c>
    </row>
    <row r="40" s="455" customFormat="true" ht="10.35" hidden="false" customHeight="true" outlineLevel="0" collapsed="false">
      <c r="A40" s="1617" t="s">
        <v>221</v>
      </c>
      <c r="B40" s="1617" t="n">
        <v>2603455</v>
      </c>
      <c r="C40" s="1618" t="n">
        <v>162431</v>
      </c>
      <c r="D40" s="1618" t="n">
        <v>349113</v>
      </c>
      <c r="E40" s="1618" t="n">
        <v>183515</v>
      </c>
      <c r="F40" s="1618" t="n">
        <f aca="false">D40-E40</f>
        <v>165598</v>
      </c>
      <c r="G40" s="1618" t="n">
        <v>56644</v>
      </c>
      <c r="H40" s="1618" t="n">
        <v>1736834</v>
      </c>
      <c r="I40" s="1618" t="n">
        <v>757369</v>
      </c>
      <c r="J40" s="1618" t="n">
        <v>291</v>
      </c>
      <c r="K40" s="1618" t="n">
        <v>0</v>
      </c>
      <c r="L40" s="1618" t="n">
        <f aca="false">H40+I40+J40+K40</f>
        <v>2494494</v>
      </c>
      <c r="M40" s="1618" t="n">
        <v>5529</v>
      </c>
      <c r="N40" s="1618" t="n">
        <v>0</v>
      </c>
      <c r="O40" s="1618" t="n">
        <v>0</v>
      </c>
      <c r="P40" s="1618" t="n">
        <v>0</v>
      </c>
      <c r="Q40" s="1618" t="n">
        <v>0</v>
      </c>
      <c r="R40" s="1618" t="n">
        <v>390046</v>
      </c>
      <c r="S40" s="1618" t="n">
        <v>98059</v>
      </c>
    </row>
    <row r="41" s="455" customFormat="true" ht="10.35" hidden="false" customHeight="true" outlineLevel="0" collapsed="false">
      <c r="A41" s="1615" t="s">
        <v>222</v>
      </c>
      <c r="B41" s="1615" t="n">
        <v>2631174</v>
      </c>
      <c r="C41" s="1456" t="n">
        <v>389854</v>
      </c>
      <c r="D41" s="1456" t="n">
        <v>303645</v>
      </c>
      <c r="E41" s="1456" t="n">
        <v>184210</v>
      </c>
      <c r="F41" s="1456" t="n">
        <f aca="false">D41-E41</f>
        <v>119435</v>
      </c>
      <c r="G41" s="1456" t="n">
        <v>56736</v>
      </c>
      <c r="H41" s="1456" t="n">
        <v>1903657</v>
      </c>
      <c r="I41" s="1456" t="n">
        <v>809851</v>
      </c>
      <c r="J41" s="1456" t="n">
        <v>256</v>
      </c>
      <c r="K41" s="1456" t="n">
        <v>0</v>
      </c>
      <c r="L41" s="1456" t="n">
        <f aca="false">H41+I41+J41+K41</f>
        <v>2713764</v>
      </c>
      <c r="M41" s="1456" t="n">
        <v>5516</v>
      </c>
      <c r="N41" s="1456" t="n">
        <v>0</v>
      </c>
      <c r="O41" s="1456" t="n">
        <v>0</v>
      </c>
      <c r="P41" s="1456" t="n">
        <v>0</v>
      </c>
      <c r="Q41" s="1456" t="n">
        <v>0</v>
      </c>
      <c r="R41" s="1456" t="n">
        <v>371580</v>
      </c>
      <c r="S41" s="1456" t="n">
        <v>106339</v>
      </c>
    </row>
    <row r="42" s="455" customFormat="true" ht="10.35" hidden="false" customHeight="true" outlineLevel="0" collapsed="false">
      <c r="A42" s="1617" t="s">
        <v>223</v>
      </c>
      <c r="B42" s="1617" t="n">
        <v>2656037</v>
      </c>
      <c r="C42" s="1618" t="n">
        <v>122992</v>
      </c>
      <c r="D42" s="1618" t="n">
        <v>409039</v>
      </c>
      <c r="E42" s="1618" t="n">
        <v>165725</v>
      </c>
      <c r="F42" s="1618" t="n">
        <f aca="false">D42-E42</f>
        <v>243314</v>
      </c>
      <c r="G42" s="1618" t="n">
        <v>56749</v>
      </c>
      <c r="H42" s="1618" t="n">
        <v>1921647</v>
      </c>
      <c r="I42" s="1618" t="n">
        <v>625992</v>
      </c>
      <c r="J42" s="1618" t="n">
        <v>263</v>
      </c>
      <c r="K42" s="1618" t="n">
        <v>0</v>
      </c>
      <c r="L42" s="1618" t="n">
        <f aca="false">H42+I42+J42+K42</f>
        <v>2547902</v>
      </c>
      <c r="M42" s="1618" t="n">
        <v>7560</v>
      </c>
      <c r="N42" s="1618" t="n">
        <v>0</v>
      </c>
      <c r="O42" s="1618" t="n">
        <v>0</v>
      </c>
      <c r="P42" s="1618" t="n">
        <v>0</v>
      </c>
      <c r="Q42" s="1618" t="n">
        <v>0</v>
      </c>
      <c r="R42" s="1618" t="n">
        <v>394581</v>
      </c>
      <c r="S42" s="1618" t="n">
        <v>129049</v>
      </c>
    </row>
    <row r="43" s="455" customFormat="true" ht="10.35" hidden="false" customHeight="true" outlineLevel="0" collapsed="false">
      <c r="A43" s="1615" t="s">
        <v>224</v>
      </c>
      <c r="B43" s="1615" t="n">
        <v>2718112</v>
      </c>
      <c r="C43" s="1456" t="n">
        <v>258175</v>
      </c>
      <c r="D43" s="1456" t="n">
        <v>373177</v>
      </c>
      <c r="E43" s="1456" t="n">
        <v>162403</v>
      </c>
      <c r="F43" s="1456" t="n">
        <f aca="false">D43-E43</f>
        <v>210774</v>
      </c>
      <c r="G43" s="1456" t="n">
        <v>56945</v>
      </c>
      <c r="H43" s="1456" t="n">
        <v>2095658</v>
      </c>
      <c r="I43" s="1456" t="n">
        <v>591180</v>
      </c>
      <c r="J43" s="1456" t="n">
        <v>129</v>
      </c>
      <c r="K43" s="1456" t="n">
        <v>0</v>
      </c>
      <c r="L43" s="1456" t="n">
        <f aca="false">H43+I43+J43+K43</f>
        <v>2686967</v>
      </c>
      <c r="M43" s="1456" t="n">
        <v>9609</v>
      </c>
      <c r="N43" s="1456" t="n">
        <v>0</v>
      </c>
      <c r="O43" s="1456" t="n">
        <v>0</v>
      </c>
      <c r="P43" s="1456" t="n">
        <v>0</v>
      </c>
      <c r="Q43" s="1456" t="n">
        <v>0</v>
      </c>
      <c r="R43" s="1456" t="n">
        <v>401075</v>
      </c>
      <c r="S43" s="1456" t="n">
        <v>146355</v>
      </c>
    </row>
    <row r="44" s="455" customFormat="true" ht="10.35" hidden="false" customHeight="true" outlineLevel="0" collapsed="false">
      <c r="A44" s="1617" t="s">
        <v>225</v>
      </c>
      <c r="B44" s="1617" t="n">
        <v>2901748</v>
      </c>
      <c r="C44" s="1618" t="n">
        <v>159196</v>
      </c>
      <c r="D44" s="1618" t="n">
        <v>421997</v>
      </c>
      <c r="E44" s="1618" t="n">
        <v>149558</v>
      </c>
      <c r="F44" s="1618" t="n">
        <f aca="false">D44-E44</f>
        <v>272439</v>
      </c>
      <c r="G44" s="1618" t="n">
        <v>57551</v>
      </c>
      <c r="H44" s="1618" t="n">
        <v>2065522</v>
      </c>
      <c r="I44" s="1618" t="n">
        <v>763604</v>
      </c>
      <c r="J44" s="1618" t="n">
        <v>289</v>
      </c>
      <c r="K44" s="1618" t="n">
        <v>0</v>
      </c>
      <c r="L44" s="1618" t="n">
        <f aca="false">H44+I44+J44+K44</f>
        <v>2829415</v>
      </c>
      <c r="M44" s="1618" t="n">
        <v>12725</v>
      </c>
      <c r="N44" s="1618" t="n">
        <v>0</v>
      </c>
      <c r="O44" s="1618" t="n">
        <v>0</v>
      </c>
      <c r="P44" s="1618" t="n">
        <v>0</v>
      </c>
      <c r="Q44" s="1618" t="n">
        <v>0</v>
      </c>
      <c r="R44" s="1618" t="n">
        <v>364936</v>
      </c>
      <c r="S44" s="1618" t="n">
        <v>183858</v>
      </c>
    </row>
    <row r="45" s="455" customFormat="true" ht="10.35" hidden="false" customHeight="true" outlineLevel="0" collapsed="false">
      <c r="A45" s="1622" t="s">
        <v>284</v>
      </c>
      <c r="B45" s="1615"/>
      <c r="C45" s="1456"/>
      <c r="D45" s="1456"/>
      <c r="E45" s="1456"/>
      <c r="F45" s="1456"/>
      <c r="G45" s="1456"/>
      <c r="H45" s="1456"/>
      <c r="I45" s="1456"/>
      <c r="J45" s="1456"/>
      <c r="K45" s="1456"/>
      <c r="L45" s="1456"/>
      <c r="M45" s="1456"/>
      <c r="N45" s="1456"/>
      <c r="O45" s="1456"/>
      <c r="P45" s="1456"/>
      <c r="Q45" s="1456"/>
      <c r="R45" s="1456"/>
      <c r="S45" s="1456"/>
    </row>
    <row r="46" s="455" customFormat="true" ht="10.35" hidden="false" customHeight="true" outlineLevel="0" collapsed="false">
      <c r="A46" s="1625" t="s">
        <v>214</v>
      </c>
      <c r="B46" s="1625" t="n">
        <v>2972743</v>
      </c>
      <c r="C46" s="1626" t="n">
        <v>158946</v>
      </c>
      <c r="D46" s="1626" t="n">
        <v>448848</v>
      </c>
      <c r="E46" s="1626" t="n">
        <v>159358</v>
      </c>
      <c r="F46" s="1626" t="n">
        <f aca="false">D46-E46</f>
        <v>289490</v>
      </c>
      <c r="G46" s="1626" t="n">
        <v>57418</v>
      </c>
      <c r="H46" s="1626" t="n">
        <v>2231274</v>
      </c>
      <c r="I46" s="1626" t="n">
        <v>672147</v>
      </c>
      <c r="J46" s="1626" t="n">
        <v>295</v>
      </c>
      <c r="K46" s="1626" t="n">
        <v>0</v>
      </c>
      <c r="L46" s="1626" t="n">
        <f aca="false">H46+I46+J46+K46</f>
        <v>2903716</v>
      </c>
      <c r="M46" s="1626" t="n">
        <v>8292</v>
      </c>
      <c r="N46" s="1626" t="n">
        <v>0</v>
      </c>
      <c r="O46" s="1626" t="n">
        <v>0</v>
      </c>
      <c r="P46" s="1626" t="n">
        <v>0</v>
      </c>
      <c r="Q46" s="1626" t="n">
        <v>0</v>
      </c>
      <c r="R46" s="1626" t="n">
        <v>386729</v>
      </c>
      <c r="S46" s="1626" t="n">
        <v>179860</v>
      </c>
    </row>
    <row r="47" s="831" customFormat="true" ht="12" hidden="false" customHeight="false" outlineLevel="0" collapsed="false">
      <c r="A47" s="1627"/>
      <c r="B47" s="1628"/>
      <c r="C47" s="1628"/>
      <c r="D47" s="1628"/>
      <c r="E47" s="1628"/>
      <c r="F47" s="1628"/>
      <c r="G47" s="1628"/>
      <c r="H47" s="1628"/>
      <c r="I47" s="1628"/>
      <c r="J47" s="1628"/>
      <c r="K47" s="1628"/>
      <c r="L47" s="1628"/>
      <c r="M47" s="1628"/>
      <c r="N47" s="1628"/>
      <c r="O47" s="1628"/>
      <c r="P47" s="1628"/>
      <c r="Q47" s="1628"/>
      <c r="R47" s="1628"/>
      <c r="S47" s="1628"/>
    </row>
    <row r="48" customFormat="false" ht="15" hidden="false" customHeight="false" outlineLevel="0" collapsed="false">
      <c r="A48" s="1629" t="s">
        <v>256</v>
      </c>
      <c r="B48" s="1630" t="s">
        <v>254</v>
      </c>
      <c r="C48" s="1630"/>
      <c r="I48" s="730" t="s">
        <v>300</v>
      </c>
    </row>
    <row r="51" customFormat="false" ht="14.25" hidden="false" customHeight="true" outlineLevel="0" collapsed="false"/>
  </sheetData>
  <mergeCells count="15">
    <mergeCell ref="R1:S1"/>
    <mergeCell ref="R2:S2"/>
    <mergeCell ref="A3:A5"/>
    <mergeCell ref="B3:B4"/>
    <mergeCell ref="C3:C4"/>
    <mergeCell ref="D3:F3"/>
    <mergeCell ref="G3:G4"/>
    <mergeCell ref="H3:L3"/>
    <mergeCell ref="M3:M4"/>
    <mergeCell ref="N3:N4"/>
    <mergeCell ref="O3:O4"/>
    <mergeCell ref="P3:P4"/>
    <mergeCell ref="Q3:Q4"/>
    <mergeCell ref="R3:R4"/>
    <mergeCell ref="S3:S4"/>
  </mergeCells>
  <printOptions headings="false" gridLines="false" gridLinesSet="true" horizontalCentered="false" verticalCentered="false"/>
  <pageMargins left="0.45" right="0.45" top="0.75" bottom="0.75" header="0.511805555555555" footer="0.3"/>
  <pageSetup paperSize="1" scale="100" firstPageNumber="104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>&amp;C&amp;"Times New Roman,Regular"&amp;8&amp;P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50"/>
  <sheetViews>
    <sheetView showFormulas="false" showGridLines="true" showRowColHeaders="true" showZeros="true" rightToLeft="false" tabSelected="false" showOutlineSymbols="true" defaultGridColor="true" view="normal" topLeftCell="A4" colorId="64" zoomScale="130" zoomScaleNormal="130" zoomScalePageLayoutView="100" workbookViewId="0">
      <pane xSplit="1" ySplit="2" topLeftCell="B39" activePane="bottomRight" state="frozen"/>
      <selection pane="topLeft" activeCell="A4" activeCellId="0" sqref="A4"/>
      <selection pane="topRight" activeCell="B4" activeCellId="0" sqref="B4"/>
      <selection pane="bottomLeft" activeCell="A39" activeCellId="0" sqref="A39"/>
      <selection pane="bottomRight" activeCell="D51" activeCellId="0" sqref="D51"/>
    </sheetView>
  </sheetViews>
  <sheetFormatPr defaultColWidth="8.8671875" defaultRowHeight="15" zeroHeight="false" outlineLevelRow="0" outlineLevelCol="0"/>
  <cols>
    <col collapsed="false" customWidth="true" hidden="false" outlineLevel="0" max="1" min="1" style="1066" width="8.71"/>
    <col collapsed="false" customWidth="true" hidden="false" outlineLevel="0" max="2" min="2" style="1066" width="9.29"/>
    <col collapsed="false" customWidth="false" hidden="false" outlineLevel="0" max="3" min="3" style="1066" width="8.86"/>
    <col collapsed="false" customWidth="true" hidden="false" outlineLevel="0" max="4" min="4" style="1066" width="8.42"/>
    <col collapsed="false" customWidth="true" hidden="false" outlineLevel="0" max="5" min="5" style="1066" width="8.29"/>
    <col collapsed="false" customWidth="false" hidden="false" outlineLevel="0" max="7" min="6" style="1066" width="8.86"/>
    <col collapsed="false" customWidth="true" hidden="false" outlineLevel="0" max="8" min="8" style="1066" width="8.57"/>
    <col collapsed="false" customWidth="false" hidden="false" outlineLevel="0" max="9" min="9" style="1066" width="8.86"/>
    <col collapsed="false" customWidth="true" hidden="false" outlineLevel="0" max="10" min="10" style="1066" width="10"/>
    <col collapsed="false" customWidth="true" hidden="false" outlineLevel="0" max="11" min="11" style="1066" width="8"/>
    <col collapsed="false" customWidth="false" hidden="false" outlineLevel="0" max="12" min="12" style="1066" width="8.86"/>
    <col collapsed="false" customWidth="true" hidden="false" outlineLevel="0" max="13" min="13" style="1066" width="6.28"/>
    <col collapsed="false" customWidth="true" hidden="false" outlineLevel="0" max="14" min="14" style="1066" width="8.29"/>
    <col collapsed="false" customWidth="true" hidden="false" outlineLevel="0" max="15" min="15" style="1066" width="7.71"/>
    <col collapsed="false" customWidth="false" hidden="false" outlineLevel="0" max="16" min="16" style="1066" width="8.86"/>
    <col collapsed="false" customWidth="true" hidden="false" outlineLevel="0" max="17" min="17" style="1066" width="10.29"/>
    <col collapsed="false" customWidth="false" hidden="false" outlineLevel="0" max="1024" min="18" style="1066" width="8.86"/>
  </cols>
  <sheetData>
    <row r="1" s="1600" customFormat="true" ht="17.45" hidden="false" customHeight="true" outlineLevel="0" collapsed="false">
      <c r="A1" s="1599"/>
      <c r="D1" s="1631"/>
      <c r="E1" s="1631"/>
      <c r="G1" s="1603" t="s">
        <v>2666</v>
      </c>
      <c r="H1" s="1602"/>
      <c r="J1" s="1632" t="s">
        <v>2667</v>
      </c>
      <c r="K1" s="1632"/>
      <c r="L1" s="1632"/>
      <c r="M1" s="1602"/>
      <c r="P1" s="1419" t="s">
        <v>2668</v>
      </c>
      <c r="Q1" s="1419"/>
    </row>
    <row r="2" customFormat="false" ht="15" hidden="false" customHeight="false" outlineLevel="0" collapsed="false">
      <c r="P2" s="1633" t="s">
        <v>2669</v>
      </c>
      <c r="Q2" s="1633"/>
    </row>
    <row r="3" customFormat="false" ht="13.9" hidden="false" customHeight="true" outlineLevel="0" collapsed="false">
      <c r="A3" s="1606" t="s">
        <v>384</v>
      </c>
      <c r="B3" s="1607" t="s">
        <v>307</v>
      </c>
      <c r="C3" s="1634" t="s">
        <v>2670</v>
      </c>
      <c r="D3" s="1634"/>
      <c r="E3" s="1634"/>
      <c r="F3" s="1634" t="s">
        <v>2671</v>
      </c>
      <c r="G3" s="1634"/>
      <c r="H3" s="1634"/>
      <c r="I3" s="1634"/>
      <c r="J3" s="1634"/>
      <c r="K3" s="1607" t="s">
        <v>2672</v>
      </c>
      <c r="L3" s="1607" t="s">
        <v>2673</v>
      </c>
      <c r="M3" s="835" t="s">
        <v>2653</v>
      </c>
      <c r="N3" s="1610" t="s">
        <v>2654</v>
      </c>
      <c r="O3" s="1607" t="s">
        <v>2674</v>
      </c>
      <c r="P3" s="1607" t="s">
        <v>2656</v>
      </c>
      <c r="Q3" s="1607" t="s">
        <v>2675</v>
      </c>
    </row>
    <row r="4" customFormat="false" ht="77.25" hidden="false" customHeight="true" outlineLevel="0" collapsed="false">
      <c r="A4" s="1606"/>
      <c r="B4" s="1607"/>
      <c r="C4" s="1635" t="s">
        <v>2676</v>
      </c>
      <c r="D4" s="1607" t="s">
        <v>2677</v>
      </c>
      <c r="E4" s="1607" t="s">
        <v>2678</v>
      </c>
      <c r="F4" s="1607" t="s">
        <v>2679</v>
      </c>
      <c r="G4" s="1607" t="s">
        <v>2680</v>
      </c>
      <c r="H4" s="1607" t="s">
        <v>2681</v>
      </c>
      <c r="I4" s="1607" t="s">
        <v>2682</v>
      </c>
      <c r="J4" s="1607" t="s">
        <v>2683</v>
      </c>
      <c r="K4" s="1607"/>
      <c r="L4" s="1607"/>
      <c r="M4" s="835"/>
      <c r="N4" s="1610"/>
      <c r="O4" s="1607"/>
      <c r="P4" s="1607"/>
      <c r="Q4" s="1607"/>
    </row>
    <row r="5" s="1636" customFormat="true" ht="22.9" hidden="false" customHeight="true" outlineLevel="0" collapsed="false">
      <c r="A5" s="1606"/>
      <c r="B5" s="753" t="n">
        <v>1</v>
      </c>
      <c r="C5" s="750" t="n">
        <v>2</v>
      </c>
      <c r="D5" s="750" t="n">
        <v>3</v>
      </c>
      <c r="E5" s="750" t="n">
        <v>4</v>
      </c>
      <c r="F5" s="750" t="n">
        <v>5</v>
      </c>
      <c r="G5" s="750" t="n">
        <v>6</v>
      </c>
      <c r="H5" s="750" t="n">
        <v>7</v>
      </c>
      <c r="I5" s="750" t="n">
        <v>8</v>
      </c>
      <c r="J5" s="750" t="n">
        <v>9</v>
      </c>
      <c r="K5" s="750" t="n">
        <v>10</v>
      </c>
      <c r="L5" s="750" t="n">
        <v>11</v>
      </c>
      <c r="M5" s="750" t="n">
        <v>12</v>
      </c>
      <c r="N5" s="750" t="n">
        <v>13</v>
      </c>
      <c r="O5" s="750" t="n">
        <v>14</v>
      </c>
      <c r="P5" s="750" t="n">
        <v>15</v>
      </c>
      <c r="Q5" s="750" t="n">
        <v>16</v>
      </c>
    </row>
    <row r="6" s="1638" customFormat="true" ht="10.7" hidden="false" customHeight="true" outlineLevel="0" collapsed="false">
      <c r="A6" s="1637" t="s">
        <v>213</v>
      </c>
      <c r="B6" s="1613" t="n">
        <f aca="false">B18</f>
        <v>2198393</v>
      </c>
      <c r="C6" s="1613" t="n">
        <f aca="false">C18</f>
        <v>3173751</v>
      </c>
      <c r="D6" s="1613" t="n">
        <f aca="false">D18</f>
        <v>10384053</v>
      </c>
      <c r="E6" s="1613" t="n">
        <f aca="false">E18</f>
        <v>13557804</v>
      </c>
      <c r="F6" s="1613" t="n">
        <f aca="false">F18</f>
        <v>1393830</v>
      </c>
      <c r="G6" s="1613" t="n">
        <f aca="false">G18</f>
        <v>1135894</v>
      </c>
      <c r="H6" s="1613" t="n">
        <f aca="false">H18</f>
        <v>8942922</v>
      </c>
      <c r="I6" s="1613" t="n">
        <f aca="false">I18</f>
        <v>2263285</v>
      </c>
      <c r="J6" s="1613" t="n">
        <f aca="false">J18</f>
        <v>13735931</v>
      </c>
      <c r="K6" s="1613" t="n">
        <f aca="false">K18</f>
        <v>4668</v>
      </c>
      <c r="L6" s="1613" t="n">
        <f aca="false">L18</f>
        <v>17080</v>
      </c>
      <c r="M6" s="1613" t="n">
        <f aca="false">M18</f>
        <v>1622</v>
      </c>
      <c r="N6" s="1613" t="n">
        <f aca="false">N18</f>
        <v>0</v>
      </c>
      <c r="O6" s="1613" t="n">
        <f aca="false">O18</f>
        <v>0</v>
      </c>
      <c r="P6" s="1613" t="n">
        <f aca="false">P18</f>
        <v>1490636</v>
      </c>
      <c r="Q6" s="1613" t="n">
        <f aca="false">Q18</f>
        <v>506260</v>
      </c>
    </row>
    <row r="7" customFormat="false" ht="12" hidden="false" customHeight="true" outlineLevel="0" collapsed="false">
      <c r="A7" s="1244" t="s">
        <v>214</v>
      </c>
      <c r="B7" s="1456" t="n">
        <v>2311568</v>
      </c>
      <c r="C7" s="1456" t="n">
        <v>2778726</v>
      </c>
      <c r="D7" s="1456" t="n">
        <v>8943837</v>
      </c>
      <c r="E7" s="1456" t="n">
        <f aca="false">C7+D7</f>
        <v>11722563</v>
      </c>
      <c r="F7" s="1456" t="n">
        <v>1247121</v>
      </c>
      <c r="G7" s="1456" t="n">
        <v>999629</v>
      </c>
      <c r="H7" s="1456" t="n">
        <v>8212851</v>
      </c>
      <c r="I7" s="1456" t="n">
        <v>1865916</v>
      </c>
      <c r="J7" s="1456" t="n">
        <f aca="false">F7+G7+H7+I7</f>
        <v>12325517</v>
      </c>
      <c r="K7" s="1456" t="n">
        <v>9285</v>
      </c>
      <c r="L7" s="1456" t="n">
        <v>19745</v>
      </c>
      <c r="M7" s="1456" t="n">
        <v>4802</v>
      </c>
      <c r="N7" s="1456" t="n">
        <v>0</v>
      </c>
      <c r="O7" s="1456" t="n">
        <v>0</v>
      </c>
      <c r="P7" s="1456" t="n">
        <v>1374975</v>
      </c>
      <c r="Q7" s="1456" t="n">
        <v>299807</v>
      </c>
    </row>
    <row r="8" s="1639" customFormat="true" ht="10.7" hidden="false" customHeight="true" outlineLevel="0" collapsed="false">
      <c r="A8" s="1234" t="s">
        <v>215</v>
      </c>
      <c r="B8" s="1618" t="n">
        <v>2317212</v>
      </c>
      <c r="C8" s="1618" t="n">
        <v>2884509</v>
      </c>
      <c r="D8" s="1618" t="n">
        <v>9078326</v>
      </c>
      <c r="E8" s="1618" t="n">
        <f aca="false">C8+D8</f>
        <v>11962835</v>
      </c>
      <c r="F8" s="1618" t="n">
        <v>1462749</v>
      </c>
      <c r="G8" s="1618" t="n">
        <v>955154</v>
      </c>
      <c r="H8" s="1618" t="n">
        <v>8245481</v>
      </c>
      <c r="I8" s="1618" t="n">
        <v>1903654</v>
      </c>
      <c r="J8" s="1618" t="n">
        <f aca="false">F8+G8+H8+I8</f>
        <v>12567038</v>
      </c>
      <c r="K8" s="1618" t="n">
        <v>10180</v>
      </c>
      <c r="L8" s="1618" t="n">
        <v>20145</v>
      </c>
      <c r="M8" s="1618" t="n">
        <v>4836</v>
      </c>
      <c r="N8" s="1618" t="n">
        <v>0</v>
      </c>
      <c r="O8" s="1618" t="n">
        <v>0</v>
      </c>
      <c r="P8" s="1618" t="n">
        <v>1381320</v>
      </c>
      <c r="Q8" s="1618" t="n">
        <v>296528</v>
      </c>
    </row>
    <row r="9" customFormat="false" ht="10.7" hidden="false" customHeight="true" outlineLevel="0" collapsed="false">
      <c r="A9" s="1244" t="s">
        <v>216</v>
      </c>
      <c r="B9" s="1456" t="n">
        <v>2278149</v>
      </c>
      <c r="C9" s="1456" t="n">
        <v>2855089</v>
      </c>
      <c r="D9" s="1456" t="n">
        <v>9181871</v>
      </c>
      <c r="E9" s="1456" t="n">
        <f aca="false">C9+D9</f>
        <v>12036960</v>
      </c>
      <c r="F9" s="1456" t="n">
        <v>1312735</v>
      </c>
      <c r="G9" s="1456" t="n">
        <v>984463</v>
      </c>
      <c r="H9" s="1456" t="n">
        <v>8337010</v>
      </c>
      <c r="I9" s="1456" t="n">
        <v>1938554</v>
      </c>
      <c r="J9" s="1456" t="n">
        <f aca="false">F9+G9+H9+I9</f>
        <v>12572762</v>
      </c>
      <c r="K9" s="1456" t="n">
        <v>11160</v>
      </c>
      <c r="L9" s="1456" t="n">
        <v>17931</v>
      </c>
      <c r="M9" s="1456" t="n">
        <v>4147</v>
      </c>
      <c r="N9" s="1456" t="n">
        <v>0</v>
      </c>
      <c r="O9" s="1456" t="n">
        <v>0</v>
      </c>
      <c r="P9" s="1456" t="n">
        <v>1426822</v>
      </c>
      <c r="Q9" s="1456" t="n">
        <v>282287</v>
      </c>
    </row>
    <row r="10" s="1639" customFormat="true" ht="10.7" hidden="false" customHeight="true" outlineLevel="0" collapsed="false">
      <c r="A10" s="1234" t="s">
        <v>217</v>
      </c>
      <c r="B10" s="1618" t="n">
        <v>2256442</v>
      </c>
      <c r="C10" s="1618" t="n">
        <v>2879294</v>
      </c>
      <c r="D10" s="1618" t="n">
        <v>9314419</v>
      </c>
      <c r="E10" s="1618" t="n">
        <f aca="false">C10+D10</f>
        <v>12193713</v>
      </c>
      <c r="F10" s="1618" t="n">
        <v>1252172</v>
      </c>
      <c r="G10" s="1618" t="n">
        <v>998240</v>
      </c>
      <c r="H10" s="1618" t="n">
        <v>8424669</v>
      </c>
      <c r="I10" s="1618" t="n">
        <v>1983427</v>
      </c>
      <c r="J10" s="1618" t="n">
        <f aca="false">F10+G10+H10+I10</f>
        <v>12658508</v>
      </c>
      <c r="K10" s="1618" t="n">
        <v>10994</v>
      </c>
      <c r="L10" s="1618" t="n">
        <v>18229</v>
      </c>
      <c r="M10" s="1618" t="n">
        <v>3811</v>
      </c>
      <c r="N10" s="1618" t="n">
        <v>0</v>
      </c>
      <c r="O10" s="1618" t="n">
        <v>0</v>
      </c>
      <c r="P10" s="1618" t="n">
        <v>1444339</v>
      </c>
      <c r="Q10" s="1618" t="n">
        <v>314274</v>
      </c>
    </row>
    <row r="11" s="1639" customFormat="true" ht="10.7" hidden="false" customHeight="true" outlineLevel="0" collapsed="false">
      <c r="A11" s="1244" t="s">
        <v>218</v>
      </c>
      <c r="B11" s="1456" t="n">
        <v>2239213</v>
      </c>
      <c r="C11" s="1456" t="n">
        <v>2921573</v>
      </c>
      <c r="D11" s="1456" t="n">
        <v>9481552</v>
      </c>
      <c r="E11" s="1456" t="n">
        <f aca="false">C11+D11</f>
        <v>12403125</v>
      </c>
      <c r="F11" s="1456" t="n">
        <v>1253388</v>
      </c>
      <c r="G11" s="1456" t="n">
        <v>1002058</v>
      </c>
      <c r="H11" s="1456" t="n">
        <v>8494533</v>
      </c>
      <c r="I11" s="1456" t="n">
        <v>2020215</v>
      </c>
      <c r="J11" s="1456" t="n">
        <f aca="false">F11+G11+H11+I11</f>
        <v>12770194</v>
      </c>
      <c r="K11" s="1456" t="n">
        <v>8830</v>
      </c>
      <c r="L11" s="1456" t="n">
        <v>18601</v>
      </c>
      <c r="M11" s="1456" t="n">
        <v>4567</v>
      </c>
      <c r="N11" s="1456" t="n">
        <v>0</v>
      </c>
      <c r="O11" s="1456" t="n">
        <v>0</v>
      </c>
      <c r="P11" s="1456" t="n">
        <v>1510500</v>
      </c>
      <c r="Q11" s="1456" t="n">
        <v>329646</v>
      </c>
    </row>
    <row r="12" s="1639" customFormat="true" ht="10.7" hidden="false" customHeight="true" outlineLevel="0" collapsed="false">
      <c r="A12" s="1234" t="s">
        <v>219</v>
      </c>
      <c r="B12" s="1618" t="n">
        <v>2253419</v>
      </c>
      <c r="C12" s="1618" t="n">
        <v>2890628</v>
      </c>
      <c r="D12" s="1618" t="n">
        <v>9689251</v>
      </c>
      <c r="E12" s="1618" t="n">
        <f aca="false">C12+D12</f>
        <v>12579879</v>
      </c>
      <c r="F12" s="1618" t="n">
        <v>1276080</v>
      </c>
      <c r="G12" s="1618" t="n">
        <v>1043619</v>
      </c>
      <c r="H12" s="1618" t="n">
        <v>8597602</v>
      </c>
      <c r="I12" s="1618" t="n">
        <v>2045703</v>
      </c>
      <c r="J12" s="1618" t="n">
        <f aca="false">F12+G12+H12+I12</f>
        <v>12963004</v>
      </c>
      <c r="K12" s="1618" t="n">
        <v>9109</v>
      </c>
      <c r="L12" s="1618" t="n">
        <v>18269</v>
      </c>
      <c r="M12" s="1618" t="n">
        <v>4969</v>
      </c>
      <c r="N12" s="1618" t="n">
        <v>0</v>
      </c>
      <c r="O12" s="1618" t="n">
        <v>0</v>
      </c>
      <c r="P12" s="1618" t="n">
        <v>1555791</v>
      </c>
      <c r="Q12" s="1618" t="n">
        <v>282156</v>
      </c>
    </row>
    <row r="13" customFormat="false" ht="11.25" hidden="false" customHeight="true" outlineLevel="0" collapsed="false">
      <c r="A13" s="1244" t="s">
        <v>220</v>
      </c>
      <c r="B13" s="1456" t="n">
        <v>2214052</v>
      </c>
      <c r="C13" s="1456" t="n">
        <v>2882997</v>
      </c>
      <c r="D13" s="1456" t="n">
        <v>9764938</v>
      </c>
      <c r="E13" s="1456" t="n">
        <f aca="false">C13+D13</f>
        <v>12647935</v>
      </c>
      <c r="F13" s="1456" t="n">
        <v>1267080</v>
      </c>
      <c r="G13" s="1456" t="n">
        <v>980150</v>
      </c>
      <c r="H13" s="1456" t="n">
        <v>8588428</v>
      </c>
      <c r="I13" s="1456" t="n">
        <v>2093598</v>
      </c>
      <c r="J13" s="1456" t="n">
        <f aca="false">F13+G13+H13+I13</f>
        <v>12929256</v>
      </c>
      <c r="K13" s="1456" t="n">
        <v>9488</v>
      </c>
      <c r="L13" s="1456" t="n">
        <v>16974</v>
      </c>
      <c r="M13" s="1456" t="n">
        <v>5286</v>
      </c>
      <c r="N13" s="1456" t="n">
        <v>0</v>
      </c>
      <c r="O13" s="1456" t="n">
        <v>0</v>
      </c>
      <c r="P13" s="1456" t="n">
        <v>1443860</v>
      </c>
      <c r="Q13" s="1456" t="n">
        <v>457123</v>
      </c>
    </row>
    <row r="14" customFormat="false" ht="11.25" hidden="false" customHeight="true" outlineLevel="0" collapsed="false">
      <c r="A14" s="1234" t="s">
        <v>221</v>
      </c>
      <c r="B14" s="1618" t="n">
        <v>2197552</v>
      </c>
      <c r="C14" s="1618" t="n">
        <v>2861309</v>
      </c>
      <c r="D14" s="1618" t="n">
        <v>9891771</v>
      </c>
      <c r="E14" s="1618" t="n">
        <f aca="false">C14+D14</f>
        <v>12753080</v>
      </c>
      <c r="F14" s="1618" t="n">
        <v>1267621</v>
      </c>
      <c r="G14" s="1618" t="n">
        <v>979380</v>
      </c>
      <c r="H14" s="1618" t="n">
        <v>8618372</v>
      </c>
      <c r="I14" s="1618" t="n">
        <v>2133363</v>
      </c>
      <c r="J14" s="1618" t="n">
        <f aca="false">F14+G14+H14+I14</f>
        <v>12998736</v>
      </c>
      <c r="K14" s="1618" t="n">
        <v>10653</v>
      </c>
      <c r="L14" s="1618" t="n">
        <v>19668</v>
      </c>
      <c r="M14" s="1618" t="n">
        <v>7934</v>
      </c>
      <c r="N14" s="1618" t="n">
        <v>0</v>
      </c>
      <c r="O14" s="1618" t="n">
        <v>0</v>
      </c>
      <c r="P14" s="1618" t="n">
        <v>1449544</v>
      </c>
      <c r="Q14" s="1618" t="n">
        <v>464097</v>
      </c>
    </row>
    <row r="15" customFormat="false" ht="10.7" hidden="false" customHeight="true" outlineLevel="0" collapsed="false">
      <c r="A15" s="1244" t="s">
        <v>222</v>
      </c>
      <c r="B15" s="1456" t="n">
        <v>2202492</v>
      </c>
      <c r="C15" s="1456" t="n">
        <v>2887262</v>
      </c>
      <c r="D15" s="1456" t="n">
        <v>9989702</v>
      </c>
      <c r="E15" s="1456" t="n">
        <f aca="false">C15+D15</f>
        <v>12876964</v>
      </c>
      <c r="F15" s="1456" t="n">
        <v>1265988</v>
      </c>
      <c r="G15" s="1456" t="n">
        <v>970707</v>
      </c>
      <c r="H15" s="1456" t="n">
        <v>8676906</v>
      </c>
      <c r="I15" s="1456" t="n">
        <v>2168746</v>
      </c>
      <c r="J15" s="1456" t="n">
        <f aca="false">F15+G15+H15+I15</f>
        <v>13082347</v>
      </c>
      <c r="K15" s="1456" t="n">
        <v>5994</v>
      </c>
      <c r="L15" s="1456" t="n">
        <v>19839</v>
      </c>
      <c r="M15" s="1456" t="n">
        <v>4896</v>
      </c>
      <c r="N15" s="1456" t="n">
        <v>0</v>
      </c>
      <c r="O15" s="1456" t="n">
        <v>0</v>
      </c>
      <c r="P15" s="1456" t="n">
        <v>1469779</v>
      </c>
      <c r="Q15" s="1456" t="n">
        <v>496601</v>
      </c>
    </row>
    <row r="16" s="1639" customFormat="true" ht="10.7" hidden="false" customHeight="true" outlineLevel="0" collapsed="false">
      <c r="A16" s="1234" t="s">
        <v>223</v>
      </c>
      <c r="B16" s="1618" t="n">
        <v>2156282</v>
      </c>
      <c r="C16" s="1618" t="n">
        <v>2891119</v>
      </c>
      <c r="D16" s="1618" t="n">
        <v>10099375</v>
      </c>
      <c r="E16" s="1618" t="n">
        <f aca="false">C16+D16</f>
        <v>12990494</v>
      </c>
      <c r="F16" s="1618" t="n">
        <v>1268102</v>
      </c>
      <c r="G16" s="1618" t="n">
        <v>984899</v>
      </c>
      <c r="H16" s="1618" t="n">
        <v>8714195</v>
      </c>
      <c r="I16" s="1618" t="n">
        <v>2200865</v>
      </c>
      <c r="J16" s="1618" t="n">
        <f aca="false">F16+G16+H16+I16</f>
        <v>13168061</v>
      </c>
      <c r="K16" s="1618" t="n">
        <v>6534</v>
      </c>
      <c r="L16" s="1618" t="n">
        <v>19412</v>
      </c>
      <c r="M16" s="1618" t="n">
        <v>1482</v>
      </c>
      <c r="N16" s="1618" t="n">
        <v>0</v>
      </c>
      <c r="O16" s="1618" t="n">
        <v>0</v>
      </c>
      <c r="P16" s="1618" t="n">
        <v>1484725</v>
      </c>
      <c r="Q16" s="1618" t="n">
        <v>466562</v>
      </c>
    </row>
    <row r="17" s="1639" customFormat="true" ht="10.7" hidden="false" customHeight="true" outlineLevel="0" collapsed="false">
      <c r="A17" s="1244" t="s">
        <v>224</v>
      </c>
      <c r="B17" s="1456" t="n">
        <v>2161373</v>
      </c>
      <c r="C17" s="1456" t="n">
        <v>2962285</v>
      </c>
      <c r="D17" s="1456" t="n">
        <v>10234635</v>
      </c>
      <c r="E17" s="1456" t="n">
        <f aca="false">C17+D17</f>
        <v>13196920</v>
      </c>
      <c r="F17" s="1456" t="n">
        <v>1319098</v>
      </c>
      <c r="G17" s="1456" t="n">
        <v>1002552</v>
      </c>
      <c r="H17" s="1456" t="n">
        <v>8840055</v>
      </c>
      <c r="I17" s="1456" t="n">
        <v>2232495</v>
      </c>
      <c r="J17" s="1456" t="n">
        <f aca="false">F17+G17+H17+I17</f>
        <v>13394200</v>
      </c>
      <c r="K17" s="1456" t="n">
        <v>5318</v>
      </c>
      <c r="L17" s="1456" t="n">
        <v>16916</v>
      </c>
      <c r="M17" s="1456" t="n">
        <v>2452</v>
      </c>
      <c r="N17" s="1456" t="n">
        <v>0</v>
      </c>
      <c r="O17" s="1456" t="n">
        <v>0</v>
      </c>
      <c r="P17" s="1456" t="n">
        <v>1503149</v>
      </c>
      <c r="Q17" s="1456" t="n">
        <v>436258</v>
      </c>
    </row>
    <row r="18" s="1639" customFormat="true" ht="10.7" hidden="false" customHeight="true" outlineLevel="0" collapsed="false">
      <c r="A18" s="1234" t="s">
        <v>225</v>
      </c>
      <c r="B18" s="1618" t="n">
        <v>2198393</v>
      </c>
      <c r="C18" s="1618" t="n">
        <v>3173751</v>
      </c>
      <c r="D18" s="1618" t="n">
        <v>10384053</v>
      </c>
      <c r="E18" s="1618" t="n">
        <f aca="false">C18+D18</f>
        <v>13557804</v>
      </c>
      <c r="F18" s="1618" t="n">
        <v>1393830</v>
      </c>
      <c r="G18" s="1618" t="n">
        <v>1135894</v>
      </c>
      <c r="H18" s="1618" t="n">
        <v>8942922</v>
      </c>
      <c r="I18" s="1618" t="n">
        <v>2263285</v>
      </c>
      <c r="J18" s="1618" t="n">
        <f aca="false">F18+G18+H18+I18</f>
        <v>13735931</v>
      </c>
      <c r="K18" s="1618" t="n">
        <v>4668</v>
      </c>
      <c r="L18" s="1618" t="n">
        <v>17080</v>
      </c>
      <c r="M18" s="1618" t="n">
        <v>1622</v>
      </c>
      <c r="N18" s="1618" t="n">
        <v>0</v>
      </c>
      <c r="O18" s="1618" t="n">
        <v>0</v>
      </c>
      <c r="P18" s="1618" t="n">
        <v>1490636</v>
      </c>
      <c r="Q18" s="1618" t="n">
        <v>506260</v>
      </c>
    </row>
    <row r="19" s="1639" customFormat="true" ht="10.7" hidden="false" customHeight="true" outlineLevel="0" collapsed="false">
      <c r="A19" s="1621" t="s">
        <v>226</v>
      </c>
      <c r="B19" s="1623" t="n">
        <f aca="false">B31</f>
        <v>2204910</v>
      </c>
      <c r="C19" s="1623" t="n">
        <f aca="false">C31</f>
        <v>3865828</v>
      </c>
      <c r="D19" s="1623" t="n">
        <f aca="false">D31</f>
        <v>11531970</v>
      </c>
      <c r="E19" s="1623" t="n">
        <f aca="false">E31</f>
        <v>15397798</v>
      </c>
      <c r="F19" s="1623" t="n">
        <f aca="false">F31</f>
        <v>1527544</v>
      </c>
      <c r="G19" s="1623" t="n">
        <f aca="false">G31</f>
        <v>1182821</v>
      </c>
      <c r="H19" s="1623" t="n">
        <f aca="false">H31</f>
        <v>9884459</v>
      </c>
      <c r="I19" s="1623" t="n">
        <f aca="false">I31</f>
        <v>2750417</v>
      </c>
      <c r="J19" s="1623" t="n">
        <f aca="false">J31</f>
        <v>15345241</v>
      </c>
      <c r="K19" s="1623" t="n">
        <f aca="false">K31</f>
        <v>5593</v>
      </c>
      <c r="L19" s="1623" t="n">
        <f aca="false">L31</f>
        <v>20742</v>
      </c>
      <c r="M19" s="1623" t="n">
        <f aca="false">M31</f>
        <v>2159</v>
      </c>
      <c r="N19" s="1623" t="n">
        <f aca="false">N31</f>
        <v>0</v>
      </c>
      <c r="O19" s="1623" t="n">
        <f aca="false">O31</f>
        <v>0</v>
      </c>
      <c r="P19" s="1623" t="n">
        <f aca="false">P31</f>
        <v>1535595</v>
      </c>
      <c r="Q19" s="1623" t="n">
        <f aca="false">Q31</f>
        <v>693378</v>
      </c>
    </row>
    <row r="20" s="1639" customFormat="true" ht="12" hidden="false" customHeight="true" outlineLevel="0" collapsed="false">
      <c r="A20" s="1234" t="s">
        <v>214</v>
      </c>
      <c r="B20" s="1618" t="n">
        <v>2183749</v>
      </c>
      <c r="C20" s="1618" t="n">
        <v>3246226</v>
      </c>
      <c r="D20" s="1618" t="n">
        <v>10323050</v>
      </c>
      <c r="E20" s="1618" t="n">
        <f aca="false">C20+D20</f>
        <v>13569276</v>
      </c>
      <c r="F20" s="1618" t="n">
        <v>1361691</v>
      </c>
      <c r="G20" s="1618" t="n">
        <v>1076629</v>
      </c>
      <c r="H20" s="1618" t="n">
        <v>8997518</v>
      </c>
      <c r="I20" s="1618" t="n">
        <v>2311773</v>
      </c>
      <c r="J20" s="1618" t="n">
        <f aca="false">F20+G20+H20+I20</f>
        <v>13747611</v>
      </c>
      <c r="K20" s="1618" t="n">
        <v>4933</v>
      </c>
      <c r="L20" s="1618" t="n">
        <v>16848</v>
      </c>
      <c r="M20" s="1618" t="n">
        <v>1620</v>
      </c>
      <c r="N20" s="1618" t="n">
        <v>0</v>
      </c>
      <c r="O20" s="1618" t="n">
        <v>0</v>
      </c>
      <c r="P20" s="1618" t="n">
        <v>1522055</v>
      </c>
      <c r="Q20" s="1618" t="n">
        <v>459958</v>
      </c>
    </row>
    <row r="21" s="1639" customFormat="true" ht="10.7" hidden="false" customHeight="true" outlineLevel="0" collapsed="false">
      <c r="A21" s="1244" t="s">
        <v>215</v>
      </c>
      <c r="B21" s="1456" t="n">
        <v>2227007</v>
      </c>
      <c r="C21" s="1456" t="n">
        <v>3329853</v>
      </c>
      <c r="D21" s="1456" t="n">
        <v>10416887</v>
      </c>
      <c r="E21" s="1456" t="n">
        <f aca="false">C21+D21</f>
        <v>13746740</v>
      </c>
      <c r="F21" s="1456" t="n">
        <v>1518517</v>
      </c>
      <c r="G21" s="1456" t="n">
        <v>1036595</v>
      </c>
      <c r="H21" s="1456" t="n">
        <v>9062669</v>
      </c>
      <c r="I21" s="1456" t="n">
        <v>2351098</v>
      </c>
      <c r="J21" s="1456" t="n">
        <f aca="false">F21+G21+H21+I21</f>
        <v>13968879</v>
      </c>
      <c r="K21" s="1456" t="n">
        <v>5293</v>
      </c>
      <c r="L21" s="1456" t="n">
        <v>18017</v>
      </c>
      <c r="M21" s="1456" t="n">
        <v>1342</v>
      </c>
      <c r="N21" s="1456" t="n">
        <v>0</v>
      </c>
      <c r="O21" s="1456" t="n">
        <v>0</v>
      </c>
      <c r="P21" s="1456" t="n">
        <v>1549845</v>
      </c>
      <c r="Q21" s="1456" t="n">
        <v>430371</v>
      </c>
    </row>
    <row r="22" s="1639" customFormat="true" ht="10.7" hidden="false" customHeight="true" outlineLevel="0" collapsed="false">
      <c r="A22" s="1234" t="s">
        <v>216</v>
      </c>
      <c r="B22" s="1618" t="n">
        <v>2206712</v>
      </c>
      <c r="C22" s="1618" t="n">
        <v>3314238</v>
      </c>
      <c r="D22" s="1618" t="n">
        <v>10505532</v>
      </c>
      <c r="E22" s="1618" t="n">
        <f aca="false">C22+D22</f>
        <v>13819770</v>
      </c>
      <c r="F22" s="1618" t="n">
        <v>1394865</v>
      </c>
      <c r="G22" s="1618" t="n">
        <v>1039992</v>
      </c>
      <c r="H22" s="1618" t="n">
        <v>9141082</v>
      </c>
      <c r="I22" s="1618" t="n">
        <v>2393694</v>
      </c>
      <c r="J22" s="1618" t="n">
        <f aca="false">F22+G22+H22+I22</f>
        <v>13969633</v>
      </c>
      <c r="K22" s="1618" t="n">
        <v>7293</v>
      </c>
      <c r="L22" s="1618" t="n">
        <v>17926</v>
      </c>
      <c r="M22" s="1618" t="n">
        <v>1420</v>
      </c>
      <c r="N22" s="1618" t="n">
        <v>0</v>
      </c>
      <c r="O22" s="1618" t="n">
        <v>0</v>
      </c>
      <c r="P22" s="1618" t="n">
        <v>1535919</v>
      </c>
      <c r="Q22" s="1618" t="n">
        <v>494291</v>
      </c>
    </row>
    <row r="23" s="1639" customFormat="true" ht="10.7" hidden="false" customHeight="true" outlineLevel="0" collapsed="false">
      <c r="A23" s="1244" t="s">
        <v>217</v>
      </c>
      <c r="B23" s="1456" t="n">
        <v>2134210</v>
      </c>
      <c r="C23" s="1456" t="n">
        <v>3359739</v>
      </c>
      <c r="D23" s="1456" t="n">
        <v>10655080</v>
      </c>
      <c r="E23" s="1456" t="n">
        <f aca="false">C23+D23</f>
        <v>14014819</v>
      </c>
      <c r="F23" s="1456" t="n">
        <v>1375482</v>
      </c>
      <c r="G23" s="1456" t="n">
        <v>1055825</v>
      </c>
      <c r="H23" s="1456" t="n">
        <v>9210843</v>
      </c>
      <c r="I23" s="1456" t="n">
        <v>2436837</v>
      </c>
      <c r="J23" s="1456" t="n">
        <f aca="false">F23+G23+H23+I23</f>
        <v>14078987</v>
      </c>
      <c r="K23" s="1456" t="n">
        <v>8778</v>
      </c>
      <c r="L23" s="1456" t="n">
        <v>17501</v>
      </c>
      <c r="M23" s="1456" t="n">
        <v>1434</v>
      </c>
      <c r="N23" s="1456" t="n">
        <v>0</v>
      </c>
      <c r="O23" s="1456" t="n">
        <v>0</v>
      </c>
      <c r="P23" s="1456" t="n">
        <v>1557906</v>
      </c>
      <c r="Q23" s="1456" t="n">
        <v>484423</v>
      </c>
    </row>
    <row r="24" s="1639" customFormat="true" ht="10.7" hidden="false" customHeight="true" outlineLevel="0" collapsed="false">
      <c r="A24" s="1234" t="s">
        <v>218</v>
      </c>
      <c r="B24" s="1618" t="n">
        <v>2110407</v>
      </c>
      <c r="C24" s="1618" t="n">
        <v>3416463</v>
      </c>
      <c r="D24" s="1618" t="n">
        <v>10775986</v>
      </c>
      <c r="E24" s="1618" t="n">
        <f aca="false">C24+D24</f>
        <v>14192449</v>
      </c>
      <c r="F24" s="1618" t="n">
        <v>1375822</v>
      </c>
      <c r="G24" s="1618" t="n">
        <v>1052515</v>
      </c>
      <c r="H24" s="1618" t="n">
        <v>9275843</v>
      </c>
      <c r="I24" s="1618" t="n">
        <v>2473984</v>
      </c>
      <c r="J24" s="1618" t="n">
        <f aca="false">F24+G24+H24+I24</f>
        <v>14178164</v>
      </c>
      <c r="K24" s="1618" t="n">
        <v>7177</v>
      </c>
      <c r="L24" s="1618" t="n">
        <v>17894</v>
      </c>
      <c r="M24" s="1618" t="n">
        <v>1378</v>
      </c>
      <c r="N24" s="1618" t="n">
        <v>0</v>
      </c>
      <c r="O24" s="1618" t="n">
        <v>0</v>
      </c>
      <c r="P24" s="1618" t="n">
        <v>1591493</v>
      </c>
      <c r="Q24" s="1618" t="n">
        <v>506750</v>
      </c>
    </row>
    <row r="25" s="1639" customFormat="true" ht="10.7" hidden="false" customHeight="true" outlineLevel="0" collapsed="false">
      <c r="A25" s="1244" t="s">
        <v>219</v>
      </c>
      <c r="B25" s="1456" t="n">
        <v>2179902</v>
      </c>
      <c r="C25" s="1456" t="n">
        <v>3457006</v>
      </c>
      <c r="D25" s="1456" t="n">
        <v>10959902</v>
      </c>
      <c r="E25" s="1456" t="n">
        <f aca="false">C25+D25</f>
        <v>14416908</v>
      </c>
      <c r="F25" s="1456" t="n">
        <v>1431478</v>
      </c>
      <c r="G25" s="1456" t="n">
        <v>1110055</v>
      </c>
      <c r="H25" s="1456" t="n">
        <v>9407231</v>
      </c>
      <c r="I25" s="1456" t="n">
        <v>2507628</v>
      </c>
      <c r="J25" s="1456" t="n">
        <f aca="false">F25+G25+H25+I25</f>
        <v>14456392</v>
      </c>
      <c r="K25" s="1456" t="n">
        <v>12230</v>
      </c>
      <c r="L25" s="1456" t="n">
        <v>19262</v>
      </c>
      <c r="M25" s="1456" t="n">
        <v>1408</v>
      </c>
      <c r="N25" s="1456" t="n">
        <v>0</v>
      </c>
      <c r="O25" s="1456" t="n">
        <v>0</v>
      </c>
      <c r="P25" s="1456" t="n">
        <v>1640728</v>
      </c>
      <c r="Q25" s="1456" t="n">
        <v>466790</v>
      </c>
    </row>
    <row r="26" s="1639" customFormat="true" ht="12.75" hidden="false" customHeight="true" outlineLevel="0" collapsed="false">
      <c r="A26" s="1234" t="s">
        <v>220</v>
      </c>
      <c r="B26" s="1618" t="n">
        <v>2089244</v>
      </c>
      <c r="C26" s="1618" t="n">
        <v>3524537</v>
      </c>
      <c r="D26" s="1618" t="n">
        <v>11041739</v>
      </c>
      <c r="E26" s="1618" t="n">
        <f aca="false">C26+D26</f>
        <v>14566276</v>
      </c>
      <c r="F26" s="1618" t="n">
        <v>1431482</v>
      </c>
      <c r="G26" s="1618" t="n">
        <v>1069698</v>
      </c>
      <c r="H26" s="1618" t="n">
        <v>9443636</v>
      </c>
      <c r="I26" s="1618" t="n">
        <v>2566565</v>
      </c>
      <c r="J26" s="1618" t="n">
        <f aca="false">F26+G26+H26+I26</f>
        <v>14511381</v>
      </c>
      <c r="K26" s="1618" t="n">
        <v>10656</v>
      </c>
      <c r="L26" s="1618" t="n">
        <v>19175</v>
      </c>
      <c r="M26" s="1618" t="n">
        <v>1622</v>
      </c>
      <c r="N26" s="1618" t="n">
        <v>0</v>
      </c>
      <c r="O26" s="1618" t="n">
        <v>0</v>
      </c>
      <c r="P26" s="1618" t="n">
        <v>1452536</v>
      </c>
      <c r="Q26" s="1618" t="n">
        <v>660150</v>
      </c>
    </row>
    <row r="27" s="1639" customFormat="true" ht="12.75" hidden="false" customHeight="true" outlineLevel="0" collapsed="false">
      <c r="A27" s="1244" t="s">
        <v>221</v>
      </c>
      <c r="B27" s="1456" t="n">
        <v>2144728</v>
      </c>
      <c r="C27" s="1456" t="n">
        <v>3514948</v>
      </c>
      <c r="D27" s="1456" t="n">
        <v>11122658</v>
      </c>
      <c r="E27" s="1456" t="n">
        <f aca="false">C27+D27</f>
        <v>14637606</v>
      </c>
      <c r="F27" s="1456" t="n">
        <v>1444290</v>
      </c>
      <c r="G27" s="1456" t="n">
        <v>1064771</v>
      </c>
      <c r="H27" s="1456" t="n">
        <v>9507149</v>
      </c>
      <c r="I27" s="1456" t="n">
        <v>2611699</v>
      </c>
      <c r="J27" s="1456" t="n">
        <f aca="false">F27+G27+H27+I27</f>
        <v>14627909</v>
      </c>
      <c r="K27" s="1456" t="n">
        <v>10288</v>
      </c>
      <c r="L27" s="1456" t="n">
        <v>19162</v>
      </c>
      <c r="M27" s="1456" t="n">
        <v>1298</v>
      </c>
      <c r="N27" s="1456" t="n">
        <v>0</v>
      </c>
      <c r="O27" s="1456" t="n">
        <v>0</v>
      </c>
      <c r="P27" s="1456" t="n">
        <v>1476239</v>
      </c>
      <c r="Q27" s="1456" t="n">
        <v>647438</v>
      </c>
    </row>
    <row r="28" s="1639" customFormat="true" ht="10.7" hidden="false" customHeight="true" outlineLevel="0" collapsed="false">
      <c r="A28" s="1234" t="s">
        <v>222</v>
      </c>
      <c r="B28" s="1618" t="n">
        <v>2187129</v>
      </c>
      <c r="C28" s="1618" t="n">
        <v>3552363</v>
      </c>
      <c r="D28" s="1618" t="n">
        <v>11216529</v>
      </c>
      <c r="E28" s="1618" t="n">
        <f aca="false">C28+D28</f>
        <v>14768892</v>
      </c>
      <c r="F28" s="1618" t="n">
        <v>1431119</v>
      </c>
      <c r="G28" s="1618" t="n">
        <v>1070671</v>
      </c>
      <c r="H28" s="1618" t="n">
        <v>9597024</v>
      </c>
      <c r="I28" s="1618" t="n">
        <v>2651671</v>
      </c>
      <c r="J28" s="1618" t="n">
        <f aca="false">F28+G28+H28+I28</f>
        <v>14750485</v>
      </c>
      <c r="K28" s="1618" t="n">
        <v>10278</v>
      </c>
      <c r="L28" s="1618" t="n">
        <v>19498</v>
      </c>
      <c r="M28" s="1618" t="n">
        <v>1269</v>
      </c>
      <c r="N28" s="1618" t="n">
        <v>0</v>
      </c>
      <c r="O28" s="1618" t="n">
        <v>0</v>
      </c>
      <c r="P28" s="1618" t="n">
        <v>1481667</v>
      </c>
      <c r="Q28" s="1618" t="n">
        <v>692824</v>
      </c>
    </row>
    <row r="29" s="1639" customFormat="true" ht="10.7" hidden="false" customHeight="true" outlineLevel="0" collapsed="false">
      <c r="A29" s="1244" t="s">
        <v>223</v>
      </c>
      <c r="B29" s="1456" t="n">
        <v>2129324</v>
      </c>
      <c r="C29" s="1456" t="n">
        <v>3595375</v>
      </c>
      <c r="D29" s="1456" t="n">
        <v>11308943</v>
      </c>
      <c r="E29" s="1456" t="n">
        <f aca="false">C29+D29</f>
        <v>14904318</v>
      </c>
      <c r="F29" s="1456" t="n">
        <v>1432259</v>
      </c>
      <c r="G29" s="1456" t="n">
        <v>1085797</v>
      </c>
      <c r="H29" s="1456" t="n">
        <v>9606751</v>
      </c>
      <c r="I29" s="1456" t="n">
        <v>2688045</v>
      </c>
      <c r="J29" s="1456" t="n">
        <f aca="false">F29+G29+H29+I29</f>
        <v>14812852</v>
      </c>
      <c r="K29" s="1456" t="n">
        <v>12567</v>
      </c>
      <c r="L29" s="1456" t="n">
        <v>19513</v>
      </c>
      <c r="M29" s="1456" t="n">
        <v>1251</v>
      </c>
      <c r="N29" s="1456" t="n">
        <v>0</v>
      </c>
      <c r="O29" s="1456" t="n">
        <v>0</v>
      </c>
      <c r="P29" s="1456" t="n">
        <v>1543770</v>
      </c>
      <c r="Q29" s="1456" t="n">
        <v>643689</v>
      </c>
    </row>
    <row r="30" s="1639" customFormat="true" ht="12" hidden="false" customHeight="true" outlineLevel="0" collapsed="false">
      <c r="A30" s="1234" t="s">
        <v>224</v>
      </c>
      <c r="B30" s="1618" t="n">
        <v>2124180</v>
      </c>
      <c r="C30" s="1618" t="n">
        <v>3833454</v>
      </c>
      <c r="D30" s="1618" t="n">
        <v>11473110</v>
      </c>
      <c r="E30" s="1618" t="n">
        <f aca="false">C30+D30</f>
        <v>15306564</v>
      </c>
      <c r="F30" s="1618" t="n">
        <v>1630725</v>
      </c>
      <c r="G30" s="1618" t="n">
        <v>1085230</v>
      </c>
      <c r="H30" s="1618" t="n">
        <v>9740214</v>
      </c>
      <c r="I30" s="1618" t="n">
        <v>2719245</v>
      </c>
      <c r="J30" s="1618" t="n">
        <f aca="false">F30+G30+H30+I30</f>
        <v>15175414</v>
      </c>
      <c r="K30" s="1618" t="n">
        <v>11080</v>
      </c>
      <c r="L30" s="1618" t="n">
        <v>22002</v>
      </c>
      <c r="M30" s="1618" t="n">
        <v>1136</v>
      </c>
      <c r="N30" s="1618" t="n">
        <v>0</v>
      </c>
      <c r="O30" s="1618" t="n">
        <v>0</v>
      </c>
      <c r="P30" s="1618" t="n">
        <v>1529704</v>
      </c>
      <c r="Q30" s="1618" t="n">
        <v>691408</v>
      </c>
    </row>
    <row r="31" s="1639" customFormat="true" ht="11.25" hidden="false" customHeight="true" outlineLevel="0" collapsed="false">
      <c r="A31" s="1244" t="s">
        <v>225</v>
      </c>
      <c r="B31" s="1456" t="n">
        <v>2204910</v>
      </c>
      <c r="C31" s="1456" t="n">
        <v>3865828</v>
      </c>
      <c r="D31" s="1456" t="n">
        <v>11531970</v>
      </c>
      <c r="E31" s="1456" t="n">
        <f aca="false">C31+D31</f>
        <v>15397798</v>
      </c>
      <c r="F31" s="1456" t="n">
        <v>1527544</v>
      </c>
      <c r="G31" s="1456" t="n">
        <v>1182821</v>
      </c>
      <c r="H31" s="1456" t="n">
        <v>9884459</v>
      </c>
      <c r="I31" s="1456" t="n">
        <v>2750417</v>
      </c>
      <c r="J31" s="1456" t="n">
        <f aca="false">F31+G31+H31+I31</f>
        <v>15345241</v>
      </c>
      <c r="K31" s="1456" t="n">
        <v>5593</v>
      </c>
      <c r="L31" s="1456" t="n">
        <v>20742</v>
      </c>
      <c r="M31" s="1456" t="n">
        <v>2159</v>
      </c>
      <c r="N31" s="1456" t="n">
        <v>0</v>
      </c>
      <c r="O31" s="1456" t="n">
        <v>0</v>
      </c>
      <c r="P31" s="1456" t="n">
        <v>1535595</v>
      </c>
      <c r="Q31" s="1456" t="n">
        <v>693378</v>
      </c>
    </row>
    <row r="32" s="1639" customFormat="true" ht="13.5" hidden="false" customHeight="true" outlineLevel="0" collapsed="false">
      <c r="A32" s="1637" t="s">
        <v>2665</v>
      </c>
      <c r="B32" s="1613" t="n">
        <f aca="false">B44</f>
        <v>2544156</v>
      </c>
      <c r="C32" s="1613" t="n">
        <f aca="false">C44</f>
        <v>4606385</v>
      </c>
      <c r="D32" s="1613" t="n">
        <f aca="false">D44</f>
        <v>12479900</v>
      </c>
      <c r="E32" s="1613" t="n">
        <f aca="false">E44</f>
        <v>17086285</v>
      </c>
      <c r="F32" s="1613" t="n">
        <f aca="false">F44</f>
        <v>1905705</v>
      </c>
      <c r="G32" s="1613" t="n">
        <f aca="false">G44</f>
        <v>1355862</v>
      </c>
      <c r="H32" s="1613" t="n">
        <f aca="false">H44</f>
        <v>10902870</v>
      </c>
      <c r="I32" s="1613" t="n">
        <f aca="false">I44</f>
        <v>2882236</v>
      </c>
      <c r="J32" s="1613" t="n">
        <f aca="false">J44</f>
        <v>17046673</v>
      </c>
      <c r="K32" s="1613" t="n">
        <f aca="false">K44</f>
        <v>14311</v>
      </c>
      <c r="L32" s="1613" t="n">
        <f aca="false">L44</f>
        <v>21310</v>
      </c>
      <c r="M32" s="1613" t="n">
        <f aca="false">M44</f>
        <v>1273</v>
      </c>
      <c r="N32" s="1613" t="n">
        <f aca="false">N44</f>
        <v>0</v>
      </c>
      <c r="O32" s="1613" t="n">
        <f aca="false">O44</f>
        <v>0</v>
      </c>
      <c r="P32" s="1613" t="n">
        <f aca="false">P44</f>
        <v>1624355</v>
      </c>
      <c r="Q32" s="1613" t="n">
        <f aca="false">Q44</f>
        <v>922519</v>
      </c>
    </row>
    <row r="33" s="1639" customFormat="true" ht="12" hidden="false" customHeight="true" outlineLevel="0" collapsed="false">
      <c r="A33" s="1244" t="s">
        <v>214</v>
      </c>
      <c r="B33" s="1456" t="n">
        <v>2215871</v>
      </c>
      <c r="C33" s="1456" t="n">
        <v>4054241</v>
      </c>
      <c r="D33" s="1456" t="n">
        <v>11461585</v>
      </c>
      <c r="E33" s="1456" t="n">
        <f aca="false">C33+D33</f>
        <v>15515826</v>
      </c>
      <c r="F33" s="1456" t="n">
        <v>1562933</v>
      </c>
      <c r="G33" s="1456" t="n">
        <v>1147602</v>
      </c>
      <c r="H33" s="1456" t="n">
        <v>9984723</v>
      </c>
      <c r="I33" s="1456" t="n">
        <v>2770900</v>
      </c>
      <c r="J33" s="1456" t="n">
        <f aca="false">F33+G33+H33+I33</f>
        <v>15466158</v>
      </c>
      <c r="K33" s="1456" t="n">
        <v>5912</v>
      </c>
      <c r="L33" s="1456" t="n">
        <v>20528</v>
      </c>
      <c r="M33" s="1456" t="n">
        <v>1149</v>
      </c>
      <c r="N33" s="1456" t="n">
        <v>0</v>
      </c>
      <c r="O33" s="1456" t="n">
        <v>0</v>
      </c>
      <c r="P33" s="1456" t="n">
        <v>1576465</v>
      </c>
      <c r="Q33" s="1456" t="n">
        <v>661485</v>
      </c>
    </row>
    <row r="34" s="1639" customFormat="true" ht="10.7" hidden="false" customHeight="true" outlineLevel="0" collapsed="false">
      <c r="A34" s="1234" t="s">
        <v>215</v>
      </c>
      <c r="B34" s="1618" t="n">
        <v>2243823</v>
      </c>
      <c r="C34" s="1618" t="n">
        <v>4152372</v>
      </c>
      <c r="D34" s="1618" t="n">
        <v>11505520</v>
      </c>
      <c r="E34" s="1618" t="n">
        <f aca="false">C34+D34</f>
        <v>15657892</v>
      </c>
      <c r="F34" s="1618" t="n">
        <v>1636307</v>
      </c>
      <c r="G34" s="1618" t="n">
        <v>1106805</v>
      </c>
      <c r="H34" s="1618" t="n">
        <v>10125983</v>
      </c>
      <c r="I34" s="1618" t="n">
        <v>2784789</v>
      </c>
      <c r="J34" s="1618" t="n">
        <f aca="false">F34+G34+H34+I34</f>
        <v>15653884</v>
      </c>
      <c r="K34" s="1618" t="n">
        <v>5587</v>
      </c>
      <c r="L34" s="1618" t="n">
        <v>20409</v>
      </c>
      <c r="M34" s="1618" t="n">
        <v>929</v>
      </c>
      <c r="N34" s="1618" t="n">
        <v>0</v>
      </c>
      <c r="O34" s="1618" t="n">
        <v>0</v>
      </c>
      <c r="P34" s="1618" t="n">
        <v>1589665</v>
      </c>
      <c r="Q34" s="1618" t="n">
        <v>631241</v>
      </c>
    </row>
    <row r="35" s="1639" customFormat="true" ht="10.7" hidden="false" customHeight="true" outlineLevel="0" collapsed="false">
      <c r="A35" s="1244" t="s">
        <v>216</v>
      </c>
      <c r="B35" s="1456" t="n">
        <v>2216436</v>
      </c>
      <c r="C35" s="1456" t="n">
        <v>4189359</v>
      </c>
      <c r="D35" s="1456" t="n">
        <v>11588843</v>
      </c>
      <c r="E35" s="1456" t="n">
        <f aca="false">C35+D35</f>
        <v>15778202</v>
      </c>
      <c r="F35" s="1456" t="n">
        <v>1563662</v>
      </c>
      <c r="G35" s="1456" t="n">
        <v>1126914</v>
      </c>
      <c r="H35" s="1456" t="n">
        <v>10238149</v>
      </c>
      <c r="I35" s="1456" t="n">
        <v>2793305</v>
      </c>
      <c r="J35" s="1456" t="n">
        <f aca="false">F35+G35+H35+I35</f>
        <v>15722030</v>
      </c>
      <c r="K35" s="1456" t="n">
        <v>5384</v>
      </c>
      <c r="L35" s="1456" t="n">
        <v>20373</v>
      </c>
      <c r="M35" s="1456" t="n">
        <v>2307</v>
      </c>
      <c r="N35" s="1456" t="n">
        <v>0</v>
      </c>
      <c r="O35" s="1456" t="n">
        <v>0</v>
      </c>
      <c r="P35" s="1456" t="n">
        <v>1632216</v>
      </c>
      <c r="Q35" s="1456" t="n">
        <v>612328</v>
      </c>
    </row>
    <row r="36" s="1639" customFormat="true" ht="10.7" hidden="false" customHeight="true" outlineLevel="0" collapsed="false">
      <c r="A36" s="1234" t="s">
        <v>217</v>
      </c>
      <c r="B36" s="1618" t="n">
        <v>2211691</v>
      </c>
      <c r="C36" s="1618" t="n">
        <v>4266353</v>
      </c>
      <c r="D36" s="1618" t="n">
        <v>11679702</v>
      </c>
      <c r="E36" s="1618" t="n">
        <f aca="false">C36+D36</f>
        <v>15946055</v>
      </c>
      <c r="F36" s="1618" t="n">
        <v>1532872</v>
      </c>
      <c r="G36" s="1618" t="n">
        <v>1135834</v>
      </c>
      <c r="H36" s="1618" t="n">
        <v>10358501</v>
      </c>
      <c r="I36" s="1618" t="n">
        <v>2800447</v>
      </c>
      <c r="J36" s="1618" t="n">
        <f aca="false">F36+G36+H36+I36</f>
        <v>15827654</v>
      </c>
      <c r="K36" s="1618" t="n">
        <v>7291</v>
      </c>
      <c r="L36" s="1618" t="n">
        <v>20071</v>
      </c>
      <c r="M36" s="1618" t="n">
        <v>1433</v>
      </c>
      <c r="N36" s="1618" t="n">
        <v>0</v>
      </c>
      <c r="O36" s="1618" t="n">
        <v>0</v>
      </c>
      <c r="P36" s="1618" t="n">
        <v>1662610</v>
      </c>
      <c r="Q36" s="1618" t="n">
        <v>638687</v>
      </c>
    </row>
    <row r="37" s="1639" customFormat="true" ht="10.7" hidden="false" customHeight="true" outlineLevel="0" collapsed="false">
      <c r="A37" s="1244" t="s">
        <v>218</v>
      </c>
      <c r="B37" s="1456" t="n">
        <v>2220354</v>
      </c>
      <c r="C37" s="1456" t="n">
        <v>4341198</v>
      </c>
      <c r="D37" s="1456" t="n">
        <v>11787401</v>
      </c>
      <c r="E37" s="1456" t="n">
        <f aca="false">C37+D37</f>
        <v>16128599</v>
      </c>
      <c r="F37" s="1456" t="n">
        <v>1537119</v>
      </c>
      <c r="G37" s="1456" t="n">
        <v>1143564</v>
      </c>
      <c r="H37" s="1456" t="n">
        <v>10495637</v>
      </c>
      <c r="I37" s="1456" t="n">
        <v>2802939</v>
      </c>
      <c r="J37" s="1456" t="n">
        <f aca="false">F37+G37+H37+I37</f>
        <v>15979259</v>
      </c>
      <c r="K37" s="1456" t="n">
        <v>5714</v>
      </c>
      <c r="L37" s="1456" t="n">
        <v>19824</v>
      </c>
      <c r="M37" s="1456" t="n">
        <v>1528</v>
      </c>
      <c r="N37" s="1456" t="n">
        <v>0</v>
      </c>
      <c r="O37" s="1456" t="n">
        <v>0</v>
      </c>
      <c r="P37" s="1456" t="n">
        <v>1687057</v>
      </c>
      <c r="Q37" s="1456" t="n">
        <v>655571</v>
      </c>
    </row>
    <row r="38" s="1639" customFormat="true" ht="10.7" hidden="false" customHeight="true" outlineLevel="0" collapsed="false">
      <c r="A38" s="1234" t="s">
        <v>219</v>
      </c>
      <c r="B38" s="1618" t="n">
        <v>2258569</v>
      </c>
      <c r="C38" s="1618" t="n">
        <v>4365679</v>
      </c>
      <c r="D38" s="1618" t="n">
        <v>12023337</v>
      </c>
      <c r="E38" s="1618" t="n">
        <f aca="false">C38+D38</f>
        <v>16389016</v>
      </c>
      <c r="F38" s="1618" t="n">
        <v>1550424</v>
      </c>
      <c r="G38" s="1618" t="n">
        <v>1190380</v>
      </c>
      <c r="H38" s="1618" t="n">
        <v>10640200</v>
      </c>
      <c r="I38" s="1618" t="n">
        <v>2798201</v>
      </c>
      <c r="J38" s="1618" t="n">
        <f aca="false">F38+G38+H38+I38</f>
        <v>16179205</v>
      </c>
      <c r="K38" s="1618" t="n">
        <v>5479</v>
      </c>
      <c r="L38" s="1618" t="n">
        <v>20643</v>
      </c>
      <c r="M38" s="1618" t="n">
        <v>1322</v>
      </c>
      <c r="N38" s="1618" t="n">
        <v>0</v>
      </c>
      <c r="O38" s="1618" t="n">
        <v>0</v>
      </c>
      <c r="P38" s="1618" t="n">
        <v>1780875</v>
      </c>
      <c r="Q38" s="1618" t="n">
        <v>660061</v>
      </c>
    </row>
    <row r="39" s="1639" customFormat="true" ht="12" hidden="false" customHeight="true" outlineLevel="0" collapsed="false">
      <c r="A39" s="1244" t="s">
        <v>220</v>
      </c>
      <c r="B39" s="1456" t="n">
        <v>2260234</v>
      </c>
      <c r="C39" s="1456" t="n">
        <v>4454357</v>
      </c>
      <c r="D39" s="1456" t="n">
        <v>11996461</v>
      </c>
      <c r="E39" s="1456" t="n">
        <f aca="false">C39+D39</f>
        <v>16450818</v>
      </c>
      <c r="F39" s="1456" t="n">
        <v>1573756</v>
      </c>
      <c r="G39" s="1456" t="n">
        <v>1135410</v>
      </c>
      <c r="H39" s="1456" t="n">
        <v>10696232</v>
      </c>
      <c r="I39" s="1456" t="n">
        <v>2819366</v>
      </c>
      <c r="J39" s="1456" t="n">
        <f aca="false">F39+G39+H39+I39</f>
        <v>16224764</v>
      </c>
      <c r="K39" s="1456" t="n">
        <v>7942</v>
      </c>
      <c r="L39" s="1456" t="n">
        <v>20487</v>
      </c>
      <c r="M39" s="1456" t="n">
        <v>3234</v>
      </c>
      <c r="N39" s="1456" t="n">
        <v>0</v>
      </c>
      <c r="O39" s="1456" t="n">
        <v>0</v>
      </c>
      <c r="P39" s="1456" t="n">
        <v>1575644</v>
      </c>
      <c r="Q39" s="1456" t="n">
        <v>878981</v>
      </c>
    </row>
    <row r="40" s="1639" customFormat="true" ht="10.7" hidden="false" customHeight="true" outlineLevel="0" collapsed="false">
      <c r="A40" s="1234" t="s">
        <v>221</v>
      </c>
      <c r="B40" s="1618" t="n">
        <v>2291830</v>
      </c>
      <c r="C40" s="1618" t="n">
        <v>4467797</v>
      </c>
      <c r="D40" s="1618" t="n">
        <v>12066013</v>
      </c>
      <c r="E40" s="1618" t="n">
        <f aca="false">C40+D40</f>
        <v>16533810</v>
      </c>
      <c r="F40" s="1618" t="n">
        <v>1602758</v>
      </c>
      <c r="G40" s="1618" t="n">
        <v>1152703</v>
      </c>
      <c r="H40" s="1618" t="n">
        <v>10747352</v>
      </c>
      <c r="I40" s="1618" t="n">
        <v>2836812</v>
      </c>
      <c r="J40" s="1618" t="n">
        <f aca="false">F40+G40+H40+I40</f>
        <v>16339625</v>
      </c>
      <c r="K40" s="1618" t="n">
        <v>7327</v>
      </c>
      <c r="L40" s="1618" t="n">
        <v>22428</v>
      </c>
      <c r="M40" s="1618" t="n">
        <v>934</v>
      </c>
      <c r="N40" s="1618" t="n">
        <v>0</v>
      </c>
      <c r="O40" s="1618" t="n">
        <v>0</v>
      </c>
      <c r="P40" s="1618" t="n">
        <v>1605901</v>
      </c>
      <c r="Q40" s="1618" t="n">
        <v>849425</v>
      </c>
    </row>
    <row r="41" s="1639" customFormat="true" ht="10.7" hidden="false" customHeight="true" outlineLevel="0" collapsed="false">
      <c r="A41" s="1244" t="s">
        <v>222</v>
      </c>
      <c r="B41" s="1456" t="n">
        <v>2308430</v>
      </c>
      <c r="C41" s="1456" t="n">
        <v>4193786</v>
      </c>
      <c r="D41" s="1456" t="n">
        <v>12148699</v>
      </c>
      <c r="E41" s="1456" t="n">
        <f aca="false">C41+D41</f>
        <v>16342485</v>
      </c>
      <c r="F41" s="1456" t="n">
        <v>1718039</v>
      </c>
      <c r="G41" s="1456" t="n">
        <v>1175359</v>
      </c>
      <c r="H41" s="1456" t="n">
        <v>10659088</v>
      </c>
      <c r="I41" s="1456" t="n">
        <v>2850997</v>
      </c>
      <c r="J41" s="1456" t="n">
        <f aca="false">F41+G41+H41+I41</f>
        <v>16403483</v>
      </c>
      <c r="K41" s="1456" t="n">
        <v>7126</v>
      </c>
      <c r="L41" s="1456" t="n">
        <v>22594</v>
      </c>
      <c r="M41" s="1456" t="n">
        <v>1028</v>
      </c>
      <c r="N41" s="1456" t="n">
        <v>0</v>
      </c>
      <c r="O41" s="1456" t="n">
        <v>0</v>
      </c>
      <c r="P41" s="1456" t="n">
        <v>1605260</v>
      </c>
      <c r="Q41" s="1456" t="n">
        <v>611424</v>
      </c>
    </row>
    <row r="42" s="1639" customFormat="true" ht="10.7" hidden="false" customHeight="true" outlineLevel="0" collapsed="false">
      <c r="A42" s="1234" t="s">
        <v>223</v>
      </c>
      <c r="B42" s="1618" t="n">
        <v>2343736</v>
      </c>
      <c r="C42" s="1618" t="n">
        <v>4528827</v>
      </c>
      <c r="D42" s="1618" t="n">
        <v>12244780</v>
      </c>
      <c r="E42" s="1618" t="n">
        <f aca="false">C42+D42</f>
        <v>16773607</v>
      </c>
      <c r="F42" s="1618" t="n">
        <v>1760779</v>
      </c>
      <c r="G42" s="1618" t="n">
        <v>1191413</v>
      </c>
      <c r="H42" s="1618" t="n">
        <v>10752329</v>
      </c>
      <c r="I42" s="1618" t="n">
        <v>2844779</v>
      </c>
      <c r="J42" s="1618" t="n">
        <f aca="false">F42+G42+H42+I42</f>
        <v>16549300</v>
      </c>
      <c r="K42" s="1618" t="n">
        <v>9119</v>
      </c>
      <c r="L42" s="1618" t="n">
        <v>22406</v>
      </c>
      <c r="M42" s="1618" t="n">
        <v>1009</v>
      </c>
      <c r="N42" s="1618" t="n">
        <v>0</v>
      </c>
      <c r="O42" s="1618" t="n">
        <v>0</v>
      </c>
      <c r="P42" s="1618" t="n">
        <v>1629605</v>
      </c>
      <c r="Q42" s="1618" t="n">
        <v>905904</v>
      </c>
    </row>
    <row r="43" s="1639" customFormat="true" ht="12" hidden="false" customHeight="true" outlineLevel="0" collapsed="false">
      <c r="A43" s="1244" t="s">
        <v>224</v>
      </c>
      <c r="B43" s="1456" t="n">
        <v>2376176</v>
      </c>
      <c r="C43" s="1456" t="n">
        <v>4449630</v>
      </c>
      <c r="D43" s="1456" t="n">
        <v>12410554</v>
      </c>
      <c r="E43" s="1456" t="n">
        <f aca="false">C43+D43</f>
        <v>16860184</v>
      </c>
      <c r="F43" s="1456" t="n">
        <v>1922067</v>
      </c>
      <c r="G43" s="1456" t="n">
        <v>1227309</v>
      </c>
      <c r="H43" s="1456" t="n">
        <v>10809782</v>
      </c>
      <c r="I43" s="1456" t="n">
        <v>2848805</v>
      </c>
      <c r="J43" s="1456" t="n">
        <f aca="false">F43+G43+H43+I43</f>
        <v>16807963</v>
      </c>
      <c r="K43" s="1456" t="n">
        <v>11348</v>
      </c>
      <c r="L43" s="1456" t="n">
        <v>21493</v>
      </c>
      <c r="M43" s="1456" t="n">
        <v>831</v>
      </c>
      <c r="N43" s="1456" t="n">
        <v>0</v>
      </c>
      <c r="O43" s="1456" t="n">
        <v>0</v>
      </c>
      <c r="P43" s="1456" t="n">
        <v>1633906</v>
      </c>
      <c r="Q43" s="1456" t="n">
        <v>760819</v>
      </c>
    </row>
    <row r="44" s="1639" customFormat="true" ht="11.25" hidden="false" customHeight="true" outlineLevel="0" collapsed="false">
      <c r="A44" s="1640" t="s">
        <v>225</v>
      </c>
      <c r="B44" s="1626" t="n">
        <v>2544156</v>
      </c>
      <c r="C44" s="1626" t="n">
        <v>4606385</v>
      </c>
      <c r="D44" s="1626" t="n">
        <v>12479900</v>
      </c>
      <c r="E44" s="1626" t="n">
        <f aca="false">C44+D44</f>
        <v>17086285</v>
      </c>
      <c r="F44" s="1626" t="n">
        <v>1905705</v>
      </c>
      <c r="G44" s="1626" t="n">
        <v>1355862</v>
      </c>
      <c r="H44" s="1626" t="n">
        <v>10902870</v>
      </c>
      <c r="I44" s="1626" t="n">
        <v>2882236</v>
      </c>
      <c r="J44" s="1626" t="n">
        <f aca="false">F44+G44+H44+I44</f>
        <v>17046673</v>
      </c>
      <c r="K44" s="1626" t="n">
        <v>14311</v>
      </c>
      <c r="L44" s="1626" t="n">
        <v>21310</v>
      </c>
      <c r="M44" s="1626" t="n">
        <v>1273</v>
      </c>
      <c r="N44" s="1626" t="n">
        <v>0</v>
      </c>
      <c r="O44" s="1626" t="n">
        <v>0</v>
      </c>
      <c r="P44" s="1626" t="n">
        <v>1624355</v>
      </c>
      <c r="Q44" s="1626" t="n">
        <v>922519</v>
      </c>
    </row>
    <row r="45" customFormat="false" ht="12.75" hidden="false" customHeight="true" outlineLevel="0" collapsed="false">
      <c r="A45" s="1627"/>
      <c r="B45" s="1638"/>
      <c r="C45" s="1638"/>
      <c r="D45" s="1638"/>
      <c r="E45" s="1638"/>
      <c r="F45" s="1638"/>
      <c r="G45" s="1638"/>
      <c r="H45" s="1638"/>
      <c r="I45" s="1638"/>
      <c r="J45" s="1638"/>
      <c r="K45" s="1638"/>
      <c r="L45" s="1638"/>
      <c r="M45" s="1638"/>
      <c r="N45" s="1638"/>
      <c r="O45" s="1638"/>
      <c r="P45" s="1638"/>
      <c r="Q45" s="1638"/>
    </row>
    <row r="46" customFormat="false" ht="11.25" hidden="false" customHeight="true" outlineLevel="0" collapsed="false">
      <c r="A46" s="1629" t="s">
        <v>253</v>
      </c>
      <c r="B46" s="1630" t="s">
        <v>254</v>
      </c>
      <c r="G46" s="730" t="s">
        <v>300</v>
      </c>
    </row>
    <row r="47" customFormat="false" ht="15" hidden="false" customHeight="false" outlineLevel="0" collapsed="false">
      <c r="E47" s="730"/>
      <c r="G47" s="747"/>
      <c r="H47" s="747"/>
      <c r="I47" s="747"/>
      <c r="J47" s="747"/>
    </row>
    <row r="48" customFormat="false" ht="15" hidden="false" customHeight="false" outlineLevel="0" collapsed="false">
      <c r="E48" s="730"/>
      <c r="G48" s="747"/>
      <c r="J48" s="747"/>
    </row>
    <row r="49" customFormat="false" ht="15" hidden="false" customHeight="false" outlineLevel="0" collapsed="false">
      <c r="E49" s="730"/>
      <c r="J49" s="747"/>
    </row>
    <row r="50" customFormat="false" ht="15" hidden="false" customHeight="false" outlineLevel="0" collapsed="false">
      <c r="E50" s="730"/>
      <c r="J50" s="747"/>
    </row>
  </sheetData>
  <mergeCells count="13">
    <mergeCell ref="P1:Q1"/>
    <mergeCell ref="P2:Q2"/>
    <mergeCell ref="A3:A5"/>
    <mergeCell ref="B3:B4"/>
    <mergeCell ref="C3:E3"/>
    <mergeCell ref="F3:J3"/>
    <mergeCell ref="K3:K4"/>
    <mergeCell ref="L3:L4"/>
    <mergeCell ref="M3:M4"/>
    <mergeCell ref="N3:N4"/>
    <mergeCell ref="O3:O4"/>
    <mergeCell ref="P3:P4"/>
    <mergeCell ref="Q3:Q4"/>
  </mergeCells>
  <printOptions headings="false" gridLines="false" gridLinesSet="true" horizontalCentered="false" verticalCentered="false"/>
  <pageMargins left="0.75" right="0.45" top="0.75" bottom="0.75" header="0.511805555555555" footer="0.3"/>
  <pageSetup paperSize="1" scale="100" firstPageNumber="106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>&amp;C&amp;"Times New Roman,Regular"&amp;8&amp;P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K16" activeCellId="0" sqref="K16"/>
    </sheetView>
  </sheetViews>
  <sheetFormatPr defaultColWidth="9.15625" defaultRowHeight="12.75" zeroHeight="false" outlineLevelRow="0" outlineLevelCol="0"/>
  <cols>
    <col collapsed="false" customWidth="true" hidden="false" outlineLevel="0" max="1" min="1" style="55" width="5.14"/>
    <col collapsed="false" customWidth="true" hidden="false" outlineLevel="0" max="2" min="2" style="55" width="7.71"/>
    <col collapsed="false" customWidth="true" hidden="false" outlineLevel="0" max="3" min="3" style="1641" width="8.71"/>
    <col collapsed="false" customWidth="true" hidden="false" outlineLevel="0" max="4" min="4" style="1641" width="9.71"/>
    <col collapsed="false" customWidth="false" hidden="false" outlineLevel="0" max="5" min="5" style="1641" width="9.14"/>
    <col collapsed="false" customWidth="true" hidden="false" outlineLevel="0" max="6" min="6" style="1641" width="8.42"/>
    <col collapsed="false" customWidth="true" hidden="false" outlineLevel="0" max="7" min="7" style="1641" width="10.14"/>
    <col collapsed="false" customWidth="false" hidden="false" outlineLevel="0" max="8" min="8" style="55" width="9.14"/>
    <col collapsed="false" customWidth="true" hidden="false" outlineLevel="0" max="9" min="9" style="55" width="11.71"/>
    <col collapsed="false" customWidth="false" hidden="false" outlineLevel="0" max="1024" min="10" style="55" width="9.14"/>
  </cols>
  <sheetData>
    <row r="1" customFormat="false" ht="12.75" hidden="false" customHeight="false" outlineLevel="0" collapsed="false">
      <c r="A1" s="1642" t="s">
        <v>2684</v>
      </c>
      <c r="B1" s="1642"/>
      <c r="C1" s="1642"/>
      <c r="D1" s="1642"/>
      <c r="E1" s="1642"/>
      <c r="F1" s="1642"/>
      <c r="G1" s="1642"/>
      <c r="H1" s="1642"/>
      <c r="I1" s="1643" t="s">
        <v>2685</v>
      </c>
    </row>
    <row r="2" customFormat="false" ht="12.75" hidden="false" customHeight="false" outlineLevel="0" collapsed="false">
      <c r="A2" s="107"/>
      <c r="B2" s="107"/>
      <c r="C2" s="152"/>
      <c r="D2" s="152"/>
      <c r="E2" s="152"/>
      <c r="F2" s="152"/>
      <c r="H2" s="152" t="s">
        <v>565</v>
      </c>
      <c r="I2" s="732" t="s">
        <v>2686</v>
      </c>
      <c r="J2" s="1644"/>
    </row>
    <row r="3" customFormat="false" ht="33.75" hidden="false" customHeight="true" outlineLevel="0" collapsed="false">
      <c r="A3" s="1399" t="s">
        <v>570</v>
      </c>
      <c r="B3" s="1399"/>
      <c r="C3" s="999" t="s">
        <v>2687</v>
      </c>
      <c r="D3" s="999" t="s">
        <v>2688</v>
      </c>
      <c r="E3" s="999" t="s">
        <v>2689</v>
      </c>
      <c r="F3" s="999" t="s">
        <v>2690</v>
      </c>
      <c r="G3" s="999" t="s">
        <v>2691</v>
      </c>
      <c r="H3" s="999" t="s">
        <v>2692</v>
      </c>
      <c r="I3" s="999" t="s">
        <v>2693</v>
      </c>
    </row>
    <row r="4" customFormat="false" ht="11.85" hidden="false" customHeight="true" outlineLevel="0" collapsed="false">
      <c r="A4" s="1645" t="s">
        <v>2694</v>
      </c>
      <c r="B4" s="1645"/>
      <c r="C4" s="1646" t="n">
        <f aca="false">SUM(C5:C32)</f>
        <v>118090.17477969</v>
      </c>
      <c r="D4" s="1646" t="n">
        <f aca="false">SUM(D5:D32)</f>
        <v>777119.23927</v>
      </c>
      <c r="E4" s="1646" t="n">
        <f aca="false">SUM(E5:E32)</f>
        <v>45752.61</v>
      </c>
      <c r="F4" s="1647" t="n">
        <f aca="false">SUM(F5:F32)</f>
        <v>73005.55</v>
      </c>
      <c r="G4" s="1646" t="n">
        <f aca="false">SUM(G5:G32)</f>
        <v>2667.5</v>
      </c>
      <c r="H4" s="1646" t="n">
        <f aca="false">SUM(H5:H32)</f>
        <v>18729.83078812</v>
      </c>
      <c r="I4" s="1648" t="s">
        <v>2695</v>
      </c>
      <c r="O4" s="1649"/>
      <c r="P4" s="1649"/>
      <c r="Q4" s="1649"/>
      <c r="R4" s="1649"/>
      <c r="S4" s="1649"/>
    </row>
    <row r="5" customFormat="false" ht="11.85" hidden="false" customHeight="true" outlineLevel="0" collapsed="false">
      <c r="A5" s="1650" t="s">
        <v>484</v>
      </c>
      <c r="B5" s="1651" t="s">
        <v>2696</v>
      </c>
      <c r="C5" s="1652" t="n">
        <v>129.66929024148</v>
      </c>
      <c r="D5" s="1652" t="n">
        <v>83.79687</v>
      </c>
      <c r="E5" s="1652" t="n">
        <v>13.58</v>
      </c>
      <c r="F5" s="1653" t="n">
        <v>9.08</v>
      </c>
      <c r="G5" s="1654" t="n">
        <v>10</v>
      </c>
      <c r="H5" s="1399" t="n">
        <v>0</v>
      </c>
      <c r="I5" s="1399" t="n">
        <v>0</v>
      </c>
      <c r="O5" s="1649"/>
      <c r="P5" s="1649"/>
      <c r="Q5" s="1649"/>
      <c r="R5" s="1649"/>
      <c r="S5" s="1649"/>
      <c r="T5" s="1649"/>
      <c r="U5" s="1649"/>
    </row>
    <row r="6" customFormat="false" ht="11.85" hidden="false" customHeight="true" outlineLevel="0" collapsed="false">
      <c r="A6" s="1650"/>
      <c r="B6" s="1655" t="s">
        <v>2697</v>
      </c>
      <c r="C6" s="1656" t="n">
        <v>193.62399634408</v>
      </c>
      <c r="D6" s="1656" t="n">
        <v>1108.85469</v>
      </c>
      <c r="E6" s="1656" t="n">
        <v>15.79</v>
      </c>
      <c r="F6" s="1657" t="n">
        <v>409.92</v>
      </c>
      <c r="G6" s="1656" t="n">
        <v>0.8</v>
      </c>
      <c r="H6" s="1658" t="n">
        <v>0</v>
      </c>
      <c r="I6" s="1658" t="n">
        <v>0</v>
      </c>
      <c r="O6" s="1649"/>
      <c r="P6" s="1649"/>
      <c r="Q6" s="1649"/>
      <c r="R6" s="1649"/>
      <c r="S6" s="1649"/>
    </row>
    <row r="7" customFormat="false" ht="11.85" hidden="false" customHeight="true" outlineLevel="0" collapsed="false">
      <c r="A7" s="1650"/>
      <c r="B7" s="1659" t="s">
        <v>2698</v>
      </c>
      <c r="C7" s="1654" t="n">
        <v>31399.2319790706</v>
      </c>
      <c r="D7" s="1654" t="n">
        <v>167897.44834</v>
      </c>
      <c r="E7" s="1654" t="n">
        <v>8289.41</v>
      </c>
      <c r="F7" s="1654" t="n">
        <v>14450.02</v>
      </c>
      <c r="G7" s="1653" t="n">
        <v>100.5</v>
      </c>
      <c r="H7" s="1660" t="n">
        <v>4095.33099</v>
      </c>
      <c r="I7" s="1661" t="n">
        <v>0</v>
      </c>
      <c r="O7" s="1649"/>
      <c r="P7" s="1649"/>
      <c r="Q7" s="1649"/>
      <c r="R7" s="1649"/>
      <c r="S7" s="1649"/>
    </row>
    <row r="8" customFormat="false" ht="11.85" hidden="false" customHeight="true" outlineLevel="0" collapsed="false">
      <c r="A8" s="1650"/>
      <c r="B8" s="1655" t="s">
        <v>2699</v>
      </c>
      <c r="C8" s="1656" t="n">
        <v>169.86372667718</v>
      </c>
      <c r="D8" s="1656" t="n">
        <v>1555.11195</v>
      </c>
      <c r="E8" s="1656" t="n">
        <v>43.31</v>
      </c>
      <c r="F8" s="1656" t="n">
        <v>97.5</v>
      </c>
      <c r="G8" s="1657" t="n">
        <v>347.6</v>
      </c>
      <c r="H8" s="1662" t="n">
        <v>-8.37491</v>
      </c>
      <c r="I8" s="1658" t="n">
        <v>0</v>
      </c>
      <c r="O8" s="1649"/>
      <c r="P8" s="1649"/>
      <c r="Q8" s="1649"/>
      <c r="R8" s="1649"/>
      <c r="S8" s="1649"/>
    </row>
    <row r="9" customFormat="false" ht="11.85" hidden="false" customHeight="true" outlineLevel="0" collapsed="false">
      <c r="A9" s="1650"/>
      <c r="B9" s="1659" t="s">
        <v>2700</v>
      </c>
      <c r="C9" s="1654" t="n">
        <v>823.1353041514</v>
      </c>
      <c r="D9" s="1654" t="n">
        <v>287.16526</v>
      </c>
      <c r="E9" s="1654" t="n">
        <v>93.14</v>
      </c>
      <c r="F9" s="1654" t="n">
        <v>83.62</v>
      </c>
      <c r="G9" s="1663" t="n">
        <v>8.4</v>
      </c>
      <c r="H9" s="1664" t="n">
        <v>1.674982</v>
      </c>
      <c r="I9" s="1399" t="n">
        <v>0</v>
      </c>
      <c r="O9" s="1649"/>
      <c r="P9" s="1649"/>
      <c r="Q9" s="1649"/>
      <c r="R9" s="1649"/>
      <c r="S9" s="1649"/>
    </row>
    <row r="10" customFormat="false" ht="11.85" hidden="false" customHeight="true" outlineLevel="0" collapsed="false">
      <c r="A10" s="1650"/>
      <c r="B10" s="1655" t="s">
        <v>2701</v>
      </c>
      <c r="C10" s="1656" t="n">
        <v>1669.18179208316</v>
      </c>
      <c r="D10" s="1656" t="n">
        <v>15212.92055</v>
      </c>
      <c r="E10" s="1656" t="n">
        <v>80.24</v>
      </c>
      <c r="F10" s="1656" t="n">
        <v>335.86</v>
      </c>
      <c r="G10" s="1657" t="n">
        <v>15.9</v>
      </c>
      <c r="H10" s="1662" t="n">
        <v>107.198848</v>
      </c>
      <c r="I10" s="1658" t="n">
        <v>0</v>
      </c>
      <c r="O10" s="1649"/>
      <c r="P10" s="1649"/>
      <c r="Q10" s="1649"/>
      <c r="R10" s="1649"/>
      <c r="S10" s="1649"/>
    </row>
    <row r="11" customFormat="false" ht="11.85" hidden="false" customHeight="true" outlineLevel="0" collapsed="false">
      <c r="A11" s="1650"/>
      <c r="B11" s="1659" t="s">
        <v>2702</v>
      </c>
      <c r="C11" s="1654" t="n">
        <v>1623.00827250285</v>
      </c>
      <c r="D11" s="1654" t="n">
        <v>2050.12255</v>
      </c>
      <c r="E11" s="1654" t="n">
        <v>280.1</v>
      </c>
      <c r="F11" s="1654" t="n">
        <v>606.12</v>
      </c>
      <c r="G11" s="1663" t="n">
        <v>26.8</v>
      </c>
      <c r="H11" s="1664" t="n">
        <v>2798.894922</v>
      </c>
      <c r="I11" s="1399" t="n">
        <v>0</v>
      </c>
      <c r="O11" s="1649"/>
      <c r="P11" s="1649"/>
      <c r="Q11" s="1649"/>
      <c r="R11" s="1649"/>
      <c r="S11" s="1649"/>
    </row>
    <row r="12" customFormat="false" ht="11.85" hidden="false" customHeight="true" outlineLevel="0" collapsed="false">
      <c r="A12" s="1665" t="s">
        <v>489</v>
      </c>
      <c r="B12" s="1666" t="s">
        <v>2696</v>
      </c>
      <c r="C12" s="1656" t="n">
        <v>226.870047517527</v>
      </c>
      <c r="D12" s="1656" t="n">
        <v>162.50453</v>
      </c>
      <c r="E12" s="1656" t="n">
        <v>4.84</v>
      </c>
      <c r="F12" s="1656" t="n">
        <v>8.86</v>
      </c>
      <c r="G12" s="1657" t="n">
        <v>20.1</v>
      </c>
      <c r="H12" s="1658" t="n">
        <v>0</v>
      </c>
      <c r="I12" s="1658" t="n">
        <v>0</v>
      </c>
      <c r="O12" s="1649"/>
      <c r="P12" s="1649"/>
      <c r="Q12" s="1649"/>
      <c r="R12" s="1649"/>
      <c r="S12" s="1649"/>
    </row>
    <row r="13" s="2" customFormat="true" ht="11.85" hidden="false" customHeight="true" outlineLevel="0" collapsed="false">
      <c r="A13" s="1665" t="s">
        <v>489</v>
      </c>
      <c r="B13" s="1667" t="s">
        <v>2697</v>
      </c>
      <c r="C13" s="1654" t="n">
        <v>118.095032969244</v>
      </c>
      <c r="D13" s="1654" t="n">
        <v>1502.59125</v>
      </c>
      <c r="E13" s="1654" t="n">
        <v>17.35</v>
      </c>
      <c r="F13" s="1654" t="n">
        <v>437.02</v>
      </c>
      <c r="G13" s="1663" t="n">
        <v>2.5</v>
      </c>
      <c r="H13" s="1315" t="n">
        <v>0</v>
      </c>
      <c r="I13" s="1315" t="n">
        <v>0</v>
      </c>
      <c r="O13" s="1668"/>
      <c r="P13" s="1668"/>
      <c r="Q13" s="1668"/>
      <c r="R13" s="1668"/>
      <c r="S13" s="1668"/>
    </row>
    <row r="14" customFormat="false" ht="11.85" hidden="false" customHeight="true" outlineLevel="0" collapsed="false">
      <c r="A14" s="1665" t="s">
        <v>489</v>
      </c>
      <c r="B14" s="1666" t="s">
        <v>2698</v>
      </c>
      <c r="C14" s="1656" t="n">
        <v>24388.9147220828</v>
      </c>
      <c r="D14" s="1656" t="n">
        <v>169125.15202</v>
      </c>
      <c r="E14" s="1656" t="n">
        <v>11691.47</v>
      </c>
      <c r="F14" s="1656" t="n">
        <v>18014.57</v>
      </c>
      <c r="G14" s="1657" t="n">
        <v>110.7</v>
      </c>
      <c r="H14" s="1662" t="n">
        <v>867.13626472</v>
      </c>
      <c r="I14" s="1662" t="n">
        <v>0</v>
      </c>
      <c r="O14" s="1649"/>
      <c r="P14" s="1649"/>
      <c r="Q14" s="1649"/>
      <c r="R14" s="1649"/>
      <c r="S14" s="1649"/>
    </row>
    <row r="15" s="2" customFormat="true" ht="11.85" hidden="false" customHeight="true" outlineLevel="0" collapsed="false">
      <c r="A15" s="1665" t="s">
        <v>489</v>
      </c>
      <c r="B15" s="1667" t="s">
        <v>2699</v>
      </c>
      <c r="C15" s="1654" t="n">
        <v>83.128454037027</v>
      </c>
      <c r="D15" s="1654" t="n">
        <v>702.13027</v>
      </c>
      <c r="E15" s="1654" t="n">
        <v>44.53</v>
      </c>
      <c r="F15" s="1654" t="n">
        <v>110.04</v>
      </c>
      <c r="G15" s="1663" t="n">
        <v>344.7</v>
      </c>
      <c r="H15" s="1669" t="n">
        <v>0</v>
      </c>
      <c r="I15" s="1315" t="n">
        <v>0</v>
      </c>
      <c r="O15" s="1668"/>
      <c r="P15" s="1668"/>
      <c r="Q15" s="1668"/>
      <c r="R15" s="1668"/>
      <c r="S15" s="1668"/>
    </row>
    <row r="16" customFormat="false" ht="11.85" hidden="false" customHeight="true" outlineLevel="0" collapsed="false">
      <c r="A16" s="1665" t="s">
        <v>489</v>
      </c>
      <c r="B16" s="1666" t="s">
        <v>2700</v>
      </c>
      <c r="C16" s="1656" t="n">
        <v>766.690961770566</v>
      </c>
      <c r="D16" s="1656" t="n">
        <v>313.68084</v>
      </c>
      <c r="E16" s="1656" t="n">
        <v>280.12</v>
      </c>
      <c r="F16" s="1656" t="n">
        <v>90.25</v>
      </c>
      <c r="G16" s="1657" t="n">
        <v>16.8</v>
      </c>
      <c r="H16" s="1662" t="n">
        <v>2.51586924</v>
      </c>
      <c r="I16" s="1658" t="n">
        <v>0</v>
      </c>
      <c r="O16" s="1649"/>
      <c r="P16" s="1649"/>
      <c r="Q16" s="1649"/>
      <c r="R16" s="1649"/>
      <c r="S16" s="1649"/>
    </row>
    <row r="17" s="2" customFormat="true" ht="11.85" hidden="false" customHeight="true" outlineLevel="0" collapsed="false">
      <c r="A17" s="1665" t="s">
        <v>489</v>
      </c>
      <c r="B17" s="1667" t="s">
        <v>2701</v>
      </c>
      <c r="C17" s="1654" t="n">
        <v>1505.34330583782</v>
      </c>
      <c r="D17" s="1654" t="n">
        <v>18286.45615</v>
      </c>
      <c r="E17" s="1654" t="n">
        <v>100.67</v>
      </c>
      <c r="F17" s="1654" t="n">
        <v>445.38</v>
      </c>
      <c r="G17" s="1663" t="n">
        <v>12.6</v>
      </c>
      <c r="H17" s="1669" t="n">
        <v>83.862308</v>
      </c>
      <c r="I17" s="1669" t="n">
        <v>7.54760772</v>
      </c>
      <c r="O17" s="1668"/>
      <c r="P17" s="1668"/>
      <c r="Q17" s="1668"/>
      <c r="R17" s="1668"/>
      <c r="S17" s="1668"/>
    </row>
    <row r="18" customFormat="false" ht="11.85" hidden="false" customHeight="true" outlineLevel="0" collapsed="false">
      <c r="A18" s="1665" t="s">
        <v>489</v>
      </c>
      <c r="B18" s="1666" t="s">
        <v>2702</v>
      </c>
      <c r="C18" s="1656" t="n">
        <v>731.060825881797</v>
      </c>
      <c r="D18" s="1656" t="n">
        <v>1631.54387</v>
      </c>
      <c r="E18" s="1656" t="n">
        <v>269.55</v>
      </c>
      <c r="F18" s="1656" t="n">
        <v>997.99</v>
      </c>
      <c r="G18" s="1657" t="n">
        <v>43.6</v>
      </c>
      <c r="H18" s="1662" t="n">
        <v>716.18411032</v>
      </c>
      <c r="I18" s="1658" t="n">
        <v>0</v>
      </c>
      <c r="O18" s="1649"/>
      <c r="P18" s="1649"/>
      <c r="Q18" s="1649"/>
      <c r="R18" s="1649"/>
      <c r="S18" s="1649"/>
    </row>
    <row r="19" s="2" customFormat="true" ht="11.85" hidden="false" customHeight="true" outlineLevel="0" collapsed="false">
      <c r="A19" s="1665" t="s">
        <v>490</v>
      </c>
      <c r="B19" s="1667" t="s">
        <v>2696</v>
      </c>
      <c r="C19" s="1654" t="n">
        <v>88.8376921037</v>
      </c>
      <c r="D19" s="1654" t="n">
        <v>198.89928</v>
      </c>
      <c r="E19" s="1654" t="n">
        <v>17.44</v>
      </c>
      <c r="F19" s="1654" t="n">
        <v>7.28</v>
      </c>
      <c r="G19" s="1663" t="n">
        <v>48.8</v>
      </c>
      <c r="H19" s="1315" t="n">
        <v>0</v>
      </c>
      <c r="I19" s="1315" t="n">
        <v>0</v>
      </c>
      <c r="O19" s="1668"/>
      <c r="P19" s="1668"/>
      <c r="Q19" s="1668"/>
      <c r="R19" s="1668"/>
      <c r="S19" s="1668"/>
    </row>
    <row r="20" customFormat="false" ht="11.85" hidden="false" customHeight="true" outlineLevel="0" collapsed="false">
      <c r="A20" s="1665" t="s">
        <v>490</v>
      </c>
      <c r="B20" s="1666" t="s">
        <v>2697</v>
      </c>
      <c r="C20" s="1656" t="n">
        <v>89.1698000302</v>
      </c>
      <c r="D20" s="1656" t="n">
        <v>2271.44602</v>
      </c>
      <c r="E20" s="1656" t="n">
        <v>21.01</v>
      </c>
      <c r="F20" s="1656" t="n">
        <v>667.23</v>
      </c>
      <c r="G20" s="1657" t="n">
        <v>3.4</v>
      </c>
      <c r="H20" s="1658" t="n">
        <v>0</v>
      </c>
      <c r="I20" s="1658" t="n">
        <v>0</v>
      </c>
      <c r="O20" s="1649"/>
      <c r="P20" s="1649"/>
      <c r="Q20" s="1649"/>
      <c r="R20" s="1649"/>
      <c r="S20" s="1649"/>
    </row>
    <row r="21" s="2" customFormat="true" ht="11.85" hidden="false" customHeight="true" outlineLevel="0" collapsed="false">
      <c r="A21" s="1665" t="s">
        <v>490</v>
      </c>
      <c r="B21" s="1667" t="s">
        <v>2698</v>
      </c>
      <c r="C21" s="1654" t="n">
        <v>26793.4504058486</v>
      </c>
      <c r="D21" s="1654" t="n">
        <v>188818.56835</v>
      </c>
      <c r="E21" s="1654" t="n">
        <v>12279.54</v>
      </c>
      <c r="F21" s="1654" t="n">
        <v>14833.9</v>
      </c>
      <c r="G21" s="1663" t="n">
        <v>141.2</v>
      </c>
      <c r="H21" s="1669" t="n">
        <v>1999.01319376</v>
      </c>
      <c r="I21" s="1669" t="n">
        <v>0.84062792</v>
      </c>
      <c r="O21" s="1668"/>
      <c r="P21" s="1668"/>
      <c r="Q21" s="1668"/>
      <c r="R21" s="1668"/>
      <c r="S21" s="1668"/>
    </row>
    <row r="22" customFormat="false" ht="11.85" hidden="false" customHeight="true" outlineLevel="0" collapsed="false">
      <c r="A22" s="1665" t="s">
        <v>490</v>
      </c>
      <c r="B22" s="1666" t="s">
        <v>2699</v>
      </c>
      <c r="C22" s="1656" t="n">
        <v>122.9670903205</v>
      </c>
      <c r="D22" s="1656" t="n">
        <v>55.96829</v>
      </c>
      <c r="E22" s="1656" t="n">
        <v>34</v>
      </c>
      <c r="F22" s="1656" t="n">
        <v>77.69</v>
      </c>
      <c r="G22" s="1657" t="n">
        <v>470.8</v>
      </c>
      <c r="H22" s="1662" t="n">
        <v>-10.92816296</v>
      </c>
      <c r="I22" s="1658" t="n">
        <v>0</v>
      </c>
      <c r="O22" s="1649"/>
      <c r="P22" s="1649"/>
      <c r="Q22" s="1649"/>
      <c r="R22" s="1649"/>
      <c r="S22" s="1649"/>
    </row>
    <row r="23" s="2" customFormat="true" ht="11.85" hidden="false" customHeight="true" outlineLevel="0" collapsed="false">
      <c r="A23" s="1665" t="s">
        <v>490</v>
      </c>
      <c r="B23" s="1667" t="s">
        <v>2700</v>
      </c>
      <c r="C23" s="1654" t="n">
        <v>902.5978170963</v>
      </c>
      <c r="D23" s="1654" t="n">
        <v>160.95349</v>
      </c>
      <c r="E23" s="1654" t="n">
        <v>331.76</v>
      </c>
      <c r="F23" s="1654" t="n">
        <v>72.48</v>
      </c>
      <c r="G23" s="1663" t="n">
        <v>14.3</v>
      </c>
      <c r="H23" s="1669" t="n">
        <v>2.52188376</v>
      </c>
      <c r="I23" s="1315" t="n">
        <v>0</v>
      </c>
      <c r="O23" s="1668"/>
      <c r="P23" s="1668"/>
      <c r="Q23" s="1668"/>
      <c r="R23" s="1668"/>
      <c r="S23" s="1668"/>
    </row>
    <row r="24" customFormat="false" ht="11.85" hidden="false" customHeight="true" outlineLevel="0" collapsed="false">
      <c r="A24" s="1665" t="s">
        <v>490</v>
      </c>
      <c r="B24" s="1666" t="s">
        <v>2701</v>
      </c>
      <c r="C24" s="1656" t="n">
        <v>1128.4508558321</v>
      </c>
      <c r="D24" s="1656" t="n">
        <v>18510.30089</v>
      </c>
      <c r="E24" s="1656" t="n">
        <v>61.29</v>
      </c>
      <c r="F24" s="1656" t="n">
        <v>482.66</v>
      </c>
      <c r="G24" s="1657" t="n">
        <v>17.7</v>
      </c>
      <c r="H24" s="1662" t="n">
        <v>232.01330592</v>
      </c>
      <c r="I24" s="1662" t="n">
        <v>1.68125584</v>
      </c>
      <c r="O24" s="1649"/>
      <c r="P24" s="1649"/>
      <c r="Q24" s="1649"/>
      <c r="R24" s="1649"/>
      <c r="S24" s="1649"/>
    </row>
    <row r="25" s="2" customFormat="true" ht="11.85" hidden="false" customHeight="true" outlineLevel="0" collapsed="false">
      <c r="A25" s="1665" t="s">
        <v>490</v>
      </c>
      <c r="B25" s="1667" t="s">
        <v>2702</v>
      </c>
      <c r="C25" s="1654" t="n">
        <v>781.7468151142</v>
      </c>
      <c r="D25" s="1654" t="n">
        <v>1782.47964</v>
      </c>
      <c r="E25" s="1654" t="n">
        <v>275.04</v>
      </c>
      <c r="F25" s="1654" t="n">
        <v>1247.73</v>
      </c>
      <c r="G25" s="1663" t="n">
        <v>12.6</v>
      </c>
      <c r="H25" s="1669" t="n">
        <v>6.72502336</v>
      </c>
      <c r="I25" s="1669" t="n">
        <v>0</v>
      </c>
      <c r="O25" s="1668"/>
      <c r="P25" s="1668"/>
      <c r="Q25" s="1668"/>
      <c r="R25" s="1668"/>
      <c r="S25" s="1668"/>
    </row>
    <row r="26" customFormat="false" ht="11.85" hidden="false" customHeight="true" outlineLevel="0" collapsed="false">
      <c r="A26" s="1665" t="s">
        <v>491</v>
      </c>
      <c r="B26" s="1666" t="s">
        <v>2696</v>
      </c>
      <c r="C26" s="1656" t="n">
        <v>79.671216030737</v>
      </c>
      <c r="D26" s="1656" t="n">
        <v>256.49609</v>
      </c>
      <c r="E26" s="1656" t="n">
        <v>11.91</v>
      </c>
      <c r="F26" s="1656" t="n">
        <v>1.81</v>
      </c>
      <c r="G26" s="1657" t="n">
        <v>15.2</v>
      </c>
      <c r="H26" s="1658" t="n">
        <v>0</v>
      </c>
      <c r="I26" s="1658" t="n">
        <v>0</v>
      </c>
      <c r="O26" s="1649"/>
      <c r="P26" s="1649"/>
      <c r="Q26" s="1649"/>
      <c r="R26" s="1649"/>
      <c r="S26" s="1649"/>
    </row>
    <row r="27" s="2" customFormat="true" ht="11.85" hidden="false" customHeight="true" outlineLevel="0" collapsed="false">
      <c r="A27" s="1665" t="s">
        <v>2703</v>
      </c>
      <c r="B27" s="1667" t="s">
        <v>2697</v>
      </c>
      <c r="C27" s="1654" t="n">
        <v>233.564745880857</v>
      </c>
      <c r="D27" s="1654" t="n">
        <v>1571.33553</v>
      </c>
      <c r="E27" s="1654" t="n">
        <v>16.68</v>
      </c>
      <c r="F27" s="1654" t="n">
        <v>667.71</v>
      </c>
      <c r="G27" s="1663" t="n">
        <v>2.5</v>
      </c>
      <c r="H27" s="1315" t="n">
        <v>0</v>
      </c>
      <c r="I27" s="1315" t="n">
        <v>0</v>
      </c>
      <c r="O27" s="1668"/>
      <c r="P27" s="1668"/>
      <c r="Q27" s="1668"/>
      <c r="R27" s="1668"/>
      <c r="S27" s="1668"/>
    </row>
    <row r="28" customFormat="false" ht="11.85" hidden="false" customHeight="true" outlineLevel="0" collapsed="false">
      <c r="A28" s="1665" t="s">
        <v>2703</v>
      </c>
      <c r="B28" s="1666" t="s">
        <v>2698</v>
      </c>
      <c r="C28" s="1656" t="n">
        <v>22075.6325619064</v>
      </c>
      <c r="D28" s="1656" t="n">
        <v>166679.11286</v>
      </c>
      <c r="E28" s="1656" t="n">
        <v>10642.33</v>
      </c>
      <c r="F28" s="1656" t="n">
        <v>16927.93</v>
      </c>
      <c r="G28" s="1657" t="n">
        <v>143.5</v>
      </c>
      <c r="H28" s="1662" t="n">
        <v>2590.629171</v>
      </c>
      <c r="I28" s="1662" t="n">
        <v>2.53320975</v>
      </c>
      <c r="O28" s="1649"/>
      <c r="P28" s="1649"/>
      <c r="Q28" s="1649"/>
      <c r="R28" s="1649"/>
      <c r="S28" s="1649"/>
    </row>
    <row r="29" s="2" customFormat="true" ht="11.85" hidden="false" customHeight="true" outlineLevel="0" collapsed="false">
      <c r="A29" s="1665" t="s">
        <v>2703</v>
      </c>
      <c r="B29" s="1667" t="s">
        <v>2699</v>
      </c>
      <c r="C29" s="1654" t="n">
        <v>159.325923414313</v>
      </c>
      <c r="D29" s="1654" t="n">
        <v>64.86671</v>
      </c>
      <c r="E29" s="1654" t="n">
        <v>26.3</v>
      </c>
      <c r="F29" s="1654" t="n">
        <v>80.85</v>
      </c>
      <c r="G29" s="1663" t="n">
        <v>688.3</v>
      </c>
      <c r="H29" s="1670" t="n">
        <v>-1.6888065</v>
      </c>
      <c r="I29" s="1315" t="n">
        <v>0</v>
      </c>
      <c r="O29" s="1668"/>
      <c r="P29" s="1668"/>
      <c r="Q29" s="1668"/>
      <c r="R29" s="1668"/>
      <c r="S29" s="1668"/>
    </row>
    <row r="30" customFormat="false" ht="11.85" hidden="false" customHeight="true" outlineLevel="0" collapsed="false">
      <c r="A30" s="1665" t="s">
        <v>2703</v>
      </c>
      <c r="B30" s="1666" t="s">
        <v>2700</v>
      </c>
      <c r="C30" s="1656" t="n">
        <v>698.211396600177</v>
      </c>
      <c r="D30" s="1656" t="n">
        <v>234.97286</v>
      </c>
      <c r="E30" s="1656" t="n">
        <v>165.63</v>
      </c>
      <c r="F30" s="1656" t="n">
        <v>59.96</v>
      </c>
      <c r="G30" s="1657" t="n">
        <v>12.7</v>
      </c>
      <c r="H30" s="1662" t="n">
        <v>1.6888065</v>
      </c>
      <c r="I30" s="1658" t="n">
        <v>0</v>
      </c>
      <c r="O30" s="1649"/>
      <c r="P30" s="1649"/>
      <c r="Q30" s="1649"/>
      <c r="R30" s="1649"/>
      <c r="S30" s="1649"/>
    </row>
    <row r="31" s="2" customFormat="true" ht="11.85" hidden="false" customHeight="true" outlineLevel="0" collapsed="false">
      <c r="A31" s="1665" t="s">
        <v>2703</v>
      </c>
      <c r="B31" s="1667" t="s">
        <v>2701</v>
      </c>
      <c r="C31" s="1654" t="n">
        <v>425.349268547155</v>
      </c>
      <c r="D31" s="1654" t="n">
        <v>14736.58223</v>
      </c>
      <c r="E31" s="1654" t="n">
        <v>57.94</v>
      </c>
      <c r="F31" s="1654" t="n">
        <v>399.16</v>
      </c>
      <c r="G31" s="1663" t="n">
        <v>16.9</v>
      </c>
      <c r="H31" s="1669" t="n">
        <v>1124.745129</v>
      </c>
      <c r="I31" s="1315" t="n">
        <v>0</v>
      </c>
      <c r="O31" s="1668"/>
      <c r="P31" s="1668"/>
      <c r="Q31" s="1668"/>
      <c r="R31" s="1668"/>
      <c r="S31" s="1668"/>
    </row>
    <row r="32" customFormat="false" ht="11.85" hidden="false" customHeight="true" outlineLevel="0" collapsed="false">
      <c r="A32" s="1665" t="s">
        <v>2703</v>
      </c>
      <c r="B32" s="1666" t="s">
        <v>2702</v>
      </c>
      <c r="C32" s="1656" t="n">
        <v>683.381479797146</v>
      </c>
      <c r="D32" s="1656" t="n">
        <v>1857.77789</v>
      </c>
      <c r="E32" s="1671" t="n">
        <v>587.64</v>
      </c>
      <c r="F32" s="1671" t="n">
        <v>1382.93</v>
      </c>
      <c r="G32" s="1672" t="n">
        <v>18.6</v>
      </c>
      <c r="H32" s="1662" t="n">
        <v>4120.68786</v>
      </c>
      <c r="I32" s="1658" t="n">
        <v>0</v>
      </c>
      <c r="O32" s="1649"/>
      <c r="P32" s="1649"/>
      <c r="Q32" s="1649"/>
      <c r="R32" s="1649"/>
      <c r="S32" s="1649"/>
    </row>
    <row r="33" customFormat="false" ht="12.75" hidden="false" customHeight="false" outlineLevel="0" collapsed="false">
      <c r="A33" s="107" t="s">
        <v>492</v>
      </c>
      <c r="B33" s="107" t="s">
        <v>2704</v>
      </c>
      <c r="C33" s="1673"/>
      <c r="D33" s="1673"/>
      <c r="E33" s="1673"/>
      <c r="F33" s="1673"/>
      <c r="G33" s="1673"/>
      <c r="H33" s="732"/>
      <c r="I33" s="1644"/>
    </row>
    <row r="34" customFormat="false" ht="12.75" hidden="false" customHeight="false" outlineLevel="0" collapsed="false">
      <c r="A34" s="732"/>
      <c r="B34" s="107" t="s">
        <v>2705</v>
      </c>
      <c r="C34" s="1673"/>
      <c r="D34" s="1673"/>
      <c r="G34" s="152" t="s">
        <v>2706</v>
      </c>
      <c r="H34" s="732"/>
      <c r="I34" s="1644"/>
    </row>
    <row r="35" customFormat="false" ht="13.5" hidden="false" customHeight="true" outlineLevel="0" collapsed="false">
      <c r="A35" s="1674" t="s">
        <v>2575</v>
      </c>
      <c r="B35" s="405" t="s">
        <v>2707</v>
      </c>
      <c r="C35" s="1223"/>
      <c r="D35" s="1223"/>
      <c r="E35" s="1223"/>
      <c r="F35" s="1223"/>
      <c r="G35" s="1223"/>
      <c r="H35" s="1675"/>
      <c r="I35" s="1644"/>
    </row>
    <row r="36" customFormat="false" ht="12.75" hidden="false" customHeight="false" outlineLevel="0" collapsed="false">
      <c r="A36" s="107"/>
      <c r="B36" s="435" t="s">
        <v>2708</v>
      </c>
      <c r="C36" s="152"/>
      <c r="D36" s="152"/>
      <c r="E36" s="152"/>
      <c r="F36" s="152"/>
      <c r="G36" s="152"/>
      <c r="H36" s="1676"/>
      <c r="I36" s="1677"/>
    </row>
  </sheetData>
  <mergeCells count="7">
    <mergeCell ref="A1:H1"/>
    <mergeCell ref="A3:B3"/>
    <mergeCell ref="A4:B4"/>
    <mergeCell ref="A5:A11"/>
    <mergeCell ref="A12:A18"/>
    <mergeCell ref="A19:A25"/>
    <mergeCell ref="A26:A32"/>
  </mergeCells>
  <printOptions headings="false" gridLines="false" gridLinesSet="true" horizontalCentered="false" verticalCentered="false"/>
  <pageMargins left="0.45" right="0" top="0.5" bottom="0.250694444444444" header="0.511805555555555" footer="0.3"/>
  <pageSetup paperSize="1" scale="100" firstPageNumber="108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>&amp;C&amp;"Times New Roman,Regular"&amp;8&amp;P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Q79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1" ySplit="7" topLeftCell="D37" activePane="bottomRight" state="frozen"/>
      <selection pane="topLeft" activeCell="A1" activeCellId="0" sqref="A1"/>
      <selection pane="topRight" activeCell="D1" activeCellId="0" sqref="D1"/>
      <selection pane="bottomLeft" activeCell="A37" activeCellId="0" sqref="A37"/>
      <selection pane="bottomRight" activeCell="B55" activeCellId="0" sqref="B55"/>
    </sheetView>
  </sheetViews>
  <sheetFormatPr defaultColWidth="9.15625" defaultRowHeight="11.25" zeroHeight="false" outlineLevelRow="0" outlineLevelCol="0"/>
  <cols>
    <col collapsed="false" customWidth="true" hidden="false" outlineLevel="0" max="1" min="1" style="107" width="8.86"/>
    <col collapsed="false" customWidth="true" hidden="false" outlineLevel="0" max="3" min="2" style="107" width="9.29"/>
    <col collapsed="false" customWidth="true" hidden="false" outlineLevel="0" max="4" min="4" style="107" width="9.58"/>
    <col collapsed="false" customWidth="true" hidden="false" outlineLevel="0" max="5" min="5" style="107" width="9.29"/>
    <col collapsed="false" customWidth="false" hidden="false" outlineLevel="0" max="6" min="6" style="107" width="9.14"/>
    <col collapsed="false" customWidth="true" hidden="false" outlineLevel="0" max="7" min="7" style="107" width="8"/>
    <col collapsed="false" customWidth="true" hidden="false" outlineLevel="0" max="8" min="8" style="107" width="6.42"/>
    <col collapsed="false" customWidth="true" hidden="false" outlineLevel="0" max="9" min="9" style="107" width="7"/>
    <col collapsed="false" customWidth="true" hidden="false" outlineLevel="0" max="10" min="10" style="107" width="6.71"/>
    <col collapsed="false" customWidth="true" hidden="false" outlineLevel="0" max="11" min="11" style="107" width="12.29"/>
    <col collapsed="false" customWidth="true" hidden="false" outlineLevel="0" max="12" min="12" style="107" width="14.57"/>
    <col collapsed="false" customWidth="true" hidden="false" outlineLevel="0" max="13" min="13" style="107" width="14.28"/>
    <col collapsed="false" customWidth="true" hidden="false" outlineLevel="0" max="14" min="14" style="107" width="14.15"/>
    <col collapsed="false" customWidth="true" hidden="false" outlineLevel="0" max="15" min="15" style="107" width="15"/>
    <col collapsed="false" customWidth="true" hidden="false" outlineLevel="0" max="16" min="16" style="107" width="10.85"/>
    <col collapsed="false" customWidth="true" hidden="false" outlineLevel="0" max="17" min="17" style="107" width="10.42"/>
    <col collapsed="false" customWidth="false" hidden="false" outlineLevel="0" max="1024" min="18" style="107" width="9.14"/>
  </cols>
  <sheetData>
    <row r="1" s="108" customFormat="true" ht="15.75" hidden="false" customHeight="false" outlineLevel="0" collapsed="false">
      <c r="A1" s="260"/>
      <c r="B1" s="260"/>
      <c r="C1" s="260"/>
      <c r="D1" s="260"/>
      <c r="E1" s="260"/>
      <c r="F1" s="260"/>
      <c r="G1" s="112" t="s">
        <v>103</v>
      </c>
      <c r="H1" s="112"/>
      <c r="I1" s="112"/>
      <c r="J1" s="112"/>
      <c r="K1" s="113" t="s">
        <v>106</v>
      </c>
      <c r="L1" s="261"/>
      <c r="M1" s="261"/>
      <c r="N1" s="261"/>
      <c r="O1" s="112" t="s">
        <v>257</v>
      </c>
      <c r="P1" s="112"/>
      <c r="Q1" s="261"/>
      <c r="R1" s="261"/>
      <c r="S1" s="261"/>
    </row>
    <row r="2" s="264" customFormat="true" ht="12.75" hidden="false" customHeight="true" outlineLevel="0" collapsed="false">
      <c r="A2" s="102"/>
      <c r="B2" s="102"/>
      <c r="C2" s="102"/>
      <c r="D2" s="102"/>
      <c r="E2" s="102"/>
      <c r="F2" s="262" t="s">
        <v>258</v>
      </c>
      <c r="G2" s="262"/>
      <c r="H2" s="262"/>
      <c r="I2" s="262"/>
      <c r="J2" s="262"/>
      <c r="K2" s="263" t="s">
        <v>259</v>
      </c>
      <c r="L2" s="263"/>
      <c r="O2" s="265"/>
      <c r="P2" s="265"/>
    </row>
    <row r="3" s="270" customFormat="true" ht="23.25" hidden="false" customHeight="true" outlineLevel="0" collapsed="false">
      <c r="A3" s="266" t="s">
        <v>260</v>
      </c>
      <c r="B3" s="267" t="s">
        <v>261</v>
      </c>
      <c r="C3" s="267"/>
      <c r="D3" s="267"/>
      <c r="E3" s="267"/>
      <c r="F3" s="268" t="s">
        <v>262</v>
      </c>
      <c r="G3" s="268"/>
      <c r="H3" s="268"/>
      <c r="I3" s="268"/>
      <c r="J3" s="268"/>
      <c r="K3" s="269" t="s">
        <v>263</v>
      </c>
      <c r="L3" s="269"/>
      <c r="M3" s="269"/>
      <c r="N3" s="269" t="s">
        <v>264</v>
      </c>
      <c r="O3" s="269"/>
      <c r="P3" s="266" t="s">
        <v>260</v>
      </c>
    </row>
    <row r="4" s="270" customFormat="true" ht="23.25" hidden="false" customHeight="true" outlineLevel="0" collapsed="false">
      <c r="A4" s="266"/>
      <c r="B4" s="267"/>
      <c r="C4" s="267"/>
      <c r="D4" s="267"/>
      <c r="E4" s="267"/>
      <c r="F4" s="271" t="s">
        <v>265</v>
      </c>
      <c r="G4" s="271"/>
      <c r="H4" s="272" t="s">
        <v>266</v>
      </c>
      <c r="I4" s="272"/>
      <c r="J4" s="272"/>
      <c r="K4" s="273" t="s">
        <v>267</v>
      </c>
      <c r="L4" s="273"/>
      <c r="M4" s="131" t="s">
        <v>268</v>
      </c>
      <c r="N4" s="274" t="s">
        <v>269</v>
      </c>
      <c r="O4" s="274"/>
      <c r="P4" s="266"/>
    </row>
    <row r="5" s="270" customFormat="true" ht="21.75" hidden="false" customHeight="true" outlineLevel="0" collapsed="false">
      <c r="A5" s="266"/>
      <c r="B5" s="275" t="s">
        <v>270</v>
      </c>
      <c r="C5" s="276" t="s">
        <v>271</v>
      </c>
      <c r="D5" s="276" t="s">
        <v>272</v>
      </c>
      <c r="E5" s="276" t="s">
        <v>273</v>
      </c>
      <c r="F5" s="138" t="s">
        <v>274</v>
      </c>
      <c r="G5" s="138" t="s">
        <v>275</v>
      </c>
      <c r="H5" s="138" t="s">
        <v>276</v>
      </c>
      <c r="I5" s="138" t="s">
        <v>277</v>
      </c>
      <c r="J5" s="138" t="s">
        <v>144</v>
      </c>
      <c r="K5" s="131" t="s">
        <v>278</v>
      </c>
      <c r="L5" s="131" t="s">
        <v>279</v>
      </c>
      <c r="M5" s="131"/>
      <c r="N5" s="131" t="s">
        <v>280</v>
      </c>
      <c r="O5" s="131" t="s">
        <v>281</v>
      </c>
      <c r="P5" s="266"/>
    </row>
    <row r="6" s="270" customFormat="true" ht="14.25" hidden="false" customHeight="true" outlineLevel="0" collapsed="false">
      <c r="A6" s="266"/>
      <c r="B6" s="275"/>
      <c r="C6" s="276"/>
      <c r="D6" s="276"/>
      <c r="E6" s="276"/>
      <c r="F6" s="138"/>
      <c r="G6" s="138"/>
      <c r="H6" s="138"/>
      <c r="I6" s="138"/>
      <c r="J6" s="138"/>
      <c r="K6" s="131"/>
      <c r="L6" s="131"/>
      <c r="M6" s="131"/>
      <c r="N6" s="131"/>
      <c r="O6" s="131"/>
      <c r="P6" s="266"/>
    </row>
    <row r="7" s="152" customFormat="true" ht="12.75" hidden="false" customHeight="true" outlineLevel="0" collapsed="false">
      <c r="A7" s="266"/>
      <c r="B7" s="277" t="n">
        <v>1</v>
      </c>
      <c r="C7" s="278" t="n">
        <v>2</v>
      </c>
      <c r="D7" s="278" t="n">
        <v>3</v>
      </c>
      <c r="E7" s="278" t="n">
        <v>4</v>
      </c>
      <c r="F7" s="278" t="n">
        <v>5</v>
      </c>
      <c r="G7" s="278" t="n">
        <v>6</v>
      </c>
      <c r="H7" s="278" t="n">
        <v>7</v>
      </c>
      <c r="I7" s="278" t="n">
        <v>8</v>
      </c>
      <c r="J7" s="278" t="n">
        <v>9</v>
      </c>
      <c r="K7" s="278" t="n">
        <v>10</v>
      </c>
      <c r="L7" s="278" t="n">
        <v>11</v>
      </c>
      <c r="M7" s="278" t="n">
        <v>12</v>
      </c>
      <c r="N7" s="278" t="n">
        <v>13</v>
      </c>
      <c r="O7" s="278" t="n">
        <v>14</v>
      </c>
      <c r="P7" s="266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  <c r="AH7" s="155"/>
      <c r="AI7" s="155"/>
      <c r="AJ7" s="155"/>
      <c r="AK7" s="155"/>
      <c r="AL7" s="155"/>
      <c r="AM7" s="155"/>
      <c r="AN7" s="155"/>
      <c r="AO7" s="155"/>
      <c r="AP7" s="155"/>
      <c r="AQ7" s="155"/>
      <c r="AR7" s="155"/>
      <c r="AS7" s="155"/>
      <c r="AT7" s="155"/>
      <c r="AU7" s="155"/>
      <c r="AV7" s="155"/>
      <c r="AW7" s="155"/>
      <c r="AX7" s="155"/>
      <c r="AY7" s="155"/>
      <c r="AZ7" s="155"/>
      <c r="BA7" s="155"/>
      <c r="BB7" s="155"/>
      <c r="BC7" s="155"/>
      <c r="BD7" s="155"/>
      <c r="BE7" s="155"/>
      <c r="BF7" s="155"/>
      <c r="BG7" s="155"/>
      <c r="BH7" s="155"/>
      <c r="BI7" s="155"/>
      <c r="BJ7" s="155"/>
      <c r="BK7" s="155"/>
      <c r="BL7" s="155"/>
      <c r="BM7" s="155"/>
      <c r="BN7" s="155"/>
      <c r="BO7" s="155"/>
      <c r="BP7" s="155"/>
      <c r="BQ7" s="155"/>
    </row>
    <row r="8" s="286" customFormat="true" ht="9.2" hidden="false" customHeight="true" outlineLevel="0" collapsed="false">
      <c r="A8" s="279" t="s">
        <v>205</v>
      </c>
      <c r="B8" s="280" t="n">
        <v>11.14</v>
      </c>
      <c r="C8" s="280" t="n">
        <v>10.17</v>
      </c>
      <c r="D8" s="280" t="s">
        <v>204</v>
      </c>
      <c r="E8" s="281" t="n">
        <v>8.8</v>
      </c>
      <c r="F8" s="280" t="s">
        <v>204</v>
      </c>
      <c r="G8" s="280" t="s">
        <v>204</v>
      </c>
      <c r="H8" s="282" t="n">
        <v>520.5</v>
      </c>
      <c r="I8" s="282" t="n">
        <v>58.4166666666667</v>
      </c>
      <c r="J8" s="282" t="n">
        <v>596.148066255479</v>
      </c>
      <c r="K8" s="283" t="n">
        <v>22928.2</v>
      </c>
      <c r="L8" s="283" t="n">
        <v>33657.5</v>
      </c>
      <c r="M8" s="283" t="n">
        <v>10911.6</v>
      </c>
      <c r="N8" s="284" t="n">
        <v>71.2164</v>
      </c>
      <c r="O8" s="284" t="n">
        <v>74.1493</v>
      </c>
      <c r="P8" s="285" t="s">
        <v>205</v>
      </c>
    </row>
    <row r="9" s="286" customFormat="true" ht="9.2" hidden="false" customHeight="true" outlineLevel="0" collapsed="false">
      <c r="A9" s="287" t="s">
        <v>282</v>
      </c>
      <c r="B9" s="288" t="n">
        <v>5.54</v>
      </c>
      <c r="C9" s="288" t="n">
        <v>8.56</v>
      </c>
      <c r="D9" s="288" t="s">
        <v>204</v>
      </c>
      <c r="E9" s="193" t="n">
        <v>10.62</v>
      </c>
      <c r="F9" s="288" t="s">
        <v>204</v>
      </c>
      <c r="G9" s="288" t="s">
        <v>204</v>
      </c>
      <c r="H9" s="194" t="n">
        <v>570.416666666667</v>
      </c>
      <c r="I9" s="194" t="n">
        <v>73.75</v>
      </c>
      <c r="J9" s="194" t="n">
        <v>651.739836688778</v>
      </c>
      <c r="K9" s="192" t="n">
        <v>24302</v>
      </c>
      <c r="L9" s="192" t="n">
        <v>35516.3</v>
      </c>
      <c r="M9" s="192" t="n">
        <v>10364.4</v>
      </c>
      <c r="N9" s="289" t="n">
        <v>79.2102</v>
      </c>
      <c r="O9" s="289" t="n">
        <v>81.8158</v>
      </c>
      <c r="P9" s="290" t="s">
        <v>282</v>
      </c>
    </row>
    <row r="10" s="286" customFormat="true" ht="9.2" hidden="false" customHeight="true" outlineLevel="0" collapsed="false">
      <c r="A10" s="291" t="s">
        <v>207</v>
      </c>
      <c r="B10" s="184" t="n">
        <v>8.05</v>
      </c>
      <c r="C10" s="184" t="n">
        <v>7.97</v>
      </c>
      <c r="D10" s="184" t="n">
        <v>6.78</v>
      </c>
      <c r="E10" s="187" t="n">
        <v>7.7</v>
      </c>
      <c r="F10" s="184" t="s">
        <v>204</v>
      </c>
      <c r="G10" s="184" t="s">
        <v>204</v>
      </c>
      <c r="H10" s="188" t="n">
        <v>620.916666666667</v>
      </c>
      <c r="I10" s="188" t="n">
        <v>83.75</v>
      </c>
      <c r="J10" s="188" t="n">
        <v>708.871222700648</v>
      </c>
      <c r="K10" s="186" t="n">
        <v>27027.45</v>
      </c>
      <c r="L10" s="186" t="n">
        <v>34083.6</v>
      </c>
      <c r="M10" s="186" t="n">
        <v>15315.2</v>
      </c>
      <c r="N10" s="292" t="n">
        <v>79.9359</v>
      </c>
      <c r="O10" s="292" t="n">
        <v>77.7593</v>
      </c>
      <c r="P10" s="293" t="s">
        <v>207</v>
      </c>
    </row>
    <row r="11" s="184" customFormat="true" ht="9.2" hidden="false" customHeight="true" outlineLevel="0" collapsed="false">
      <c r="A11" s="287" t="s">
        <v>208</v>
      </c>
      <c r="B11" s="193" t="n">
        <v>6.97</v>
      </c>
      <c r="C11" s="193" t="s">
        <v>204</v>
      </c>
      <c r="D11" s="193" t="n">
        <v>7.35</v>
      </c>
      <c r="E11" s="193" t="s">
        <v>204</v>
      </c>
      <c r="F11" s="193" t="s">
        <v>204</v>
      </c>
      <c r="G11" s="193" t="s">
        <v>204</v>
      </c>
      <c r="H11" s="193" t="s">
        <v>204</v>
      </c>
      <c r="I11" s="193" t="s">
        <v>204</v>
      </c>
      <c r="J11" s="193" t="s">
        <v>204</v>
      </c>
      <c r="K11" s="192" t="n">
        <v>30186.62</v>
      </c>
      <c r="L11" s="192" t="n">
        <v>40731.9</v>
      </c>
      <c r="M11" s="192" t="n">
        <v>21507.993</v>
      </c>
      <c r="N11" s="289" t="n">
        <v>77.72</v>
      </c>
      <c r="O11" s="289" t="n">
        <v>77.63</v>
      </c>
      <c r="P11" s="290" t="s">
        <v>208</v>
      </c>
    </row>
    <row r="12" s="184" customFormat="true" ht="9.2" hidden="false" customHeight="true" outlineLevel="0" collapsed="false">
      <c r="A12" s="291" t="s">
        <v>209</v>
      </c>
      <c r="B12" s="187" t="n">
        <v>6.25</v>
      </c>
      <c r="C12" s="187" t="s">
        <v>204</v>
      </c>
      <c r="D12" s="187" t="n">
        <v>6.4</v>
      </c>
      <c r="E12" s="187" t="s">
        <v>204</v>
      </c>
      <c r="F12" s="187" t="s">
        <v>204</v>
      </c>
      <c r="G12" s="187" t="s">
        <v>204</v>
      </c>
      <c r="H12" s="187" t="s">
        <v>204</v>
      </c>
      <c r="I12" s="187" t="s">
        <v>204</v>
      </c>
      <c r="J12" s="187" t="s">
        <v>204</v>
      </c>
      <c r="K12" s="186" t="n">
        <v>31208.95</v>
      </c>
      <c r="L12" s="186" t="n">
        <v>40579.3</v>
      </c>
      <c r="M12" s="186" t="n">
        <v>25025.2</v>
      </c>
      <c r="N12" s="292" t="n">
        <v>77.675</v>
      </c>
      <c r="O12" s="292" t="n">
        <v>77.8004</v>
      </c>
      <c r="P12" s="293" t="s">
        <v>209</v>
      </c>
    </row>
    <row r="13" s="184" customFormat="true" ht="9.2" hidden="false" customHeight="true" outlineLevel="0" collapsed="false">
      <c r="A13" s="287" t="s">
        <v>211</v>
      </c>
      <c r="B13" s="193" t="n">
        <v>5.53</v>
      </c>
      <c r="C13" s="193" t="s">
        <v>204</v>
      </c>
      <c r="D13" s="193" t="n">
        <v>5.92</v>
      </c>
      <c r="E13" s="193" t="s">
        <v>204</v>
      </c>
      <c r="F13" s="193" t="s">
        <v>204</v>
      </c>
      <c r="G13" s="193" t="s">
        <v>204</v>
      </c>
      <c r="H13" s="193" t="s">
        <v>204</v>
      </c>
      <c r="I13" s="193" t="s">
        <v>204</v>
      </c>
      <c r="J13" s="193" t="s">
        <v>204</v>
      </c>
      <c r="K13" s="192" t="n">
        <v>34257.18</v>
      </c>
      <c r="L13" s="192" t="n">
        <v>40097.4</v>
      </c>
      <c r="M13" s="192" t="n">
        <v>30168.23</v>
      </c>
      <c r="N13" s="289" t="n">
        <v>78.2686</v>
      </c>
      <c r="O13" s="289" t="n">
        <v>78.4</v>
      </c>
      <c r="P13" s="290" t="s">
        <v>211</v>
      </c>
    </row>
    <row r="14" s="184" customFormat="true" ht="9.2" hidden="false" customHeight="true" outlineLevel="0" collapsed="false">
      <c r="A14" s="294" t="s">
        <v>212</v>
      </c>
      <c r="B14" s="212" t="n">
        <v>5.94</v>
      </c>
      <c r="C14" s="212" t="s">
        <v>204</v>
      </c>
      <c r="D14" s="212" t="n">
        <v>5.44</v>
      </c>
      <c r="E14" s="212" t="s">
        <v>204</v>
      </c>
      <c r="F14" s="212" t="s">
        <v>204</v>
      </c>
      <c r="G14" s="212" t="s">
        <v>204</v>
      </c>
      <c r="H14" s="212" t="s">
        <v>204</v>
      </c>
      <c r="I14" s="212" t="s">
        <v>204</v>
      </c>
      <c r="J14" s="212" t="s">
        <v>204</v>
      </c>
      <c r="K14" s="295" t="n">
        <v>34655.9</v>
      </c>
      <c r="L14" s="295" t="n">
        <v>43540.84</v>
      </c>
      <c r="M14" s="295" t="n">
        <v>33492.95</v>
      </c>
      <c r="N14" s="296" t="n">
        <v>79.133</v>
      </c>
      <c r="O14" s="296" t="n">
        <v>80.5988</v>
      </c>
      <c r="P14" s="297" t="s">
        <v>212</v>
      </c>
    </row>
    <row r="15" s="184" customFormat="true" ht="9.2" hidden="false" customHeight="true" outlineLevel="0" collapsed="false">
      <c r="A15" s="298" t="s">
        <v>213</v>
      </c>
      <c r="B15" s="204" t="n">
        <f aca="false">B27</f>
        <v>5.54</v>
      </c>
      <c r="C15" s="204" t="s">
        <v>204</v>
      </c>
      <c r="D15" s="204" t="n">
        <f aca="false">D27</f>
        <v>5.78</v>
      </c>
      <c r="E15" s="204" t="s">
        <v>204</v>
      </c>
      <c r="F15" s="204" t="s">
        <v>204</v>
      </c>
      <c r="G15" s="204" t="s">
        <v>204</v>
      </c>
      <c r="H15" s="204" t="s">
        <v>204</v>
      </c>
      <c r="I15" s="204" t="s">
        <v>204</v>
      </c>
      <c r="J15" s="204" t="s">
        <v>204</v>
      </c>
      <c r="K15" s="299" t="n">
        <f aca="false">SUM(K16:K27)</f>
        <v>36668.17</v>
      </c>
      <c r="L15" s="299" t="n">
        <f aca="false">SUM(L16:L27)</f>
        <v>52939.6</v>
      </c>
      <c r="M15" s="299" t="n">
        <f aca="false">M27</f>
        <v>32943.46</v>
      </c>
      <c r="N15" s="300" t="n">
        <v>82.1077</v>
      </c>
      <c r="O15" s="300" t="n">
        <f aca="false">O27</f>
        <v>83.7022</v>
      </c>
      <c r="P15" s="301" t="s">
        <v>213</v>
      </c>
    </row>
    <row r="16" s="184" customFormat="true" ht="9.2" hidden="false" customHeight="true" outlineLevel="0" collapsed="false">
      <c r="A16" s="291" t="s">
        <v>214</v>
      </c>
      <c r="B16" s="187" t="n">
        <v>5.57</v>
      </c>
      <c r="C16" s="187" t="s">
        <v>204</v>
      </c>
      <c r="D16" s="187" t="n">
        <v>5.45</v>
      </c>
      <c r="E16" s="187" t="s">
        <v>204</v>
      </c>
      <c r="F16" s="187" t="s">
        <v>204</v>
      </c>
      <c r="G16" s="187" t="s">
        <v>204</v>
      </c>
      <c r="H16" s="187" t="s">
        <v>204</v>
      </c>
      <c r="I16" s="187" t="s">
        <v>204</v>
      </c>
      <c r="J16" s="187" t="s">
        <v>204</v>
      </c>
      <c r="K16" s="178" t="n">
        <v>2987.66</v>
      </c>
      <c r="L16" s="186" t="n">
        <v>3997.2</v>
      </c>
      <c r="M16" s="186" t="n">
        <v>32993.98</v>
      </c>
      <c r="N16" s="292" t="n">
        <v>80.6263</v>
      </c>
      <c r="O16" s="292" t="n">
        <v>80.66</v>
      </c>
      <c r="P16" s="293" t="s">
        <v>214</v>
      </c>
    </row>
    <row r="17" s="184" customFormat="true" ht="9.2" hidden="false" customHeight="true" outlineLevel="0" collapsed="false">
      <c r="A17" s="287" t="s">
        <v>215</v>
      </c>
      <c r="B17" s="193" t="n">
        <v>5.89</v>
      </c>
      <c r="C17" s="193" t="s">
        <v>204</v>
      </c>
      <c r="D17" s="193" t="n">
        <v>5.5</v>
      </c>
      <c r="E17" s="193" t="s">
        <v>204</v>
      </c>
      <c r="F17" s="193" t="s">
        <v>204</v>
      </c>
      <c r="G17" s="193" t="s">
        <v>204</v>
      </c>
      <c r="H17" s="193" t="s">
        <v>204</v>
      </c>
      <c r="I17" s="193" t="s">
        <v>204</v>
      </c>
      <c r="J17" s="193" t="s">
        <v>204</v>
      </c>
      <c r="K17" s="168" t="n">
        <v>3640.94</v>
      </c>
      <c r="L17" s="192" t="n">
        <v>4045.6</v>
      </c>
      <c r="M17" s="192" t="n">
        <v>33596.25</v>
      </c>
      <c r="N17" s="289" t="n">
        <v>80.6939</v>
      </c>
      <c r="O17" s="289" t="n">
        <v>80.7</v>
      </c>
      <c r="P17" s="290" t="s">
        <v>215</v>
      </c>
    </row>
    <row r="18" s="184" customFormat="true" ht="9.2" hidden="false" customHeight="true" outlineLevel="0" collapsed="false">
      <c r="A18" s="291" t="s">
        <v>216</v>
      </c>
      <c r="B18" s="187" t="n">
        <v>6.12</v>
      </c>
      <c r="C18" s="187" t="s">
        <v>204</v>
      </c>
      <c r="D18" s="187" t="n">
        <v>5.55</v>
      </c>
      <c r="E18" s="187" t="s">
        <v>204</v>
      </c>
      <c r="F18" s="187" t="s">
        <v>204</v>
      </c>
      <c r="G18" s="187" t="s">
        <v>204</v>
      </c>
      <c r="H18" s="187" t="s">
        <v>204</v>
      </c>
      <c r="I18" s="187" t="s">
        <v>204</v>
      </c>
      <c r="J18" s="187" t="s">
        <v>204</v>
      </c>
      <c r="K18" s="178" t="n">
        <v>2034.13</v>
      </c>
      <c r="L18" s="186" t="n">
        <v>3848.4</v>
      </c>
      <c r="M18" s="186" t="n">
        <v>32816.59</v>
      </c>
      <c r="N18" s="292" t="n">
        <v>80.7377</v>
      </c>
      <c r="O18" s="292" t="n">
        <v>80.8</v>
      </c>
      <c r="P18" s="293" t="s">
        <v>216</v>
      </c>
    </row>
    <row r="19" s="184" customFormat="true" ht="9.2" hidden="false" customHeight="true" outlineLevel="0" collapsed="false">
      <c r="A19" s="287" t="s">
        <v>217</v>
      </c>
      <c r="B19" s="193" t="n">
        <v>6.04</v>
      </c>
      <c r="C19" s="193" t="s">
        <v>204</v>
      </c>
      <c r="D19" s="193" t="n">
        <v>5.59</v>
      </c>
      <c r="E19" s="193" t="s">
        <v>204</v>
      </c>
      <c r="F19" s="193" t="s">
        <v>204</v>
      </c>
      <c r="G19" s="193" t="s">
        <v>204</v>
      </c>
      <c r="H19" s="193" t="s">
        <v>204</v>
      </c>
      <c r="I19" s="193" t="s">
        <v>204</v>
      </c>
      <c r="J19" s="193" t="s">
        <v>204</v>
      </c>
      <c r="K19" s="168" t="n">
        <v>2843.07</v>
      </c>
      <c r="L19" s="192" t="n">
        <v>4400.3</v>
      </c>
      <c r="M19" s="192" t="n">
        <v>33452.9</v>
      </c>
      <c r="N19" s="289" t="n">
        <v>80.8217</v>
      </c>
      <c r="O19" s="289" t="n">
        <v>80.8681</v>
      </c>
      <c r="P19" s="290" t="s">
        <v>217</v>
      </c>
    </row>
    <row r="20" s="184" customFormat="true" ht="9.2" hidden="false" customHeight="true" outlineLevel="0" collapsed="false">
      <c r="A20" s="291" t="s">
        <v>218</v>
      </c>
      <c r="B20" s="187" t="n">
        <v>5.91</v>
      </c>
      <c r="C20" s="187" t="s">
        <v>204</v>
      </c>
      <c r="D20" s="187" t="n">
        <v>5.64</v>
      </c>
      <c r="E20" s="187" t="s">
        <v>204</v>
      </c>
      <c r="F20" s="187" t="s">
        <v>204</v>
      </c>
      <c r="G20" s="187" t="s">
        <v>204</v>
      </c>
      <c r="H20" s="187" t="s">
        <v>204</v>
      </c>
      <c r="I20" s="187" t="s">
        <v>204</v>
      </c>
      <c r="J20" s="187" t="s">
        <v>204</v>
      </c>
      <c r="K20" s="178" t="n">
        <v>3057.11</v>
      </c>
      <c r="L20" s="186" t="n">
        <v>4448.4</v>
      </c>
      <c r="M20" s="186" t="n">
        <v>32623.86</v>
      </c>
      <c r="N20" s="292" t="n">
        <v>81.2842</v>
      </c>
      <c r="O20" s="292" t="n">
        <v>82.3</v>
      </c>
      <c r="P20" s="293" t="s">
        <v>218</v>
      </c>
    </row>
    <row r="21" s="184" customFormat="true" ht="9.2" hidden="false" customHeight="true" outlineLevel="0" collapsed="false">
      <c r="A21" s="287" t="s">
        <v>219</v>
      </c>
      <c r="B21" s="193" t="n">
        <v>5.83</v>
      </c>
      <c r="C21" s="193" t="s">
        <v>204</v>
      </c>
      <c r="D21" s="193" t="n">
        <v>5.7</v>
      </c>
      <c r="E21" s="193" t="s">
        <v>204</v>
      </c>
      <c r="F21" s="193" t="s">
        <v>204</v>
      </c>
      <c r="G21" s="193" t="s">
        <v>204</v>
      </c>
      <c r="H21" s="193" t="s">
        <v>204</v>
      </c>
      <c r="I21" s="193" t="s">
        <v>204</v>
      </c>
      <c r="J21" s="193" t="s">
        <v>204</v>
      </c>
      <c r="K21" s="168" t="n">
        <v>3353.11</v>
      </c>
      <c r="L21" s="192" t="n">
        <v>4171.7</v>
      </c>
      <c r="M21" s="192" t="n">
        <v>33226.86</v>
      </c>
      <c r="N21" s="289" t="n">
        <v>82.5499</v>
      </c>
      <c r="O21" s="289" t="n">
        <v>82.7</v>
      </c>
      <c r="P21" s="290" t="s">
        <v>219</v>
      </c>
      <c r="R21" s="302"/>
    </row>
    <row r="22" s="184" customFormat="true" ht="9.2" hidden="false" customHeight="true" outlineLevel="0" collapsed="false">
      <c r="A22" s="291" t="s">
        <v>220</v>
      </c>
      <c r="B22" s="187" t="n">
        <v>5.88</v>
      </c>
      <c r="C22" s="187" t="s">
        <v>204</v>
      </c>
      <c r="D22" s="187" t="n">
        <v>5.76332004882425</v>
      </c>
      <c r="E22" s="187" t="s">
        <v>204</v>
      </c>
      <c r="F22" s="187" t="s">
        <v>204</v>
      </c>
      <c r="G22" s="187" t="s">
        <v>204</v>
      </c>
      <c r="H22" s="187" t="s">
        <v>204</v>
      </c>
      <c r="I22" s="187" t="s">
        <v>204</v>
      </c>
      <c r="J22" s="187" t="s">
        <v>204</v>
      </c>
      <c r="K22" s="178" t="n">
        <v>3408.88</v>
      </c>
      <c r="L22" s="186" t="n">
        <v>5054.5</v>
      </c>
      <c r="M22" s="186" t="n">
        <v>32694.69</v>
      </c>
      <c r="N22" s="292" t="n">
        <v>82.8168</v>
      </c>
      <c r="O22" s="292" t="n">
        <v>82.9</v>
      </c>
      <c r="P22" s="293" t="s">
        <v>220</v>
      </c>
      <c r="R22" s="187"/>
    </row>
    <row r="23" s="184" customFormat="true" ht="9.2" hidden="false" customHeight="true" outlineLevel="0" collapsed="false">
      <c r="A23" s="287" t="s">
        <v>221</v>
      </c>
      <c r="B23" s="193" t="n">
        <v>5.72</v>
      </c>
      <c r="C23" s="193" t="s">
        <v>204</v>
      </c>
      <c r="D23" s="193" t="n">
        <v>5.79658684081443</v>
      </c>
      <c r="E23" s="193" t="s">
        <v>204</v>
      </c>
      <c r="F23" s="193" t="s">
        <v>204</v>
      </c>
      <c r="G23" s="193" t="s">
        <v>204</v>
      </c>
      <c r="H23" s="193" t="s">
        <v>204</v>
      </c>
      <c r="I23" s="193" t="s">
        <v>204</v>
      </c>
      <c r="J23" s="193" t="s">
        <v>204</v>
      </c>
      <c r="K23" s="168" t="n">
        <v>3072.15</v>
      </c>
      <c r="L23" s="192" t="n">
        <v>4369.5</v>
      </c>
      <c r="M23" s="192" t="n">
        <v>33368.99</v>
      </c>
      <c r="N23" s="289" t="n">
        <v>82.92</v>
      </c>
      <c r="O23" s="289" t="n">
        <v>82.96</v>
      </c>
      <c r="P23" s="290" t="s">
        <v>221</v>
      </c>
    </row>
    <row r="24" s="184" customFormat="true" ht="9.2" hidden="false" customHeight="true" outlineLevel="0" collapsed="false">
      <c r="A24" s="291" t="s">
        <v>222</v>
      </c>
      <c r="B24" s="187" t="n">
        <v>5.68</v>
      </c>
      <c r="C24" s="187" t="s">
        <v>204</v>
      </c>
      <c r="D24" s="187" t="n">
        <v>5.81925928085663</v>
      </c>
      <c r="E24" s="187" t="s">
        <v>204</v>
      </c>
      <c r="F24" s="187" t="s">
        <v>204</v>
      </c>
      <c r="G24" s="187" t="s">
        <v>204</v>
      </c>
      <c r="H24" s="187" t="s">
        <v>204</v>
      </c>
      <c r="I24" s="187" t="s">
        <v>204</v>
      </c>
      <c r="J24" s="187" t="s">
        <v>204</v>
      </c>
      <c r="K24" s="178" t="n">
        <v>3054.65</v>
      </c>
      <c r="L24" s="186" t="n">
        <v>4459.5</v>
      </c>
      <c r="M24" s="186" t="n">
        <v>32403.15</v>
      </c>
      <c r="N24" s="292" t="n">
        <v>82.96</v>
      </c>
      <c r="O24" s="292" t="n">
        <v>82.96</v>
      </c>
      <c r="P24" s="293" t="s">
        <v>222</v>
      </c>
    </row>
    <row r="25" s="184" customFormat="true" ht="9.2" hidden="false" customHeight="true" outlineLevel="0" collapsed="false">
      <c r="A25" s="287" t="s">
        <v>223</v>
      </c>
      <c r="B25" s="193" t="n">
        <v>5.63</v>
      </c>
      <c r="C25" s="193" t="s">
        <v>204</v>
      </c>
      <c r="D25" s="193" t="n">
        <v>5.83193942010791</v>
      </c>
      <c r="E25" s="193" t="s">
        <v>204</v>
      </c>
      <c r="F25" s="193" t="s">
        <v>204</v>
      </c>
      <c r="G25" s="193" t="s">
        <v>204</v>
      </c>
      <c r="H25" s="193" t="s">
        <v>204</v>
      </c>
      <c r="I25" s="193" t="s">
        <v>204</v>
      </c>
      <c r="J25" s="193" t="s">
        <v>204</v>
      </c>
      <c r="K25" s="168" t="n">
        <v>2954.71</v>
      </c>
      <c r="L25" s="192" t="n">
        <v>4870.5</v>
      </c>
      <c r="M25" s="192" t="n">
        <v>33094.26</v>
      </c>
      <c r="N25" s="289" t="n">
        <v>82.9752</v>
      </c>
      <c r="O25" s="289" t="n">
        <v>82.98</v>
      </c>
      <c r="P25" s="290" t="s">
        <v>223</v>
      </c>
    </row>
    <row r="26" s="184" customFormat="true" ht="9.2" hidden="false" customHeight="true" outlineLevel="0" collapsed="false">
      <c r="A26" s="291" t="s">
        <v>224</v>
      </c>
      <c r="B26" s="187" t="n">
        <v>5.57</v>
      </c>
      <c r="C26" s="187" t="s">
        <v>204</v>
      </c>
      <c r="D26" s="187" t="n">
        <v>5.82</v>
      </c>
      <c r="E26" s="187" t="s">
        <v>204</v>
      </c>
      <c r="F26" s="187" t="s">
        <v>204</v>
      </c>
      <c r="G26" s="187" t="s">
        <v>204</v>
      </c>
      <c r="H26" s="187" t="s">
        <v>204</v>
      </c>
      <c r="I26" s="187" t="s">
        <v>204</v>
      </c>
      <c r="J26" s="187" t="s">
        <v>204</v>
      </c>
      <c r="K26" s="178" t="n">
        <v>3322.41</v>
      </c>
      <c r="L26" s="186" t="n">
        <v>5435.2</v>
      </c>
      <c r="M26" s="186" t="n">
        <v>32348.09</v>
      </c>
      <c r="N26" s="292" t="n">
        <v>83.4137</v>
      </c>
      <c r="O26" s="292" t="n">
        <v>83.7</v>
      </c>
      <c r="P26" s="293" t="s">
        <v>224</v>
      </c>
    </row>
    <row r="27" s="184" customFormat="true" ht="9.2" hidden="false" customHeight="true" outlineLevel="0" collapsed="false">
      <c r="A27" s="287" t="s">
        <v>225</v>
      </c>
      <c r="B27" s="193" t="n">
        <v>5.54</v>
      </c>
      <c r="C27" s="193" t="s">
        <v>204</v>
      </c>
      <c r="D27" s="193" t="n">
        <v>5.78</v>
      </c>
      <c r="E27" s="193" t="s">
        <v>204</v>
      </c>
      <c r="F27" s="193" t="s">
        <v>204</v>
      </c>
      <c r="G27" s="193" t="s">
        <v>204</v>
      </c>
      <c r="H27" s="193" t="s">
        <v>204</v>
      </c>
      <c r="I27" s="193" t="s">
        <v>204</v>
      </c>
      <c r="J27" s="193" t="s">
        <v>204</v>
      </c>
      <c r="K27" s="168" t="n">
        <v>2939.35</v>
      </c>
      <c r="L27" s="192" t="n">
        <v>3838.8</v>
      </c>
      <c r="M27" s="192" t="n">
        <v>32943.46</v>
      </c>
      <c r="N27" s="289" t="n">
        <v>83.7217</v>
      </c>
      <c r="O27" s="289" t="n">
        <v>83.7022</v>
      </c>
      <c r="P27" s="290" t="s">
        <v>225</v>
      </c>
    </row>
    <row r="28" s="184" customFormat="true" ht="9.2" hidden="false" customHeight="true" outlineLevel="0" collapsed="false">
      <c r="A28" s="294" t="s">
        <v>226</v>
      </c>
      <c r="B28" s="212" t="n">
        <f aca="false">B40</f>
        <v>5.52</v>
      </c>
      <c r="C28" s="212" t="s">
        <v>204</v>
      </c>
      <c r="D28" s="212" t="n">
        <f aca="false">D40</f>
        <v>5.48</v>
      </c>
      <c r="E28" s="212" t="s">
        <v>204</v>
      </c>
      <c r="F28" s="212" t="s">
        <v>204</v>
      </c>
      <c r="G28" s="212" t="s">
        <v>204</v>
      </c>
      <c r="H28" s="212" t="s">
        <v>204</v>
      </c>
      <c r="I28" s="212" t="s">
        <v>204</v>
      </c>
      <c r="J28" s="212" t="s">
        <v>204</v>
      </c>
      <c r="K28" s="295" t="n">
        <f aca="false">SUM(K29:K40)</f>
        <v>40535.04</v>
      </c>
      <c r="L28" s="295" t="n">
        <f aca="false">SUM(L29:L40)</f>
        <v>56060.8</v>
      </c>
      <c r="M28" s="295" t="n">
        <f aca="false">M40</f>
        <v>32716.51</v>
      </c>
      <c r="N28" s="296" t="n">
        <v>84.0208</v>
      </c>
      <c r="O28" s="296" t="n">
        <f aca="false">O40</f>
        <v>84.5</v>
      </c>
      <c r="P28" s="297" t="s">
        <v>226</v>
      </c>
    </row>
    <row r="29" s="184" customFormat="true" ht="9.2" hidden="false" customHeight="true" outlineLevel="0" collapsed="false">
      <c r="A29" s="287" t="s">
        <v>214</v>
      </c>
      <c r="B29" s="193" t="n">
        <v>5.51</v>
      </c>
      <c r="C29" s="193" t="s">
        <v>204</v>
      </c>
      <c r="D29" s="193" t="n">
        <v>5.78</v>
      </c>
      <c r="E29" s="193" t="s">
        <v>204</v>
      </c>
      <c r="F29" s="193" t="s">
        <v>204</v>
      </c>
      <c r="G29" s="193" t="s">
        <v>204</v>
      </c>
      <c r="H29" s="193" t="s">
        <v>204</v>
      </c>
      <c r="I29" s="193" t="s">
        <v>204</v>
      </c>
      <c r="J29" s="193" t="s">
        <v>204</v>
      </c>
      <c r="K29" s="168" t="n">
        <v>3581.48</v>
      </c>
      <c r="L29" s="192" t="n">
        <v>4569.7</v>
      </c>
      <c r="M29" s="192" t="n">
        <v>32105.45</v>
      </c>
      <c r="N29" s="289" t="n">
        <v>83.7484</v>
      </c>
      <c r="O29" s="289" t="n">
        <v>83.75</v>
      </c>
      <c r="P29" s="290" t="s">
        <v>214</v>
      </c>
    </row>
    <row r="30" s="184" customFormat="true" ht="9.2" hidden="false" customHeight="true" outlineLevel="0" collapsed="false">
      <c r="A30" s="291" t="s">
        <v>215</v>
      </c>
      <c r="B30" s="187" t="n">
        <v>5.48</v>
      </c>
      <c r="C30" s="187" t="s">
        <v>204</v>
      </c>
      <c r="D30" s="187" t="n">
        <v>5.74</v>
      </c>
      <c r="E30" s="187" t="s">
        <v>204</v>
      </c>
      <c r="F30" s="187" t="s">
        <v>204</v>
      </c>
      <c r="G30" s="187" t="s">
        <v>204</v>
      </c>
      <c r="H30" s="187" t="s">
        <v>204</v>
      </c>
      <c r="I30" s="187" t="s">
        <v>204</v>
      </c>
      <c r="J30" s="187" t="s">
        <v>204</v>
      </c>
      <c r="K30" s="178" t="n">
        <v>3213.54</v>
      </c>
      <c r="L30" s="186" t="n">
        <v>3964.61</v>
      </c>
      <c r="M30" s="186" t="n">
        <v>32926.51</v>
      </c>
      <c r="N30" s="292" t="n">
        <v>83.75</v>
      </c>
      <c r="O30" s="292" t="n">
        <v>83.75</v>
      </c>
      <c r="P30" s="293" t="s">
        <v>215</v>
      </c>
    </row>
    <row r="31" s="184" customFormat="true" ht="9.2" hidden="false" customHeight="true" outlineLevel="0" collapsed="false">
      <c r="A31" s="287" t="s">
        <v>216</v>
      </c>
      <c r="B31" s="193" t="n">
        <v>5.43</v>
      </c>
      <c r="C31" s="193" t="s">
        <v>204</v>
      </c>
      <c r="D31" s="193" t="n">
        <v>5.68</v>
      </c>
      <c r="E31" s="193" t="s">
        <v>204</v>
      </c>
      <c r="F31" s="193" t="s">
        <v>204</v>
      </c>
      <c r="G31" s="193" t="s">
        <v>204</v>
      </c>
      <c r="H31" s="193" t="s">
        <v>204</v>
      </c>
      <c r="I31" s="193" t="s">
        <v>204</v>
      </c>
      <c r="J31" s="193" t="s">
        <v>204</v>
      </c>
      <c r="K31" s="192" t="n">
        <v>3145.58</v>
      </c>
      <c r="L31" s="192" t="n">
        <v>4751.49</v>
      </c>
      <c r="M31" s="192" t="n">
        <v>31957.74</v>
      </c>
      <c r="N31" s="289" t="n">
        <v>83.75</v>
      </c>
      <c r="O31" s="289" t="n">
        <v>83.75</v>
      </c>
      <c r="P31" s="290" t="s">
        <v>216</v>
      </c>
    </row>
    <row r="32" s="184" customFormat="true" ht="9.2" hidden="false" customHeight="true" outlineLevel="0" collapsed="false">
      <c r="A32" s="291" t="s">
        <v>217</v>
      </c>
      <c r="B32" s="187" t="n">
        <v>5.4</v>
      </c>
      <c r="C32" s="187" t="s">
        <v>204</v>
      </c>
      <c r="D32" s="187" t="n">
        <v>5.63</v>
      </c>
      <c r="E32" s="187" t="s">
        <v>204</v>
      </c>
      <c r="F32" s="187" t="s">
        <v>204</v>
      </c>
      <c r="G32" s="187" t="s">
        <v>204</v>
      </c>
      <c r="H32" s="187" t="s">
        <v>204</v>
      </c>
      <c r="I32" s="187" t="s">
        <v>204</v>
      </c>
      <c r="J32" s="187" t="s">
        <v>204</v>
      </c>
      <c r="K32" s="186" t="n">
        <v>3711.18</v>
      </c>
      <c r="L32" s="186" t="n">
        <v>5086.3</v>
      </c>
      <c r="M32" s="186" t="n">
        <v>32077.96</v>
      </c>
      <c r="N32" s="292" t="n">
        <v>83.817</v>
      </c>
      <c r="O32" s="292" t="n">
        <v>83.85</v>
      </c>
      <c r="P32" s="293" t="s">
        <v>217</v>
      </c>
    </row>
    <row r="33" s="184" customFormat="true" ht="9.2" hidden="false" customHeight="true" outlineLevel="0" collapsed="false">
      <c r="A33" s="287" t="s">
        <v>218</v>
      </c>
      <c r="B33" s="193" t="n">
        <v>5.37</v>
      </c>
      <c r="C33" s="193" t="s">
        <v>204</v>
      </c>
      <c r="D33" s="193" t="n">
        <v>5.58</v>
      </c>
      <c r="E33" s="193" t="s">
        <v>204</v>
      </c>
      <c r="F33" s="193" t="s">
        <v>204</v>
      </c>
      <c r="G33" s="193" t="s">
        <v>204</v>
      </c>
      <c r="H33" s="193" t="s">
        <v>204</v>
      </c>
      <c r="I33" s="193" t="s">
        <v>204</v>
      </c>
      <c r="J33" s="193" t="s">
        <v>204</v>
      </c>
      <c r="K33" s="192" t="n">
        <v>3421.98</v>
      </c>
      <c r="L33" s="192" t="n">
        <v>4460.8</v>
      </c>
      <c r="M33" s="192" t="n">
        <v>31056.04</v>
      </c>
      <c r="N33" s="289" t="n">
        <v>83.8725</v>
      </c>
      <c r="O33" s="289" t="n">
        <v>83.9</v>
      </c>
      <c r="P33" s="290" t="s">
        <v>218</v>
      </c>
    </row>
    <row r="34" s="184" customFormat="true" ht="9.2" hidden="false" customHeight="true" outlineLevel="0" collapsed="false">
      <c r="A34" s="291" t="s">
        <v>219</v>
      </c>
      <c r="B34" s="187" t="n">
        <v>5.35</v>
      </c>
      <c r="C34" s="187" t="s">
        <v>204</v>
      </c>
      <c r="D34" s="187" t="n">
        <v>5.54431997988074</v>
      </c>
      <c r="E34" s="187" t="s">
        <v>204</v>
      </c>
      <c r="F34" s="187" t="s">
        <v>204</v>
      </c>
      <c r="G34" s="187" t="s">
        <v>204</v>
      </c>
      <c r="H34" s="187" t="s">
        <v>204</v>
      </c>
      <c r="I34" s="187" t="s">
        <v>204</v>
      </c>
      <c r="J34" s="187" t="s">
        <v>204</v>
      </c>
      <c r="K34" s="186" t="n">
        <v>3426.11</v>
      </c>
      <c r="L34" s="186" t="n">
        <v>4508.1</v>
      </c>
      <c r="M34" s="186" t="n">
        <v>32016.25</v>
      </c>
      <c r="N34" s="292" t="n">
        <v>83.9</v>
      </c>
      <c r="O34" s="292" t="n">
        <v>83.9</v>
      </c>
      <c r="P34" s="293" t="s">
        <v>219</v>
      </c>
    </row>
    <row r="35" s="184" customFormat="true" ht="9.2" hidden="false" customHeight="true" outlineLevel="0" collapsed="false">
      <c r="A35" s="287" t="s">
        <v>220</v>
      </c>
      <c r="B35" s="193" t="n">
        <v>5.42</v>
      </c>
      <c r="C35" s="193" t="s">
        <v>204</v>
      </c>
      <c r="D35" s="193" t="n">
        <v>5.51</v>
      </c>
      <c r="E35" s="193" t="s">
        <v>204</v>
      </c>
      <c r="F35" s="193" t="s">
        <v>204</v>
      </c>
      <c r="G35" s="193" t="s">
        <v>204</v>
      </c>
      <c r="H35" s="193" t="s">
        <v>204</v>
      </c>
      <c r="I35" s="193" t="s">
        <v>204</v>
      </c>
      <c r="J35" s="193" t="s">
        <v>204</v>
      </c>
      <c r="K35" s="192" t="n">
        <v>3679.72</v>
      </c>
      <c r="L35" s="192" t="n">
        <v>5543.2</v>
      </c>
      <c r="M35" s="192" t="n">
        <v>31279.69</v>
      </c>
      <c r="N35" s="289" t="n">
        <v>83.9414</v>
      </c>
      <c r="O35" s="289" t="n">
        <v>83.95</v>
      </c>
      <c r="P35" s="290" t="s">
        <v>220</v>
      </c>
    </row>
    <row r="36" s="184" customFormat="true" ht="9.2" hidden="false" customHeight="true" outlineLevel="0" collapsed="false">
      <c r="A36" s="291" t="s">
        <v>221</v>
      </c>
      <c r="B36" s="187" t="n">
        <v>5.47</v>
      </c>
      <c r="C36" s="187" t="s">
        <v>204</v>
      </c>
      <c r="D36" s="187" t="n">
        <v>5.49</v>
      </c>
      <c r="E36" s="187" t="s">
        <v>204</v>
      </c>
      <c r="F36" s="187" t="s">
        <v>204</v>
      </c>
      <c r="G36" s="187" t="s">
        <v>204</v>
      </c>
      <c r="H36" s="187" t="s">
        <v>204</v>
      </c>
      <c r="I36" s="187" t="s">
        <v>204</v>
      </c>
      <c r="J36" s="187" t="s">
        <v>204</v>
      </c>
      <c r="K36" s="186" t="n">
        <v>3383.2</v>
      </c>
      <c r="L36" s="186" t="n">
        <v>4122.3</v>
      </c>
      <c r="M36" s="186" t="n">
        <v>32235.68</v>
      </c>
      <c r="N36" s="292" t="n">
        <v>84.0319</v>
      </c>
      <c r="O36" s="292" t="n">
        <v>84.15</v>
      </c>
      <c r="P36" s="293" t="s">
        <v>221</v>
      </c>
    </row>
    <row r="37" s="184" customFormat="true" ht="9.2" hidden="false" customHeight="true" outlineLevel="0" collapsed="false">
      <c r="A37" s="287" t="s">
        <v>222</v>
      </c>
      <c r="B37" s="193" t="n">
        <v>5.55</v>
      </c>
      <c r="C37" s="193" t="s">
        <v>204</v>
      </c>
      <c r="D37" s="193" t="n">
        <v>5.48</v>
      </c>
      <c r="E37" s="193" t="s">
        <v>204</v>
      </c>
      <c r="F37" s="193" t="s">
        <v>204</v>
      </c>
      <c r="G37" s="193" t="s">
        <v>204</v>
      </c>
      <c r="H37" s="193" t="s">
        <v>204</v>
      </c>
      <c r="I37" s="193" t="s">
        <v>204</v>
      </c>
      <c r="J37" s="193" t="s">
        <v>204</v>
      </c>
      <c r="K37" s="192" t="n">
        <v>3340.23</v>
      </c>
      <c r="L37" s="192" t="n">
        <v>4955.1</v>
      </c>
      <c r="M37" s="192" t="n">
        <v>31787.21</v>
      </c>
      <c r="N37" s="289" t="n">
        <v>84.206</v>
      </c>
      <c r="O37" s="289" t="n">
        <v>84.25</v>
      </c>
      <c r="P37" s="290" t="s">
        <v>222</v>
      </c>
    </row>
    <row r="38" s="184" customFormat="true" ht="9.2" hidden="false" customHeight="true" outlineLevel="0" collapsed="false">
      <c r="A38" s="291" t="s">
        <v>223</v>
      </c>
      <c r="B38" s="187" t="n">
        <v>5.58</v>
      </c>
      <c r="C38" s="187" t="s">
        <v>204</v>
      </c>
      <c r="D38" s="187" t="n">
        <v>5.47</v>
      </c>
      <c r="E38" s="187" t="s">
        <v>204</v>
      </c>
      <c r="F38" s="187" t="s">
        <v>204</v>
      </c>
      <c r="G38" s="187" t="s">
        <v>204</v>
      </c>
      <c r="H38" s="187" t="s">
        <v>204</v>
      </c>
      <c r="I38" s="187" t="s">
        <v>204</v>
      </c>
      <c r="J38" s="187" t="s">
        <v>204</v>
      </c>
      <c r="K38" s="186" t="n">
        <v>3034.21</v>
      </c>
      <c r="L38" s="186" t="n">
        <v>5083.8</v>
      </c>
      <c r="M38" s="186" t="n">
        <v>32122.87</v>
      </c>
      <c r="N38" s="292" t="n">
        <v>84.3285</v>
      </c>
      <c r="O38" s="292" t="n">
        <v>84.45</v>
      </c>
      <c r="P38" s="293" t="s">
        <v>223</v>
      </c>
    </row>
    <row r="39" s="184" customFormat="true" ht="9.2" hidden="false" customHeight="true" outlineLevel="0" collapsed="false">
      <c r="A39" s="287" t="s">
        <v>224</v>
      </c>
      <c r="B39" s="193" t="n">
        <v>5.63</v>
      </c>
      <c r="C39" s="193" t="s">
        <v>204</v>
      </c>
      <c r="D39" s="193" t="n">
        <v>5.48</v>
      </c>
      <c r="E39" s="193" t="s">
        <v>204</v>
      </c>
      <c r="F39" s="193" t="s">
        <v>204</v>
      </c>
      <c r="G39" s="193" t="s">
        <v>204</v>
      </c>
      <c r="H39" s="193" t="s">
        <v>204</v>
      </c>
      <c r="I39" s="193" t="s">
        <v>204</v>
      </c>
      <c r="J39" s="193" t="s">
        <v>204</v>
      </c>
      <c r="K39" s="192" t="n">
        <v>3813.37</v>
      </c>
      <c r="L39" s="192" t="n">
        <v>4981.7</v>
      </c>
      <c r="M39" s="192" t="n">
        <v>31344.79</v>
      </c>
      <c r="N39" s="289" t="n">
        <v>84.4929</v>
      </c>
      <c r="O39" s="289" t="n">
        <v>84.5</v>
      </c>
      <c r="P39" s="290" t="s">
        <v>224</v>
      </c>
    </row>
    <row r="40" s="184" customFormat="true" ht="8.25" hidden="false" customHeight="true" outlineLevel="0" collapsed="false">
      <c r="A40" s="291" t="s">
        <v>225</v>
      </c>
      <c r="B40" s="187" t="n">
        <v>5.52</v>
      </c>
      <c r="C40" s="187" t="s">
        <v>204</v>
      </c>
      <c r="D40" s="187" t="n">
        <v>5.48</v>
      </c>
      <c r="E40" s="187" t="s">
        <v>204</v>
      </c>
      <c r="F40" s="187" t="s">
        <v>204</v>
      </c>
      <c r="G40" s="187" t="s">
        <v>204</v>
      </c>
      <c r="H40" s="187" t="s">
        <v>204</v>
      </c>
      <c r="I40" s="187" t="s">
        <v>204</v>
      </c>
      <c r="J40" s="187" t="s">
        <v>204</v>
      </c>
      <c r="K40" s="186" t="n">
        <v>2784.44</v>
      </c>
      <c r="L40" s="186" t="n">
        <v>4033.7</v>
      </c>
      <c r="M40" s="186" t="n">
        <v>32716.51</v>
      </c>
      <c r="N40" s="292" t="n">
        <v>84.5</v>
      </c>
      <c r="O40" s="292" t="n">
        <v>84.5</v>
      </c>
      <c r="P40" s="293" t="s">
        <v>225</v>
      </c>
    </row>
    <row r="41" s="184" customFormat="true" ht="12.75" hidden="false" customHeight="true" outlineLevel="0" collapsed="false">
      <c r="A41" s="298" t="s">
        <v>283</v>
      </c>
      <c r="B41" s="303" t="n">
        <f aca="false">B53</f>
        <v>6.02</v>
      </c>
      <c r="C41" s="204" t="s">
        <v>204</v>
      </c>
      <c r="D41" s="204" t="n">
        <f aca="false">D53</f>
        <v>5.64761146855941</v>
      </c>
      <c r="E41" s="204" t="s">
        <v>204</v>
      </c>
      <c r="F41" s="204" t="s">
        <v>204</v>
      </c>
      <c r="G41" s="204" t="s">
        <v>204</v>
      </c>
      <c r="H41" s="204" t="s">
        <v>204</v>
      </c>
      <c r="I41" s="204" t="s">
        <v>204</v>
      </c>
      <c r="J41" s="204" t="s">
        <v>204</v>
      </c>
      <c r="K41" s="299" t="n">
        <f aca="false">SUM(K42:K53)</f>
        <v>33674.12</v>
      </c>
      <c r="L41" s="299" t="n">
        <f aca="false">SUM(L42:L53)</f>
        <v>48517.849385</v>
      </c>
      <c r="M41" s="299" t="n">
        <f aca="false">M53</f>
        <v>35852.57</v>
      </c>
      <c r="N41" s="300" t="n">
        <v>84.781146</v>
      </c>
      <c r="O41" s="300" t="n">
        <f aca="false">O53</f>
        <v>84.9</v>
      </c>
      <c r="P41" s="301" t="s">
        <v>283</v>
      </c>
    </row>
    <row r="42" s="184" customFormat="true" ht="9.2" hidden="false" customHeight="true" outlineLevel="0" collapsed="false">
      <c r="A42" s="291" t="s">
        <v>214</v>
      </c>
      <c r="B42" s="187" t="n">
        <v>5.62</v>
      </c>
      <c r="C42" s="187" t="s">
        <v>204</v>
      </c>
      <c r="D42" s="187" t="n">
        <v>5.48</v>
      </c>
      <c r="E42" s="187" t="s">
        <v>204</v>
      </c>
      <c r="F42" s="187" t="s">
        <v>204</v>
      </c>
      <c r="G42" s="187" t="s">
        <v>204</v>
      </c>
      <c r="H42" s="187" t="s">
        <v>204</v>
      </c>
      <c r="I42" s="187" t="s">
        <v>204</v>
      </c>
      <c r="J42" s="187" t="s">
        <v>204</v>
      </c>
      <c r="K42" s="186" t="n">
        <v>3887.86</v>
      </c>
      <c r="L42" s="186" t="n">
        <v>4532.5</v>
      </c>
      <c r="M42" s="186" t="n">
        <v>32093.25</v>
      </c>
      <c r="N42" s="292" t="n">
        <v>84.4996</v>
      </c>
      <c r="O42" s="292" t="n">
        <v>84.5</v>
      </c>
      <c r="P42" s="293" t="s">
        <v>214</v>
      </c>
    </row>
    <row r="43" s="184" customFormat="true" ht="9.2" hidden="false" customHeight="true" outlineLevel="0" collapsed="false">
      <c r="A43" s="287" t="s">
        <v>215</v>
      </c>
      <c r="B43" s="193" t="n">
        <v>5.49</v>
      </c>
      <c r="C43" s="193" t="s">
        <v>204</v>
      </c>
      <c r="D43" s="193" t="n">
        <v>5.48</v>
      </c>
      <c r="E43" s="193" t="s">
        <v>204</v>
      </c>
      <c r="F43" s="193" t="s">
        <v>204</v>
      </c>
      <c r="G43" s="193" t="s">
        <v>204</v>
      </c>
      <c r="H43" s="193" t="s">
        <v>204</v>
      </c>
      <c r="I43" s="193" t="s">
        <v>204</v>
      </c>
      <c r="J43" s="193" t="s">
        <v>204</v>
      </c>
      <c r="K43" s="192" t="n">
        <v>2844.31</v>
      </c>
      <c r="L43" s="192" t="n">
        <v>3885.4</v>
      </c>
      <c r="M43" s="192" t="n">
        <v>32775.77</v>
      </c>
      <c r="N43" s="289" t="n">
        <v>84.5</v>
      </c>
      <c r="O43" s="289" t="n">
        <v>84.5</v>
      </c>
      <c r="P43" s="290" t="s">
        <v>215</v>
      </c>
    </row>
    <row r="44" s="184" customFormat="true" ht="9.2" hidden="false" customHeight="true" outlineLevel="0" collapsed="false">
      <c r="A44" s="291" t="s">
        <v>216</v>
      </c>
      <c r="B44" s="187" t="n">
        <v>5.54</v>
      </c>
      <c r="C44" s="187" t="s">
        <v>204</v>
      </c>
      <c r="D44" s="187" t="n">
        <v>5.49</v>
      </c>
      <c r="E44" s="187" t="s">
        <v>204</v>
      </c>
      <c r="F44" s="187" t="s">
        <v>204</v>
      </c>
      <c r="G44" s="187" t="s">
        <v>204</v>
      </c>
      <c r="H44" s="187" t="s">
        <v>204</v>
      </c>
      <c r="I44" s="187" t="s">
        <v>204</v>
      </c>
      <c r="J44" s="187" t="s">
        <v>204</v>
      </c>
      <c r="K44" s="186" t="n">
        <v>2915.85</v>
      </c>
      <c r="L44" s="186" t="n">
        <v>4220.9</v>
      </c>
      <c r="M44" s="186" t="n">
        <v>31831.92</v>
      </c>
      <c r="N44" s="292" t="n">
        <v>84.5</v>
      </c>
      <c r="O44" s="292" t="n">
        <v>84.5</v>
      </c>
      <c r="P44" s="293" t="s">
        <v>216</v>
      </c>
    </row>
    <row r="45" s="184" customFormat="true" ht="9.2" hidden="false" customHeight="true" outlineLevel="0" collapsed="false">
      <c r="A45" s="287" t="s">
        <v>217</v>
      </c>
      <c r="B45" s="193" t="n">
        <v>5.47</v>
      </c>
      <c r="C45" s="193" t="s">
        <v>204</v>
      </c>
      <c r="D45" s="193" t="n">
        <v>5.5</v>
      </c>
      <c r="E45" s="193" t="s">
        <v>204</v>
      </c>
      <c r="F45" s="193" t="s">
        <v>204</v>
      </c>
      <c r="G45" s="193" t="s">
        <v>204</v>
      </c>
      <c r="H45" s="193" t="s">
        <v>204</v>
      </c>
      <c r="I45" s="193" t="s">
        <v>204</v>
      </c>
      <c r="J45" s="193" t="s">
        <v>204</v>
      </c>
      <c r="K45" s="192" t="n">
        <v>3073.23</v>
      </c>
      <c r="L45" s="192" t="n">
        <v>5030.1</v>
      </c>
      <c r="M45" s="192" t="n">
        <v>32437.74</v>
      </c>
      <c r="N45" s="289" t="n">
        <v>84.6732</v>
      </c>
      <c r="O45" s="289" t="n">
        <v>84.75</v>
      </c>
      <c r="P45" s="290" t="s">
        <v>217</v>
      </c>
    </row>
    <row r="46" s="184" customFormat="true" ht="9.2" hidden="false" customHeight="true" outlineLevel="0" collapsed="false">
      <c r="A46" s="291" t="s">
        <v>218</v>
      </c>
      <c r="B46" s="187" t="n">
        <v>6.05</v>
      </c>
      <c r="C46" s="187" t="s">
        <v>204</v>
      </c>
      <c r="D46" s="187" t="n">
        <v>5.55780838673652</v>
      </c>
      <c r="E46" s="187" t="s">
        <v>204</v>
      </c>
      <c r="F46" s="187" t="s">
        <v>204</v>
      </c>
      <c r="G46" s="187" t="s">
        <v>204</v>
      </c>
      <c r="H46" s="187" t="s">
        <v>204</v>
      </c>
      <c r="I46" s="187" t="s">
        <v>204</v>
      </c>
      <c r="J46" s="187" t="s">
        <v>204</v>
      </c>
      <c r="K46" s="186" t="n">
        <v>3055.85</v>
      </c>
      <c r="L46" s="186" t="n">
        <v>3986.6</v>
      </c>
      <c r="M46" s="186" t="n">
        <v>31728.99</v>
      </c>
      <c r="N46" s="292" t="n">
        <v>84.7792</v>
      </c>
      <c r="O46" s="292" t="n">
        <v>84.9</v>
      </c>
      <c r="P46" s="293" t="s">
        <v>218</v>
      </c>
    </row>
    <row r="47" s="184" customFormat="true" ht="9.2" hidden="false" customHeight="true" outlineLevel="0" collapsed="false">
      <c r="A47" s="287" t="s">
        <v>219</v>
      </c>
      <c r="B47" s="193" t="n">
        <v>5.75</v>
      </c>
      <c r="C47" s="193" t="s">
        <v>204</v>
      </c>
      <c r="D47" s="193" t="n">
        <v>5.59</v>
      </c>
      <c r="E47" s="193" t="s">
        <v>204</v>
      </c>
      <c r="F47" s="193" t="s">
        <v>204</v>
      </c>
      <c r="G47" s="193" t="s">
        <v>204</v>
      </c>
      <c r="H47" s="193" t="s">
        <v>204</v>
      </c>
      <c r="I47" s="193" t="s">
        <v>204</v>
      </c>
      <c r="J47" s="193" t="s">
        <v>204</v>
      </c>
      <c r="K47" s="192" t="n">
        <v>3525.09</v>
      </c>
      <c r="L47" s="192" t="n">
        <v>4647</v>
      </c>
      <c r="M47" s="192" t="n">
        <v>32689.18</v>
      </c>
      <c r="N47" s="289" t="n">
        <v>84.899</v>
      </c>
      <c r="O47" s="289" t="n">
        <v>84.9</v>
      </c>
      <c r="P47" s="290" t="s">
        <v>219</v>
      </c>
    </row>
    <row r="48" s="184" customFormat="true" ht="9.2" hidden="false" customHeight="true" outlineLevel="0" collapsed="false">
      <c r="A48" s="291" t="s">
        <v>220</v>
      </c>
      <c r="B48" s="187" t="n">
        <v>5.57</v>
      </c>
      <c r="C48" s="187" t="s">
        <v>204</v>
      </c>
      <c r="D48" s="187" t="n">
        <v>5.6024614092749</v>
      </c>
      <c r="E48" s="187" t="s">
        <v>204</v>
      </c>
      <c r="F48" s="187" t="s">
        <v>204</v>
      </c>
      <c r="G48" s="187" t="s">
        <v>204</v>
      </c>
      <c r="H48" s="187" t="s">
        <v>204</v>
      </c>
      <c r="I48" s="187" t="s">
        <v>204</v>
      </c>
      <c r="J48" s="187" t="s">
        <v>204</v>
      </c>
      <c r="K48" s="186" t="n">
        <v>3617.31</v>
      </c>
      <c r="L48" s="186" t="n">
        <v>4712.009385</v>
      </c>
      <c r="M48" s="186" t="n">
        <v>32381.47</v>
      </c>
      <c r="N48" s="292" t="n">
        <v>84.9</v>
      </c>
      <c r="O48" s="292" t="n">
        <v>84.9</v>
      </c>
      <c r="P48" s="293" t="s">
        <v>220</v>
      </c>
    </row>
    <row r="49" s="184" customFormat="true" ht="9.2" hidden="false" customHeight="true" outlineLevel="0" collapsed="false">
      <c r="A49" s="287" t="s">
        <v>221</v>
      </c>
      <c r="B49" s="193" t="n">
        <v>5.46</v>
      </c>
      <c r="C49" s="193" t="s">
        <v>204</v>
      </c>
      <c r="D49" s="193" t="n">
        <v>5.6024614092749</v>
      </c>
      <c r="E49" s="193" t="s">
        <v>204</v>
      </c>
      <c r="F49" s="193" t="s">
        <v>204</v>
      </c>
      <c r="G49" s="193" t="s">
        <v>204</v>
      </c>
      <c r="H49" s="193" t="s">
        <v>204</v>
      </c>
      <c r="I49" s="193" t="s">
        <v>204</v>
      </c>
      <c r="J49" s="193" t="s">
        <v>204</v>
      </c>
      <c r="K49" s="192" t="n">
        <v>3322.36</v>
      </c>
      <c r="L49" s="192" t="n">
        <v>4419.2</v>
      </c>
      <c r="M49" s="192" t="n">
        <v>32803.21</v>
      </c>
      <c r="N49" s="289" t="n">
        <v>84.9497</v>
      </c>
      <c r="O49" s="289" t="n">
        <v>84.95</v>
      </c>
      <c r="P49" s="290" t="s">
        <v>221</v>
      </c>
    </row>
    <row r="50" s="184" customFormat="true" ht="9.2" hidden="false" customHeight="true" outlineLevel="0" collapsed="false">
      <c r="A50" s="291" t="s">
        <v>222</v>
      </c>
      <c r="B50" s="187" t="n">
        <v>5.48</v>
      </c>
      <c r="C50" s="187" t="s">
        <v>204</v>
      </c>
      <c r="D50" s="187" t="n">
        <v>5.59615472528621</v>
      </c>
      <c r="E50" s="187" t="s">
        <v>204</v>
      </c>
      <c r="F50" s="187" t="s">
        <v>204</v>
      </c>
      <c r="G50" s="187" t="s">
        <v>204</v>
      </c>
      <c r="H50" s="187" t="s">
        <v>204</v>
      </c>
      <c r="I50" s="187" t="s">
        <v>204</v>
      </c>
      <c r="J50" s="187" t="s">
        <v>204</v>
      </c>
      <c r="K50" s="186" t="n">
        <v>2732</v>
      </c>
      <c r="L50" s="186" t="n">
        <v>4121.2</v>
      </c>
      <c r="M50" s="186" t="n">
        <v>32388.53</v>
      </c>
      <c r="N50" s="292" t="n">
        <v>84.95</v>
      </c>
      <c r="O50" s="292" t="n">
        <v>84.95</v>
      </c>
      <c r="P50" s="293" t="s">
        <v>222</v>
      </c>
    </row>
    <row r="51" s="184" customFormat="true" ht="9.2" hidden="false" customHeight="true" outlineLevel="0" collapsed="false">
      <c r="A51" s="287" t="s">
        <v>223</v>
      </c>
      <c r="B51" s="193" t="n">
        <v>5.96</v>
      </c>
      <c r="C51" s="193" t="s">
        <v>204</v>
      </c>
      <c r="D51" s="193" t="n">
        <v>5.63</v>
      </c>
      <c r="E51" s="193" t="s">
        <v>204</v>
      </c>
      <c r="F51" s="193" t="s">
        <v>204</v>
      </c>
      <c r="G51" s="193" t="s">
        <v>204</v>
      </c>
      <c r="H51" s="193" t="s">
        <v>204</v>
      </c>
      <c r="I51" s="193" t="s">
        <v>204</v>
      </c>
      <c r="J51" s="193" t="s">
        <v>204</v>
      </c>
      <c r="K51" s="192" t="n">
        <v>520.01</v>
      </c>
      <c r="L51" s="192" t="n">
        <v>2489.8</v>
      </c>
      <c r="M51" s="192" t="n">
        <v>32928.19</v>
      </c>
      <c r="N51" s="289" t="n">
        <v>84.95</v>
      </c>
      <c r="O51" s="289" t="n">
        <v>84.95</v>
      </c>
      <c r="P51" s="290" t="s">
        <v>223</v>
      </c>
    </row>
    <row r="52" s="184" customFormat="true" ht="9.2" hidden="false" customHeight="true" outlineLevel="0" collapsed="false">
      <c r="A52" s="304" t="s">
        <v>224</v>
      </c>
      <c r="B52" s="187" t="n">
        <v>5.35</v>
      </c>
      <c r="C52" s="187" t="s">
        <v>204</v>
      </c>
      <c r="D52" s="187" t="n">
        <v>5.60584045537949</v>
      </c>
      <c r="E52" s="187" t="s">
        <v>204</v>
      </c>
      <c r="F52" s="187" t="s">
        <v>204</v>
      </c>
      <c r="G52" s="187" t="s">
        <v>204</v>
      </c>
      <c r="H52" s="187" t="s">
        <v>204</v>
      </c>
      <c r="I52" s="187" t="s">
        <v>204</v>
      </c>
      <c r="J52" s="187" t="s">
        <v>204</v>
      </c>
      <c r="K52" s="217" t="n">
        <v>1465.3</v>
      </c>
      <c r="L52" s="186" t="n">
        <v>2532.15</v>
      </c>
      <c r="M52" s="186" t="n">
        <v>33225.93</v>
      </c>
      <c r="N52" s="292" t="n">
        <v>84.95</v>
      </c>
      <c r="O52" s="292" t="n">
        <v>84.95</v>
      </c>
      <c r="P52" s="293" t="s">
        <v>224</v>
      </c>
    </row>
    <row r="53" s="184" customFormat="true" ht="9.2" hidden="false" customHeight="true" outlineLevel="0" collapsed="false">
      <c r="A53" s="305" t="s">
        <v>225</v>
      </c>
      <c r="B53" s="193" t="n">
        <v>6.02</v>
      </c>
      <c r="C53" s="193" t="s">
        <v>204</v>
      </c>
      <c r="D53" s="193" t="n">
        <v>5.64761146855941</v>
      </c>
      <c r="E53" s="193" t="s">
        <v>204</v>
      </c>
      <c r="F53" s="193" t="s">
        <v>204</v>
      </c>
      <c r="G53" s="193" t="s">
        <v>204</v>
      </c>
      <c r="H53" s="193" t="s">
        <v>204</v>
      </c>
      <c r="I53" s="193" t="s">
        <v>204</v>
      </c>
      <c r="J53" s="193" t="s">
        <v>204</v>
      </c>
      <c r="K53" s="216" t="n">
        <v>2714.95</v>
      </c>
      <c r="L53" s="192" t="n">
        <v>3940.99</v>
      </c>
      <c r="M53" s="192" t="n">
        <v>35852.57</v>
      </c>
      <c r="N53" s="289" t="n">
        <v>84.9191</v>
      </c>
      <c r="O53" s="289" t="n">
        <v>84.9</v>
      </c>
      <c r="P53" s="290" t="s">
        <v>225</v>
      </c>
    </row>
    <row r="54" s="184" customFormat="true" ht="9.2" hidden="false" customHeight="true" outlineLevel="0" collapsed="false">
      <c r="A54" s="294" t="s">
        <v>284</v>
      </c>
      <c r="B54" s="187"/>
      <c r="C54" s="187"/>
      <c r="D54" s="187"/>
      <c r="E54" s="187"/>
      <c r="F54" s="187"/>
      <c r="G54" s="187"/>
      <c r="H54" s="187"/>
      <c r="I54" s="187"/>
      <c r="J54" s="187"/>
      <c r="K54" s="217"/>
      <c r="L54" s="186"/>
      <c r="M54" s="186"/>
      <c r="N54" s="292"/>
      <c r="O54" s="292"/>
      <c r="P54" s="306" t="s">
        <v>284</v>
      </c>
    </row>
    <row r="55" s="184" customFormat="true" ht="9.2" hidden="false" customHeight="true" outlineLevel="0" collapsed="false">
      <c r="A55" s="307" t="s">
        <v>214</v>
      </c>
      <c r="B55" s="308" t="n">
        <v>5.53</v>
      </c>
      <c r="C55" s="308" t="s">
        <v>204</v>
      </c>
      <c r="D55" s="308" t="n">
        <v>5.64</v>
      </c>
      <c r="E55" s="308" t="s">
        <v>204</v>
      </c>
      <c r="F55" s="308" t="s">
        <v>204</v>
      </c>
      <c r="G55" s="308" t="s">
        <v>204</v>
      </c>
      <c r="H55" s="308" t="s">
        <v>204</v>
      </c>
      <c r="I55" s="308" t="s">
        <v>204</v>
      </c>
      <c r="J55" s="308" t="s">
        <v>204</v>
      </c>
      <c r="K55" s="309" t="n">
        <v>3910.92</v>
      </c>
      <c r="L55" s="310" t="s">
        <v>204</v>
      </c>
      <c r="M55" s="310" t="n">
        <v>37099.81</v>
      </c>
      <c r="N55" s="311" t="n">
        <v>84.8</v>
      </c>
      <c r="O55" s="311" t="n">
        <v>84.8062</v>
      </c>
      <c r="P55" s="312" t="s">
        <v>214</v>
      </c>
    </row>
    <row r="56" s="313" customFormat="true" ht="11.1" hidden="false" customHeight="true" outlineLevel="0" collapsed="false">
      <c r="A56" s="291"/>
      <c r="B56" s="187"/>
      <c r="C56" s="187"/>
      <c r="D56" s="187"/>
      <c r="E56" s="187"/>
      <c r="F56" s="187"/>
      <c r="G56" s="187"/>
      <c r="H56" s="187"/>
      <c r="I56" s="187"/>
      <c r="J56" s="187"/>
      <c r="K56" s="186"/>
      <c r="L56" s="186"/>
      <c r="N56" s="186"/>
      <c r="O56" s="292"/>
      <c r="P56" s="293"/>
      <c r="Q56" s="314"/>
    </row>
    <row r="57" s="319" customFormat="true" ht="9.95" hidden="false" customHeight="true" outlineLevel="0" collapsed="false">
      <c r="A57" s="315" t="s">
        <v>285</v>
      </c>
      <c r="B57" s="316" t="s">
        <v>286</v>
      </c>
      <c r="C57" s="316"/>
      <c r="D57" s="316"/>
      <c r="E57" s="316"/>
      <c r="F57" s="316"/>
      <c r="G57" s="314"/>
      <c r="H57" s="314"/>
      <c r="I57" s="314"/>
      <c r="J57" s="314"/>
      <c r="K57" s="317" t="s">
        <v>287</v>
      </c>
      <c r="L57" s="316" t="s">
        <v>288</v>
      </c>
      <c r="M57" s="316"/>
      <c r="N57" s="316"/>
      <c r="O57" s="316"/>
      <c r="P57" s="316"/>
      <c r="Q57" s="318"/>
    </row>
    <row r="58" s="319" customFormat="true" ht="9.95" hidden="false" customHeight="true" outlineLevel="0" collapsed="false">
      <c r="B58" s="320" t="s">
        <v>289</v>
      </c>
      <c r="C58" s="320"/>
      <c r="D58" s="320"/>
      <c r="E58" s="320"/>
      <c r="F58" s="320"/>
      <c r="G58" s="320"/>
      <c r="H58" s="320"/>
      <c r="I58" s="320"/>
      <c r="J58" s="318"/>
      <c r="K58" s="321"/>
      <c r="L58" s="316" t="s">
        <v>290</v>
      </c>
      <c r="M58" s="316"/>
      <c r="N58" s="316"/>
      <c r="O58" s="316"/>
      <c r="P58" s="322"/>
      <c r="Q58" s="318"/>
    </row>
    <row r="59" s="319" customFormat="true" ht="9.95" hidden="false" customHeight="true" outlineLevel="0" collapsed="false">
      <c r="B59" s="323" t="s">
        <v>291</v>
      </c>
      <c r="C59" s="323"/>
      <c r="D59" s="323"/>
      <c r="E59" s="323"/>
      <c r="F59" s="323"/>
      <c r="G59" s="323"/>
      <c r="H59" s="324"/>
      <c r="I59" s="324"/>
      <c r="J59" s="325"/>
      <c r="K59" s="326"/>
      <c r="L59" s="324" t="s">
        <v>292</v>
      </c>
      <c r="M59" s="324"/>
      <c r="N59" s="324"/>
      <c r="O59" s="324"/>
      <c r="P59" s="324"/>
    </row>
    <row r="60" s="319" customFormat="true" ht="9.95" hidden="false" customHeight="true" outlineLevel="0" collapsed="false">
      <c r="B60" s="327" t="s">
        <v>293</v>
      </c>
      <c r="C60" s="327"/>
      <c r="D60" s="327"/>
      <c r="E60" s="327"/>
      <c r="F60" s="327"/>
      <c r="G60" s="327"/>
      <c r="H60" s="327"/>
      <c r="I60" s="327"/>
      <c r="J60" s="324"/>
      <c r="K60" s="321"/>
      <c r="L60" s="324" t="s">
        <v>294</v>
      </c>
      <c r="M60" s="324"/>
      <c r="N60" s="324"/>
      <c r="O60" s="324"/>
      <c r="P60" s="318"/>
    </row>
    <row r="61" s="319" customFormat="true" ht="9.95" hidden="false" customHeight="true" outlineLevel="0" collapsed="false">
      <c r="A61" s="328"/>
      <c r="B61" s="318" t="s">
        <v>295</v>
      </c>
      <c r="C61" s="318"/>
      <c r="D61" s="318"/>
      <c r="E61" s="318"/>
      <c r="F61" s="318"/>
      <c r="H61" s="329"/>
      <c r="K61" s="330" t="s">
        <v>296</v>
      </c>
      <c r="L61" s="331" t="s">
        <v>297</v>
      </c>
      <c r="M61" s="331"/>
      <c r="N61" s="331"/>
      <c r="P61" s="314"/>
      <c r="Q61" s="318"/>
    </row>
    <row r="62" s="319" customFormat="true" ht="9.95" hidden="false" customHeight="true" outlineLevel="0" collapsed="false">
      <c r="A62" s="328" t="s">
        <v>298</v>
      </c>
      <c r="B62" s="324" t="s">
        <v>299</v>
      </c>
      <c r="C62" s="324"/>
      <c r="D62" s="318"/>
      <c r="E62" s="319" t="s">
        <v>300</v>
      </c>
      <c r="F62" s="318"/>
      <c r="K62" s="324" t="s">
        <v>301</v>
      </c>
      <c r="L62" s="332" t="s">
        <v>302</v>
      </c>
      <c r="M62" s="332"/>
      <c r="N62" s="332"/>
      <c r="O62" s="332"/>
      <c r="P62" s="332"/>
      <c r="Q62" s="318"/>
    </row>
    <row r="63" s="319" customFormat="true" ht="12.75" hidden="false" customHeight="true" outlineLevel="0" collapsed="false">
      <c r="B63" s="107"/>
      <c r="K63" s="325"/>
      <c r="L63" s="333"/>
    </row>
    <row r="64" customFormat="false" ht="13.5" hidden="false" customHeight="true" outlineLevel="0" collapsed="false">
      <c r="A64" s="319"/>
      <c r="C64" s="319"/>
      <c r="D64" s="319"/>
      <c r="E64" s="319"/>
      <c r="F64" s="319"/>
      <c r="G64" s="319"/>
      <c r="H64" s="319"/>
      <c r="I64" s="329"/>
      <c r="J64" s="319"/>
      <c r="K64" s="334"/>
      <c r="L64" s="335"/>
      <c r="M64" s="319"/>
      <c r="N64" s="319"/>
      <c r="O64" s="319"/>
      <c r="P64" s="319"/>
    </row>
    <row r="65" customFormat="false" ht="12.75" hidden="false" customHeight="false" outlineLevel="0" collapsed="false">
      <c r="C65" s="254"/>
      <c r="D65" s="221"/>
      <c r="E65" s="254"/>
      <c r="F65" s="221"/>
      <c r="G65" s="221"/>
      <c r="H65" s="221"/>
      <c r="I65" s="221"/>
      <c r="J65" s="221"/>
      <c r="K65" s="334"/>
      <c r="L65" s="258"/>
      <c r="M65" s="336"/>
      <c r="N65" s="253"/>
      <c r="O65" s="221"/>
      <c r="P65" s="221"/>
    </row>
    <row r="66" customFormat="false" ht="12.75" hidden="false" customHeight="false" outlineLevel="0" collapsed="false">
      <c r="C66" s="254"/>
      <c r="D66" s="221"/>
      <c r="E66" s="254"/>
      <c r="F66" s="221"/>
      <c r="G66" s="221"/>
      <c r="H66" s="221"/>
      <c r="I66" s="221"/>
      <c r="J66" s="221"/>
      <c r="K66" s="337"/>
      <c r="L66" s="338"/>
      <c r="M66" s="339"/>
      <c r="N66" s="253"/>
      <c r="O66" s="221"/>
      <c r="P66" s="221"/>
    </row>
    <row r="67" customFormat="false" ht="11.25" hidden="false" customHeight="false" outlineLevel="0" collapsed="false">
      <c r="C67" s="254"/>
      <c r="D67" s="221"/>
      <c r="E67" s="254"/>
      <c r="F67" s="221"/>
      <c r="G67" s="221"/>
      <c r="H67" s="221"/>
      <c r="I67" s="221"/>
      <c r="J67" s="221"/>
      <c r="K67" s="254"/>
      <c r="L67" s="221"/>
      <c r="M67" s="340"/>
      <c r="N67" s="253"/>
      <c r="O67" s="221"/>
      <c r="P67" s="221"/>
    </row>
    <row r="68" customFormat="false" ht="11.25" hidden="false" customHeight="false" outlineLevel="0" collapsed="false">
      <c r="C68" s="254"/>
      <c r="D68" s="221"/>
      <c r="E68" s="254"/>
      <c r="F68" s="221"/>
      <c r="G68" s="253"/>
      <c r="H68" s="253"/>
      <c r="I68" s="253"/>
      <c r="J68" s="253"/>
      <c r="K68" s="341"/>
      <c r="L68" s="254"/>
      <c r="M68" s="254"/>
      <c r="N68" s="253"/>
      <c r="O68" s="253"/>
      <c r="P68" s="221"/>
    </row>
    <row r="69" customFormat="false" ht="11.25" hidden="false" customHeight="false" outlineLevel="0" collapsed="false">
      <c r="C69" s="254"/>
      <c r="D69" s="221"/>
      <c r="E69" s="254"/>
      <c r="F69" s="221"/>
      <c r="G69" s="221"/>
      <c r="H69" s="221"/>
      <c r="I69" s="221"/>
      <c r="J69" s="280"/>
      <c r="K69" s="159"/>
      <c r="L69" s="254"/>
      <c r="M69" s="254"/>
      <c r="N69" s="253"/>
      <c r="O69" s="221"/>
      <c r="P69" s="221"/>
    </row>
    <row r="70" customFormat="false" ht="11.25" hidden="false" customHeight="false" outlineLevel="0" collapsed="false">
      <c r="C70" s="254"/>
      <c r="D70" s="221"/>
      <c r="E70" s="254"/>
      <c r="F70" s="221"/>
      <c r="G70" s="221"/>
      <c r="H70" s="221"/>
      <c r="I70" s="221"/>
      <c r="J70" s="221"/>
      <c r="K70" s="155"/>
      <c r="L70" s="221"/>
      <c r="M70" s="221"/>
      <c r="N70" s="253"/>
      <c r="O70" s="221"/>
      <c r="P70" s="221"/>
    </row>
    <row r="71" customFormat="false" ht="11.25" hidden="false" customHeight="false" outlineLevel="0" collapsed="false">
      <c r="C71" s="254"/>
      <c r="D71" s="221"/>
      <c r="E71" s="254"/>
      <c r="F71" s="221"/>
      <c r="G71" s="221"/>
      <c r="H71" s="221"/>
      <c r="I71" s="221"/>
      <c r="J71" s="221"/>
      <c r="K71" s="155"/>
      <c r="L71" s="254"/>
      <c r="M71" s="221"/>
      <c r="N71" s="253"/>
      <c r="O71" s="221"/>
      <c r="P71" s="221"/>
    </row>
    <row r="72" customFormat="false" ht="11.25" hidden="false" customHeight="false" outlineLevel="0" collapsed="false">
      <c r="C72" s="254"/>
      <c r="D72" s="221"/>
      <c r="E72" s="254"/>
      <c r="F72" s="221"/>
      <c r="G72" s="221"/>
      <c r="H72" s="221"/>
      <c r="I72" s="221"/>
      <c r="J72" s="221"/>
      <c r="K72" s="253"/>
      <c r="L72" s="221"/>
      <c r="M72" s="221"/>
      <c r="N72" s="253"/>
      <c r="O72" s="221"/>
      <c r="P72" s="221"/>
    </row>
    <row r="73" customFormat="false" ht="11.25" hidden="false" customHeight="false" outlineLevel="0" collapsed="false">
      <c r="C73" s="221"/>
      <c r="D73" s="221"/>
      <c r="E73" s="221"/>
      <c r="F73" s="221"/>
      <c r="G73" s="221"/>
      <c r="H73" s="221"/>
      <c r="I73" s="221"/>
      <c r="J73" s="221"/>
      <c r="K73" s="155"/>
      <c r="L73" s="221"/>
      <c r="M73" s="221"/>
      <c r="N73" s="253"/>
      <c r="O73" s="221"/>
      <c r="P73" s="221"/>
    </row>
    <row r="74" customFormat="false" ht="11.25" hidden="false" customHeight="false" outlineLevel="0" collapsed="false">
      <c r="C74" s="221"/>
      <c r="D74" s="221"/>
      <c r="E74" s="221"/>
      <c r="F74" s="221"/>
      <c r="G74" s="221"/>
      <c r="H74" s="221"/>
      <c r="I74" s="221"/>
      <c r="J74" s="221"/>
      <c r="K74" s="155"/>
      <c r="L74" s="221"/>
      <c r="M74" s="221"/>
      <c r="N74" s="253"/>
      <c r="O74" s="221"/>
      <c r="P74" s="221"/>
    </row>
    <row r="75" customFormat="false" ht="11.25" hidden="false" customHeight="false" outlineLevel="0" collapsed="false">
      <c r="K75" s="154"/>
      <c r="N75" s="253"/>
    </row>
    <row r="76" customFormat="false" ht="11.25" hidden="false" customHeight="false" outlineLevel="0" collapsed="false">
      <c r="K76" s="155"/>
      <c r="N76" s="253"/>
    </row>
    <row r="77" customFormat="false" ht="11.25" hidden="false" customHeight="false" outlineLevel="0" collapsed="false">
      <c r="K77" s="155"/>
    </row>
    <row r="78" customFormat="false" ht="11.25" hidden="false" customHeight="false" outlineLevel="0" collapsed="false">
      <c r="K78" s="155"/>
    </row>
    <row r="79" customFormat="false" ht="11.25" hidden="false" customHeight="false" outlineLevel="0" collapsed="false">
      <c r="K79" s="155"/>
    </row>
  </sheetData>
  <mergeCells count="37">
    <mergeCell ref="A1:F1"/>
    <mergeCell ref="G1:J1"/>
    <mergeCell ref="O1:P1"/>
    <mergeCell ref="F2:J2"/>
    <mergeCell ref="O2:P2"/>
    <mergeCell ref="A3:A7"/>
    <mergeCell ref="B3:E4"/>
    <mergeCell ref="F3:J3"/>
    <mergeCell ref="K3:M3"/>
    <mergeCell ref="N3:O3"/>
    <mergeCell ref="P3:P7"/>
    <mergeCell ref="F4:G4"/>
    <mergeCell ref="H4:J4"/>
    <mergeCell ref="K4:L4"/>
    <mergeCell ref="M4:M6"/>
    <mergeCell ref="N4:O4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N5:N6"/>
    <mergeCell ref="O5:O6"/>
    <mergeCell ref="B57:F57"/>
    <mergeCell ref="L57:P57"/>
    <mergeCell ref="B58:I58"/>
    <mergeCell ref="L58:O58"/>
    <mergeCell ref="L59:P59"/>
    <mergeCell ref="L60:O60"/>
    <mergeCell ref="B62:C62"/>
    <mergeCell ref="L62:P62"/>
  </mergeCells>
  <printOptions headings="false" gridLines="false" gridLinesSet="true" horizontalCentered="false" verticalCentered="false"/>
  <pageMargins left="0.433333333333333" right="0.236111111111111" top="0.511805555555555" bottom="0.5125" header="0.511805555555555" footer="0.183333333333333"/>
  <pageSetup paperSize="1" scale="100" firstPageNumber="10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>&amp;C&amp;"Times New Roman,Regular"&amp;8&amp;P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K29" activeCellId="0" sqref="K29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7.57"/>
    <col collapsed="false" customWidth="true" hidden="false" outlineLevel="0" max="7" min="7" style="0" width="9.42"/>
    <col collapsed="false" customWidth="true" hidden="false" outlineLevel="0" max="8" min="8" style="0" width="7.57"/>
  </cols>
  <sheetData>
    <row r="1" customFormat="false" ht="12.75" hidden="false" customHeight="false" outlineLevel="0" collapsed="false">
      <c r="A1" s="934" t="s">
        <v>2709</v>
      </c>
      <c r="B1" s="934"/>
      <c r="C1" s="934"/>
      <c r="D1" s="934"/>
      <c r="E1" s="934"/>
      <c r="F1" s="934"/>
      <c r="G1" s="934"/>
      <c r="H1" s="1678"/>
      <c r="I1" s="1679" t="s">
        <v>2710</v>
      </c>
    </row>
    <row r="2" customFormat="false" ht="15.75" hidden="false" customHeight="false" outlineLevel="0" collapsed="false">
      <c r="A2" s="739"/>
      <c r="B2" s="739"/>
      <c r="C2" s="1680"/>
      <c r="D2" s="1680"/>
      <c r="E2" s="1680"/>
      <c r="F2" s="1680"/>
      <c r="G2" s="1681" t="s">
        <v>2711</v>
      </c>
      <c r="H2" s="1681"/>
      <c r="I2" s="1681"/>
    </row>
    <row r="3" customFormat="false" ht="45" hidden="false" customHeight="true" outlineLevel="0" collapsed="false">
      <c r="A3" s="758" t="s">
        <v>260</v>
      </c>
      <c r="B3" s="758"/>
      <c r="C3" s="758" t="s">
        <v>2712</v>
      </c>
      <c r="D3" s="758" t="s">
        <v>2713</v>
      </c>
      <c r="E3" s="758" t="s">
        <v>2714</v>
      </c>
      <c r="F3" s="758" t="s">
        <v>2715</v>
      </c>
      <c r="G3" s="1682" t="s">
        <v>2716</v>
      </c>
      <c r="H3" s="1682" t="s">
        <v>2717</v>
      </c>
      <c r="I3" s="1682" t="s">
        <v>2718</v>
      </c>
    </row>
    <row r="4" customFormat="false" ht="12.75" hidden="false" customHeight="false" outlineLevel="0" collapsed="false">
      <c r="A4" s="1683" t="s">
        <v>2719</v>
      </c>
      <c r="B4" s="1683"/>
      <c r="C4" s="1684"/>
      <c r="D4" s="1684"/>
      <c r="E4" s="1684"/>
      <c r="F4" s="1684"/>
      <c r="G4" s="1685"/>
      <c r="H4" s="1685"/>
      <c r="I4" s="1684"/>
    </row>
    <row r="5" customFormat="false" ht="12.75" hidden="false" customHeight="false" outlineLevel="0" collapsed="false">
      <c r="A5" s="1686" t="s">
        <v>484</v>
      </c>
      <c r="B5" s="1687" t="s">
        <v>2720</v>
      </c>
      <c r="C5" s="1688" t="s">
        <v>2721</v>
      </c>
      <c r="D5" s="1688" t="s">
        <v>2721</v>
      </c>
      <c r="E5" s="1688" t="s">
        <v>2721</v>
      </c>
      <c r="F5" s="1688" t="s">
        <v>2721</v>
      </c>
      <c r="G5" s="1689" t="s">
        <v>2721</v>
      </c>
      <c r="H5" s="1689" t="s">
        <v>2721</v>
      </c>
      <c r="I5" s="1689" t="s">
        <v>2721</v>
      </c>
      <c r="L5" s="738"/>
      <c r="N5" s="738"/>
      <c r="O5" s="738"/>
      <c r="P5" s="738"/>
      <c r="Q5" s="738"/>
      <c r="R5" s="738"/>
      <c r="S5" s="738"/>
      <c r="T5" s="738"/>
      <c r="U5" s="738"/>
    </row>
    <row r="6" customFormat="false" ht="12.75" hidden="false" customHeight="false" outlineLevel="0" collapsed="false">
      <c r="A6" s="1686"/>
      <c r="B6" s="1690" t="s">
        <v>2722</v>
      </c>
      <c r="C6" s="1691" t="n">
        <v>9747</v>
      </c>
      <c r="D6" s="1691" t="n">
        <v>13599</v>
      </c>
      <c r="E6" s="1691" t="n">
        <v>97650.92</v>
      </c>
      <c r="F6" s="1691" t="n">
        <v>849.62</v>
      </c>
      <c r="G6" s="1692" t="n">
        <v>31957.74</v>
      </c>
      <c r="H6" s="1691" t="n">
        <v>5.68</v>
      </c>
      <c r="I6" s="1691" t="n">
        <v>83.75</v>
      </c>
      <c r="L6" s="738"/>
      <c r="N6" s="738"/>
      <c r="O6" s="738"/>
      <c r="P6" s="738"/>
      <c r="Q6" s="738"/>
      <c r="R6" s="738"/>
      <c r="S6" s="738"/>
      <c r="T6" s="738"/>
      <c r="U6" s="738"/>
    </row>
    <row r="7" customFormat="false" ht="12.75" hidden="false" customHeight="false" outlineLevel="0" collapsed="false">
      <c r="A7" s="1686"/>
      <c r="B7" s="1687" t="s">
        <v>2697</v>
      </c>
      <c r="C7" s="1688" t="n">
        <v>215.85</v>
      </c>
      <c r="D7" s="1688" t="n">
        <v>244.44</v>
      </c>
      <c r="E7" s="1688" t="n">
        <v>1569.64</v>
      </c>
      <c r="F7" s="1688" t="n">
        <v>0.6</v>
      </c>
      <c r="G7" s="1688" t="n">
        <v>1164.03</v>
      </c>
      <c r="H7" s="1688" t="n">
        <v>3.09</v>
      </c>
      <c r="I7" s="1688" t="n">
        <v>72.3</v>
      </c>
      <c r="L7" s="738"/>
      <c r="N7" s="738"/>
      <c r="O7" s="738"/>
      <c r="P7" s="738"/>
      <c r="Q7" s="738"/>
      <c r="R7" s="738"/>
      <c r="S7" s="738"/>
      <c r="T7" s="738"/>
      <c r="U7" s="738"/>
    </row>
    <row r="8" customFormat="false" ht="12.75" hidden="false" customHeight="false" outlineLevel="0" collapsed="false">
      <c r="A8" s="1686"/>
      <c r="B8" s="1690" t="s">
        <v>2698</v>
      </c>
      <c r="C8" s="1691" t="n">
        <v>81487.2</v>
      </c>
      <c r="D8" s="1691" t="n">
        <v>132931.23</v>
      </c>
      <c r="E8" s="1691" t="n">
        <v>372397.77</v>
      </c>
      <c r="F8" s="1691" t="n">
        <v>7410.33</v>
      </c>
      <c r="G8" s="1691" t="n">
        <v>400525.1</v>
      </c>
      <c r="H8" s="1691" t="n">
        <v>3.85</v>
      </c>
      <c r="I8" s="1691" t="n">
        <v>70.3</v>
      </c>
      <c r="L8" s="738"/>
      <c r="N8" s="738"/>
      <c r="O8" s="738"/>
      <c r="P8" s="738"/>
      <c r="Q8" s="738"/>
      <c r="R8" s="738"/>
      <c r="S8" s="738"/>
      <c r="T8" s="738"/>
      <c r="U8" s="738"/>
    </row>
    <row r="9" customFormat="false" ht="12.75" hidden="false" customHeight="false" outlineLevel="0" collapsed="false">
      <c r="A9" s="1686"/>
      <c r="B9" s="1687" t="s">
        <v>2699</v>
      </c>
      <c r="C9" s="1688" t="n">
        <v>74.57</v>
      </c>
      <c r="D9" s="1688" t="n">
        <v>754.64</v>
      </c>
      <c r="E9" s="1688" t="n">
        <v>205.86</v>
      </c>
      <c r="F9" s="1688" t="s">
        <v>2721</v>
      </c>
      <c r="G9" s="1688" t="n">
        <v>564.74</v>
      </c>
      <c r="H9" s="1688" t="n">
        <v>0.13</v>
      </c>
      <c r="I9" s="1688" t="n">
        <v>15.41</v>
      </c>
      <c r="L9" s="738"/>
      <c r="N9" s="738"/>
      <c r="O9" s="738"/>
      <c r="P9" s="738"/>
      <c r="Q9" s="738"/>
      <c r="R9" s="738"/>
      <c r="S9" s="738"/>
      <c r="T9" s="738"/>
      <c r="U9" s="738"/>
    </row>
    <row r="10" customFormat="false" ht="12.75" hidden="false" customHeight="false" outlineLevel="0" collapsed="false">
      <c r="A10" s="1686"/>
      <c r="B10" s="1690" t="s">
        <v>2700</v>
      </c>
      <c r="C10" s="1691" t="n">
        <v>208.55</v>
      </c>
      <c r="D10" s="1691" t="n">
        <v>3284.35</v>
      </c>
      <c r="E10" s="1691" t="n">
        <v>4322.59</v>
      </c>
      <c r="F10" s="1691" t="s">
        <v>2721</v>
      </c>
      <c r="G10" s="1691" t="n">
        <v>10019.96</v>
      </c>
      <c r="H10" s="1691" t="s">
        <v>2721</v>
      </c>
      <c r="I10" s="1691" t="s">
        <v>2721</v>
      </c>
      <c r="L10" s="738"/>
      <c r="N10" s="738"/>
      <c r="O10" s="738"/>
      <c r="P10" s="738"/>
      <c r="Q10" s="738"/>
      <c r="R10" s="738"/>
      <c r="S10" s="738"/>
      <c r="T10" s="738"/>
      <c r="U10" s="738"/>
    </row>
    <row r="11" customFormat="false" ht="12.75" hidden="false" customHeight="false" outlineLevel="0" collapsed="false">
      <c r="A11" s="1686"/>
      <c r="B11" s="1687" t="s">
        <v>2701</v>
      </c>
      <c r="C11" s="1688" t="n">
        <v>5373.93</v>
      </c>
      <c r="D11" s="1688" t="n">
        <v>14164.8</v>
      </c>
      <c r="E11" s="1688" t="n">
        <v>56801.94</v>
      </c>
      <c r="F11" s="1688" t="n">
        <v>387.08</v>
      </c>
      <c r="G11" s="1688" t="n">
        <v>8408.7</v>
      </c>
      <c r="H11" s="1688" t="n">
        <v>5.14</v>
      </c>
      <c r="I11" s="1688" t="n">
        <v>124.07</v>
      </c>
      <c r="L11" s="738"/>
      <c r="N11" s="738"/>
      <c r="O11" s="738"/>
      <c r="P11" s="738"/>
      <c r="Q11" s="738"/>
      <c r="R11" s="738"/>
      <c r="S11" s="738"/>
      <c r="T11" s="738"/>
      <c r="U11" s="738"/>
    </row>
    <row r="12" customFormat="false" ht="12.75" hidden="false" customHeight="false" outlineLevel="0" collapsed="false">
      <c r="A12" s="1686"/>
      <c r="B12" s="1690" t="s">
        <v>2702</v>
      </c>
      <c r="C12" s="1691" t="n">
        <v>3165.74</v>
      </c>
      <c r="D12" s="1691" t="n">
        <v>5409.99</v>
      </c>
      <c r="E12" s="1691" t="s">
        <v>2721</v>
      </c>
      <c r="F12" s="1691" t="n">
        <v>-101.67</v>
      </c>
      <c r="G12" s="1691" t="n">
        <v>7164.08</v>
      </c>
      <c r="H12" s="1691" t="n">
        <v>5.4</v>
      </c>
      <c r="I12" s="1691" t="n">
        <v>161.25</v>
      </c>
      <c r="L12" s="738"/>
      <c r="N12" s="738"/>
      <c r="O12" s="738"/>
      <c r="P12" s="738"/>
      <c r="Q12" s="738"/>
      <c r="R12" s="738"/>
      <c r="S12" s="738"/>
      <c r="T12" s="738"/>
      <c r="U12" s="738"/>
    </row>
    <row r="13" customFormat="false" ht="12.75" hidden="false" customHeight="false" outlineLevel="0" collapsed="false">
      <c r="A13" s="1686" t="s">
        <v>489</v>
      </c>
      <c r="B13" s="1687" t="s">
        <v>2720</v>
      </c>
      <c r="C13" s="1688" t="s">
        <v>2721</v>
      </c>
      <c r="D13" s="1688" t="s">
        <v>2721</v>
      </c>
      <c r="E13" s="1688" t="s">
        <v>2721</v>
      </c>
      <c r="F13" s="1688" t="s">
        <v>2721</v>
      </c>
      <c r="G13" s="1688" t="s">
        <v>2721</v>
      </c>
      <c r="H13" s="1688" t="s">
        <v>2721</v>
      </c>
      <c r="I13" s="1688" t="s">
        <v>2721</v>
      </c>
      <c r="L13" s="738"/>
      <c r="N13" s="738"/>
      <c r="O13" s="738"/>
      <c r="P13" s="738"/>
      <c r="Q13" s="738"/>
      <c r="R13" s="738"/>
      <c r="S13" s="738"/>
      <c r="T13" s="738"/>
      <c r="U13" s="738"/>
    </row>
    <row r="14" customFormat="false" ht="12.75" hidden="false" customHeight="false" outlineLevel="0" collapsed="false">
      <c r="A14" s="1686"/>
      <c r="B14" s="1690" t="s">
        <v>2722</v>
      </c>
      <c r="C14" s="1691" t="n">
        <v>10276</v>
      </c>
      <c r="D14" s="1691" t="n">
        <v>14224</v>
      </c>
      <c r="E14" s="1691" t="n">
        <v>102667.28</v>
      </c>
      <c r="F14" s="1691" t="n">
        <v>1347.71</v>
      </c>
      <c r="G14" s="1692" t="n">
        <v>32016.25</v>
      </c>
      <c r="H14" s="1691" t="n">
        <v>5.55</v>
      </c>
      <c r="I14" s="1691" t="n">
        <v>83.86</v>
      </c>
      <c r="L14" s="738"/>
      <c r="N14" s="738"/>
      <c r="O14" s="738"/>
      <c r="P14" s="738"/>
      <c r="Q14" s="738"/>
      <c r="R14" s="738"/>
      <c r="S14" s="738"/>
      <c r="T14" s="738"/>
      <c r="U14" s="738"/>
    </row>
    <row r="15" customFormat="false" ht="12.75" hidden="false" customHeight="false" outlineLevel="0" collapsed="false">
      <c r="A15" s="1686"/>
      <c r="B15" s="1687" t="s">
        <v>2697</v>
      </c>
      <c r="C15" s="1688" t="n">
        <v>122.14</v>
      </c>
      <c r="D15" s="1688" t="n">
        <v>251.35</v>
      </c>
      <c r="E15" s="1688" t="n">
        <v>1703.93</v>
      </c>
      <c r="F15" s="1688" t="n">
        <v>1.22</v>
      </c>
      <c r="G15" s="1688" t="n">
        <v>951.29</v>
      </c>
      <c r="H15" s="1688" t="n">
        <v>2.8</v>
      </c>
      <c r="I15" s="1688" t="n">
        <v>70.83</v>
      </c>
      <c r="L15" s="738"/>
      <c r="N15" s="738"/>
      <c r="O15" s="738"/>
      <c r="P15" s="738"/>
      <c r="Q15" s="738"/>
      <c r="R15" s="738"/>
      <c r="S15" s="738"/>
      <c r="T15" s="738"/>
      <c r="U15" s="738"/>
    </row>
    <row r="16" customFormat="false" ht="12.75" hidden="false" customHeight="false" outlineLevel="0" collapsed="false">
      <c r="A16" s="1686"/>
      <c r="B16" s="1690" t="s">
        <v>2698</v>
      </c>
      <c r="C16" s="1691" t="n">
        <v>80495.57</v>
      </c>
      <c r="D16" s="1691" t="n">
        <v>130670.8</v>
      </c>
      <c r="E16" s="1691" t="n">
        <v>393936.72</v>
      </c>
      <c r="F16" s="1691" t="n">
        <v>7309.25</v>
      </c>
      <c r="G16" s="1691" t="n">
        <v>395591.1</v>
      </c>
      <c r="H16" s="1691" t="n">
        <v>2.61</v>
      </c>
      <c r="I16" s="1691" t="n">
        <v>72.11</v>
      </c>
      <c r="L16" s="738"/>
      <c r="N16" s="738"/>
      <c r="O16" s="738"/>
      <c r="P16" s="738"/>
      <c r="Q16" s="738"/>
      <c r="R16" s="738"/>
      <c r="S16" s="738"/>
      <c r="T16" s="738"/>
      <c r="U16" s="738"/>
    </row>
    <row r="17" customFormat="false" ht="12.75" hidden="false" customHeight="false" outlineLevel="0" collapsed="false">
      <c r="A17" s="1686"/>
      <c r="B17" s="1687" t="s">
        <v>2699</v>
      </c>
      <c r="C17" s="1688" t="n">
        <v>105.25</v>
      </c>
      <c r="D17" s="1688" t="n">
        <v>765.87</v>
      </c>
      <c r="E17" s="1688" t="n">
        <v>203.77</v>
      </c>
      <c r="F17" s="1688" t="s">
        <v>2721</v>
      </c>
      <c r="G17" s="1688" t="n">
        <v>712.02</v>
      </c>
      <c r="H17" s="1688" t="n">
        <v>-0.13</v>
      </c>
      <c r="I17" s="1688" t="n">
        <v>15.41</v>
      </c>
      <c r="L17" s="738"/>
      <c r="N17" s="738"/>
      <c r="O17" s="738"/>
      <c r="P17" s="738"/>
      <c r="Q17" s="738"/>
      <c r="R17" s="738"/>
      <c r="S17" s="738"/>
      <c r="T17" s="738"/>
      <c r="U17" s="738"/>
    </row>
    <row r="18" customFormat="false" ht="12.75" hidden="false" customHeight="false" outlineLevel="0" collapsed="false">
      <c r="A18" s="1686"/>
      <c r="B18" s="1690" t="s">
        <v>2700</v>
      </c>
      <c r="C18" s="1691" t="n">
        <v>190.1</v>
      </c>
      <c r="D18" s="1691" t="n">
        <v>4567.2</v>
      </c>
      <c r="E18" s="1691" t="n">
        <v>3179.8</v>
      </c>
      <c r="F18" s="1691" t="s">
        <v>2721</v>
      </c>
      <c r="G18" s="1691" t="n">
        <v>9574.37</v>
      </c>
      <c r="H18" s="1691" t="s">
        <v>2721</v>
      </c>
      <c r="I18" s="1691" t="n">
        <v>114.74</v>
      </c>
      <c r="L18" s="738"/>
      <c r="N18" s="738"/>
      <c r="O18" s="738"/>
      <c r="P18" s="738"/>
      <c r="Q18" s="738"/>
      <c r="R18" s="738"/>
      <c r="S18" s="738"/>
      <c r="T18" s="738"/>
      <c r="U18" s="738"/>
    </row>
    <row r="19" customFormat="false" ht="12.75" hidden="false" customHeight="false" outlineLevel="0" collapsed="false">
      <c r="A19" s="1686"/>
      <c r="B19" s="1687" t="s">
        <v>2701</v>
      </c>
      <c r="C19" s="1688" t="n">
        <v>5807.23</v>
      </c>
      <c r="D19" s="1688" t="n">
        <v>13787.65</v>
      </c>
      <c r="E19" s="1688" t="n">
        <v>54551.67</v>
      </c>
      <c r="F19" s="1688" t="n">
        <v>114.45</v>
      </c>
      <c r="G19" s="1688" t="n">
        <v>7203.7</v>
      </c>
      <c r="H19" s="1688" t="n">
        <v>5.31</v>
      </c>
      <c r="I19" s="1688" t="n">
        <v>134.09</v>
      </c>
      <c r="L19" s="738"/>
      <c r="N19" s="738"/>
      <c r="O19" s="738"/>
      <c r="P19" s="738"/>
      <c r="Q19" s="738"/>
      <c r="R19" s="738"/>
      <c r="S19" s="738"/>
      <c r="T19" s="738"/>
      <c r="U19" s="738"/>
    </row>
    <row r="20" customFormat="false" ht="12.75" hidden="false" customHeight="false" outlineLevel="0" collapsed="false">
      <c r="A20" s="1686"/>
      <c r="B20" s="1690" t="s">
        <v>2702</v>
      </c>
      <c r="C20" s="1691" t="n">
        <v>2992.03</v>
      </c>
      <c r="D20" s="1691" t="n">
        <v>5381.66</v>
      </c>
      <c r="E20" s="1691" t="s">
        <v>2721</v>
      </c>
      <c r="F20" s="1691" t="n">
        <v>-338.76</v>
      </c>
      <c r="G20" s="1691" t="n">
        <v>6919.22</v>
      </c>
      <c r="H20" s="1691" t="n">
        <v>4.3</v>
      </c>
      <c r="I20" s="1691" t="n">
        <v>175.89</v>
      </c>
      <c r="L20" s="738"/>
      <c r="N20" s="738"/>
      <c r="O20" s="738"/>
      <c r="P20" s="738"/>
      <c r="Q20" s="738"/>
      <c r="R20" s="738"/>
      <c r="S20" s="738"/>
      <c r="T20" s="738"/>
      <c r="U20" s="738"/>
    </row>
    <row r="21" customFormat="false" ht="12.75" hidden="false" customHeight="false" outlineLevel="0" collapsed="false">
      <c r="A21" s="1686" t="s">
        <v>490</v>
      </c>
      <c r="B21" s="1687" t="s">
        <v>2720</v>
      </c>
      <c r="C21" s="1688" t="s">
        <v>2721</v>
      </c>
      <c r="D21" s="1688" t="s">
        <v>2721</v>
      </c>
      <c r="E21" s="1688" t="s">
        <v>2721</v>
      </c>
      <c r="F21" s="1688" t="s">
        <v>2721</v>
      </c>
      <c r="G21" s="1688" t="s">
        <v>2721</v>
      </c>
      <c r="H21" s="1688" t="s">
        <v>2721</v>
      </c>
      <c r="I21" s="1688" t="s">
        <v>2721</v>
      </c>
      <c r="L21" s="738"/>
      <c r="N21" s="738"/>
      <c r="O21" s="738"/>
      <c r="P21" s="738"/>
      <c r="Q21" s="738"/>
      <c r="R21" s="738"/>
      <c r="S21" s="738"/>
      <c r="T21" s="738"/>
      <c r="U21" s="738"/>
    </row>
    <row r="22" customFormat="false" ht="12.75" hidden="false" customHeight="false" outlineLevel="0" collapsed="false">
      <c r="A22" s="1686"/>
      <c r="B22" s="1690" t="s">
        <v>2722</v>
      </c>
      <c r="C22" s="1691" t="n">
        <v>10143</v>
      </c>
      <c r="D22" s="1691" t="n">
        <v>14544</v>
      </c>
      <c r="E22" s="1691" t="n">
        <v>104590.58</v>
      </c>
      <c r="F22" s="1691" t="n">
        <v>1035.56</v>
      </c>
      <c r="G22" s="1692" t="n">
        <v>31787.21</v>
      </c>
      <c r="H22" s="1691" t="n">
        <v>5.48</v>
      </c>
      <c r="I22" s="1691" t="n">
        <v>84.06</v>
      </c>
      <c r="L22" s="738"/>
      <c r="N22" s="738"/>
      <c r="O22" s="738"/>
      <c r="P22" s="738"/>
      <c r="Q22" s="738"/>
      <c r="R22" s="738"/>
      <c r="S22" s="738"/>
      <c r="T22" s="738"/>
      <c r="U22" s="738"/>
    </row>
    <row r="23" customFormat="false" ht="12.75" hidden="false" customHeight="false" outlineLevel="0" collapsed="false">
      <c r="A23" s="1686"/>
      <c r="B23" s="1687" t="s">
        <v>2697</v>
      </c>
      <c r="C23" s="1688" t="n">
        <v>84.86</v>
      </c>
      <c r="D23" s="1688" t="n">
        <v>218.4</v>
      </c>
      <c r="E23" s="1688" t="n">
        <v>1786.07</v>
      </c>
      <c r="F23" s="1688" t="n">
        <v>1.07</v>
      </c>
      <c r="G23" s="1688" t="n">
        <v>1115.06</v>
      </c>
      <c r="H23" s="1688" t="n">
        <v>2.8</v>
      </c>
      <c r="I23" s="1688" t="n">
        <v>69.48</v>
      </c>
      <c r="L23" s="738"/>
      <c r="N23" s="738"/>
      <c r="O23" s="738"/>
      <c r="P23" s="738"/>
      <c r="Q23" s="738"/>
      <c r="R23" s="738"/>
      <c r="S23" s="738"/>
      <c r="T23" s="738"/>
      <c r="U23" s="738"/>
    </row>
    <row r="24" customFormat="false" ht="12.75" hidden="false" customHeight="false" outlineLevel="0" collapsed="false">
      <c r="A24" s="1686"/>
      <c r="B24" s="1690" t="s">
        <v>2698</v>
      </c>
      <c r="C24" s="1691" t="n">
        <v>85994.63</v>
      </c>
      <c r="D24" s="1691" t="n">
        <v>121736.78</v>
      </c>
      <c r="E24" s="1691" t="n">
        <v>417192.97</v>
      </c>
      <c r="F24" s="1691" t="n">
        <v>6419.9</v>
      </c>
      <c r="G24" s="1691" t="n">
        <v>412870.87</v>
      </c>
      <c r="H24" s="1691" t="n">
        <v>2.47</v>
      </c>
      <c r="I24" s="1691" t="n">
        <v>70.49</v>
      </c>
      <c r="L24" s="738"/>
      <c r="N24" s="738"/>
      <c r="O24" s="738"/>
      <c r="P24" s="738"/>
      <c r="Q24" s="738"/>
      <c r="R24" s="738"/>
      <c r="S24" s="738"/>
      <c r="T24" s="738"/>
      <c r="U24" s="738"/>
    </row>
    <row r="25" customFormat="false" ht="12.75" hidden="false" customHeight="false" outlineLevel="0" collapsed="false">
      <c r="A25" s="1686"/>
      <c r="B25" s="1687" t="s">
        <v>2699</v>
      </c>
      <c r="C25" s="1688" t="n">
        <v>124.91</v>
      </c>
      <c r="D25" s="1688" t="n">
        <v>714.82</v>
      </c>
      <c r="E25" s="1688" t="n">
        <v>199.69</v>
      </c>
      <c r="F25" s="1688" t="s">
        <v>2721</v>
      </c>
      <c r="G25" s="1688" t="n">
        <v>776.17</v>
      </c>
      <c r="H25" s="1688" t="n">
        <v>-0.63</v>
      </c>
      <c r="I25" s="1688" t="n">
        <v>15.39</v>
      </c>
      <c r="L25" s="738"/>
      <c r="N25" s="738"/>
      <c r="O25" s="738"/>
      <c r="P25" s="738"/>
      <c r="Q25" s="738"/>
      <c r="R25" s="738"/>
      <c r="S25" s="738"/>
      <c r="T25" s="738"/>
      <c r="U25" s="738"/>
    </row>
    <row r="26" customFormat="false" ht="12.75" hidden="false" customHeight="false" outlineLevel="0" collapsed="false">
      <c r="A26" s="1686"/>
      <c r="B26" s="1690" t="s">
        <v>2700</v>
      </c>
      <c r="C26" s="1691" t="n">
        <v>217</v>
      </c>
      <c r="D26" s="1691" t="n">
        <v>3000.08</v>
      </c>
      <c r="E26" s="1691" t="n">
        <v>4897.94</v>
      </c>
      <c r="F26" s="1691" t="s">
        <v>2721</v>
      </c>
      <c r="G26" s="1691" t="n">
        <v>8241.03</v>
      </c>
      <c r="H26" s="1691" t="s">
        <v>2721</v>
      </c>
      <c r="I26" s="1691" t="n">
        <v>110.96</v>
      </c>
      <c r="L26" s="738"/>
      <c r="N26" s="738"/>
      <c r="O26" s="738"/>
      <c r="P26" s="738"/>
      <c r="Q26" s="738"/>
      <c r="R26" s="738"/>
      <c r="S26" s="738"/>
      <c r="T26" s="738"/>
      <c r="U26" s="738"/>
    </row>
    <row r="27" customFormat="false" ht="12.75" hidden="false" customHeight="false" outlineLevel="0" collapsed="false">
      <c r="A27" s="1686"/>
      <c r="B27" s="1687" t="s">
        <v>2701</v>
      </c>
      <c r="C27" s="1688" t="n">
        <v>5889.98</v>
      </c>
      <c r="D27" s="1688" t="n">
        <v>12727.05</v>
      </c>
      <c r="E27" s="1688" t="n">
        <v>55295.79</v>
      </c>
      <c r="F27" s="1688" t="n">
        <v>403.59</v>
      </c>
      <c r="G27" s="1688" t="n">
        <v>10492.2</v>
      </c>
      <c r="H27" s="1688" t="n">
        <v>5.95</v>
      </c>
      <c r="I27" s="1688" t="n">
        <v>138.8</v>
      </c>
      <c r="L27" s="738"/>
      <c r="N27" s="738"/>
      <c r="O27" s="738"/>
      <c r="P27" s="738"/>
      <c r="Q27" s="738"/>
      <c r="R27" s="738"/>
      <c r="S27" s="738"/>
      <c r="T27" s="738"/>
      <c r="U27" s="738"/>
    </row>
    <row r="28" customFormat="false" ht="12.75" hidden="false" customHeight="false" outlineLevel="0" collapsed="false">
      <c r="A28" s="1686"/>
      <c r="B28" s="1690" t="s">
        <v>2702</v>
      </c>
      <c r="C28" s="1691" t="n">
        <v>3156.13</v>
      </c>
      <c r="D28" s="1691" t="n">
        <v>4816.9</v>
      </c>
      <c r="E28" s="1691" t="s">
        <v>2721</v>
      </c>
      <c r="F28" s="1691" t="n">
        <v>-139.69</v>
      </c>
      <c r="G28" s="1691" t="n">
        <v>7629.24</v>
      </c>
      <c r="H28" s="1691" t="n">
        <v>4.1</v>
      </c>
      <c r="I28" s="1691" t="n">
        <v>179.9</v>
      </c>
      <c r="L28" s="738"/>
      <c r="N28" s="738"/>
      <c r="O28" s="738"/>
      <c r="P28" s="738"/>
      <c r="Q28" s="738"/>
      <c r="R28" s="738"/>
      <c r="S28" s="738"/>
      <c r="T28" s="738"/>
      <c r="U28" s="738"/>
    </row>
    <row r="29" customFormat="false" ht="12.75" hidden="false" customHeight="false" outlineLevel="0" collapsed="false">
      <c r="A29" s="1686" t="s">
        <v>491</v>
      </c>
      <c r="B29" s="1687" t="s">
        <v>2720</v>
      </c>
      <c r="C29" s="1688" t="s">
        <v>2721</v>
      </c>
      <c r="D29" s="1688" t="s">
        <v>2721</v>
      </c>
      <c r="E29" s="1688" t="s">
        <v>2721</v>
      </c>
      <c r="F29" s="1688" t="s">
        <v>2721</v>
      </c>
      <c r="G29" s="1688" t="s">
        <v>2721</v>
      </c>
      <c r="H29" s="1688" t="s">
        <v>2721</v>
      </c>
      <c r="I29" s="1688" t="s">
        <v>2721</v>
      </c>
      <c r="L29" s="738"/>
      <c r="N29" s="738"/>
      <c r="O29" s="738"/>
      <c r="P29" s="738"/>
      <c r="Q29" s="738"/>
      <c r="R29" s="738"/>
      <c r="S29" s="738"/>
      <c r="T29" s="738"/>
      <c r="U29" s="738"/>
    </row>
    <row r="30" customFormat="false" ht="12.75" hidden="false" customHeight="false" outlineLevel="0" collapsed="false">
      <c r="A30" s="1686"/>
      <c r="B30" s="1690" t="s">
        <v>2722</v>
      </c>
      <c r="C30" s="1691" t="n">
        <v>9779</v>
      </c>
      <c r="D30" s="1691" t="n">
        <v>13072</v>
      </c>
      <c r="E30" s="1691" t="n">
        <v>107254.71</v>
      </c>
      <c r="F30" s="1691" t="n">
        <v>656.1</v>
      </c>
      <c r="G30" s="1692" t="n">
        <v>32716.51</v>
      </c>
      <c r="H30" s="1691" t="n">
        <v>5.48</v>
      </c>
      <c r="I30" s="1691" t="n">
        <v>84.44</v>
      </c>
      <c r="L30" s="738"/>
      <c r="N30" s="738"/>
      <c r="O30" s="738"/>
      <c r="P30" s="738"/>
      <c r="Q30" s="738"/>
      <c r="R30" s="738"/>
      <c r="S30" s="738"/>
      <c r="T30" s="738"/>
      <c r="U30" s="738"/>
    </row>
    <row r="31" customFormat="false" ht="12.75" hidden="false" customHeight="false" outlineLevel="0" collapsed="false">
      <c r="A31" s="1686"/>
      <c r="B31" s="1687" t="s">
        <v>2697</v>
      </c>
      <c r="C31" s="1688" t="s">
        <v>2721</v>
      </c>
      <c r="D31" s="1688" t="s">
        <v>2721</v>
      </c>
      <c r="E31" s="1688" t="s">
        <v>2721</v>
      </c>
      <c r="F31" s="1688" t="s">
        <v>2721</v>
      </c>
      <c r="G31" s="1688" t="s">
        <v>2721</v>
      </c>
      <c r="H31" s="1688" t="s">
        <v>2721</v>
      </c>
      <c r="I31" s="1688" t="s">
        <v>2721</v>
      </c>
      <c r="L31" s="738"/>
      <c r="N31" s="738"/>
      <c r="O31" s="738"/>
      <c r="P31" s="738"/>
      <c r="Q31" s="738"/>
      <c r="R31" s="738"/>
      <c r="S31" s="738"/>
      <c r="T31" s="738"/>
      <c r="U31" s="738"/>
    </row>
    <row r="32" customFormat="false" ht="12.75" hidden="false" customHeight="false" outlineLevel="0" collapsed="false">
      <c r="A32" s="1686"/>
      <c r="B32" s="1690" t="s">
        <v>2698</v>
      </c>
      <c r="C32" s="1691" t="n">
        <v>80914.71</v>
      </c>
      <c r="D32" s="1691" t="n">
        <v>130103.11</v>
      </c>
      <c r="E32" s="1691" t="n">
        <v>408025.77</v>
      </c>
      <c r="F32" s="1691" t="n">
        <v>13992.52</v>
      </c>
      <c r="G32" s="1691" t="n">
        <v>429837.1</v>
      </c>
      <c r="H32" s="1691" t="s">
        <v>2721</v>
      </c>
      <c r="I32" s="1691" t="s">
        <v>2721</v>
      </c>
      <c r="L32" s="738"/>
      <c r="N32" s="738"/>
      <c r="O32" s="738"/>
      <c r="P32" s="738"/>
      <c r="Q32" s="738"/>
      <c r="R32" s="738"/>
      <c r="S32" s="738"/>
      <c r="T32" s="738"/>
      <c r="U32" s="738"/>
    </row>
    <row r="33" customFormat="false" ht="12.75" hidden="false" customHeight="false" outlineLevel="0" collapsed="false">
      <c r="A33" s="1686"/>
      <c r="B33" s="1687" t="s">
        <v>2699</v>
      </c>
      <c r="C33" s="1688" t="n">
        <v>80.13</v>
      </c>
      <c r="D33" s="1688" t="n">
        <v>687.31</v>
      </c>
      <c r="E33" s="1688" t="n">
        <v>193.64</v>
      </c>
      <c r="F33" s="1688" t="s">
        <v>2721</v>
      </c>
      <c r="G33" s="1688" t="n">
        <v>677.41</v>
      </c>
      <c r="H33" s="1688" t="n">
        <v>0.08</v>
      </c>
      <c r="I33" s="1688" t="n">
        <v>15.41</v>
      </c>
      <c r="L33" s="738"/>
      <c r="N33" s="738"/>
      <c r="O33" s="738"/>
      <c r="P33" s="738"/>
      <c r="Q33" s="738"/>
      <c r="R33" s="738"/>
      <c r="S33" s="738"/>
      <c r="T33" s="738"/>
      <c r="U33" s="738"/>
    </row>
    <row r="34" customFormat="false" ht="12.75" hidden="false" customHeight="false" outlineLevel="0" collapsed="false">
      <c r="A34" s="1686"/>
      <c r="B34" s="1690" t="s">
        <v>2700</v>
      </c>
      <c r="C34" s="1691" t="n">
        <v>245.5</v>
      </c>
      <c r="D34" s="1691" t="n">
        <v>3211.4</v>
      </c>
      <c r="E34" s="1691" t="n">
        <v>4947.72</v>
      </c>
      <c r="F34" s="1691" t="s">
        <v>2721</v>
      </c>
      <c r="G34" s="1691" t="n">
        <v>7909.92</v>
      </c>
      <c r="H34" s="1691" t="s">
        <v>2721</v>
      </c>
      <c r="I34" s="1691" t="n">
        <v>111.99</v>
      </c>
      <c r="L34" s="738"/>
      <c r="N34" s="738"/>
      <c r="O34" s="738"/>
      <c r="P34" s="738"/>
      <c r="Q34" s="738"/>
      <c r="R34" s="738"/>
      <c r="S34" s="738"/>
      <c r="T34" s="738"/>
      <c r="U34" s="738"/>
    </row>
    <row r="35" customFormat="false" ht="12.75" hidden="false" customHeight="false" outlineLevel="0" collapsed="false">
      <c r="A35" s="1686"/>
      <c r="B35" s="1687" t="s">
        <v>2701</v>
      </c>
      <c r="C35" s="1688" t="n">
        <v>5887.18</v>
      </c>
      <c r="D35" s="1688" t="n">
        <v>14083.5</v>
      </c>
      <c r="E35" s="1688" t="n">
        <v>48156.38</v>
      </c>
      <c r="F35" s="1688" t="n">
        <v>457.27</v>
      </c>
      <c r="G35" s="1688" t="n">
        <v>7285.2</v>
      </c>
      <c r="H35" s="1688" t="n">
        <v>6.8</v>
      </c>
      <c r="I35" s="1688" t="n">
        <v>147.37</v>
      </c>
      <c r="L35" s="738"/>
      <c r="N35" s="738"/>
      <c r="O35" s="738"/>
      <c r="P35" s="738"/>
      <c r="Q35" s="738"/>
      <c r="R35" s="738"/>
      <c r="S35" s="738"/>
      <c r="T35" s="738"/>
      <c r="U35" s="738"/>
    </row>
    <row r="36" customFormat="false" ht="12.75" hidden="false" customHeight="false" outlineLevel="0" collapsed="false">
      <c r="A36" s="1686"/>
      <c r="B36" s="1690" t="s">
        <v>2702</v>
      </c>
      <c r="C36" s="1691" t="n">
        <v>2843.08</v>
      </c>
      <c r="D36" s="1691" t="n">
        <v>4779.11</v>
      </c>
      <c r="E36" s="1691" t="s">
        <v>2721</v>
      </c>
      <c r="F36" s="1691" t="n">
        <v>-198.28</v>
      </c>
      <c r="G36" s="1691" t="n">
        <v>8864.98</v>
      </c>
      <c r="H36" s="1691" t="n">
        <v>4.2</v>
      </c>
      <c r="I36" s="1691" t="n">
        <v>175.94</v>
      </c>
      <c r="L36" s="738"/>
      <c r="N36" s="738"/>
      <c r="O36" s="738"/>
      <c r="P36" s="738"/>
      <c r="Q36" s="738"/>
      <c r="R36" s="738"/>
      <c r="S36" s="738"/>
      <c r="T36" s="738"/>
      <c r="U36" s="738"/>
    </row>
    <row r="38" customFormat="false" ht="15" hidden="false" customHeight="false" outlineLevel="0" collapsed="false">
      <c r="A38" s="1693" t="s">
        <v>256</v>
      </c>
      <c r="B38" s="1693" t="s">
        <v>254</v>
      </c>
      <c r="D38" s="1512"/>
      <c r="E38" s="1693" t="s">
        <v>300</v>
      </c>
      <c r="F38" s="1512"/>
      <c r="H38" s="1066"/>
      <c r="J38" s="1066"/>
    </row>
    <row r="39" customFormat="false" ht="12.75" hidden="false" customHeight="false" outlineLevel="0" collapsed="false">
      <c r="E39" s="1693" t="s">
        <v>2723</v>
      </c>
    </row>
  </sheetData>
  <mergeCells count="8">
    <mergeCell ref="A1:G1"/>
    <mergeCell ref="G2:I2"/>
    <mergeCell ref="A3:B3"/>
    <mergeCell ref="G4:H4"/>
    <mergeCell ref="A5:A12"/>
    <mergeCell ref="A13:A20"/>
    <mergeCell ref="A21:A28"/>
    <mergeCell ref="A29:A36"/>
  </mergeCells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109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>&amp;C&amp;"Times New Roman,Regular"&amp;8&amp;P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44" activeCellId="0" sqref="J44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5.14"/>
    <col collapsed="false" customWidth="true" hidden="false" outlineLevel="0" max="2" min="2" style="0" width="11.86"/>
    <col collapsed="false" customWidth="true" hidden="false" outlineLevel="0" max="3" min="3" style="0" width="3.86"/>
    <col collapsed="false" customWidth="true" hidden="false" outlineLevel="0" max="4" min="4" style="0" width="15"/>
    <col collapsed="false" customWidth="true" hidden="false" outlineLevel="0" max="5" min="5" style="0" width="5.86"/>
    <col collapsed="false" customWidth="true" hidden="false" outlineLevel="0" max="6" min="6" style="0" width="10.42"/>
    <col collapsed="false" customWidth="true" hidden="false" outlineLevel="0" max="7" min="7" style="0" width="3.99"/>
    <col collapsed="false" customWidth="true" hidden="false" outlineLevel="0" max="8" min="8" style="0" width="19.57"/>
  </cols>
  <sheetData>
    <row r="1" customFormat="false" ht="15.75" hidden="false" customHeight="false" outlineLevel="0" collapsed="false">
      <c r="B1" s="260" t="s">
        <v>2724</v>
      </c>
      <c r="C1" s="260"/>
      <c r="D1" s="260"/>
      <c r="E1" s="260"/>
      <c r="F1" s="260"/>
      <c r="G1" s="260"/>
      <c r="H1" s="260"/>
    </row>
    <row r="2" s="1644" customFormat="true" ht="12" hidden="false" customHeight="false" outlineLevel="0" collapsed="false">
      <c r="B2" s="1694" t="s">
        <v>2725</v>
      </c>
      <c r="C2" s="1694"/>
      <c r="D2" s="1694"/>
      <c r="E2" s="1694"/>
      <c r="F2" s="1694"/>
      <c r="G2" s="1694"/>
      <c r="H2" s="1694"/>
    </row>
    <row r="3" customFormat="false" ht="12.75" hidden="false" customHeight="false" outlineLevel="0" collapsed="false">
      <c r="B3" s="1695"/>
      <c r="C3" s="1695"/>
      <c r="D3" s="1695"/>
      <c r="E3" s="1695"/>
      <c r="F3" s="1695"/>
      <c r="G3" s="1695"/>
      <c r="H3" s="1695"/>
    </row>
    <row r="4" customFormat="false" ht="12.75" hidden="false" customHeight="false" outlineLevel="0" collapsed="false">
      <c r="B4" s="1696"/>
      <c r="C4" s="1696"/>
      <c r="D4" s="1696"/>
      <c r="E4" s="1696"/>
      <c r="F4" s="1696"/>
      <c r="G4" s="1696"/>
      <c r="H4" s="1696"/>
    </row>
    <row r="5" customFormat="false" ht="15" hidden="false" customHeight="true" outlineLevel="0" collapsed="false">
      <c r="B5" s="1697" t="s">
        <v>2726</v>
      </c>
      <c r="C5" s="1696" t="s">
        <v>2727</v>
      </c>
      <c r="D5" s="1696" t="s">
        <v>2728</v>
      </c>
      <c r="E5" s="1696"/>
      <c r="F5" s="1696" t="s">
        <v>2729</v>
      </c>
      <c r="G5" s="1696" t="s">
        <v>2727</v>
      </c>
      <c r="H5" s="1696" t="s">
        <v>2730</v>
      </c>
    </row>
    <row r="6" customFormat="false" ht="15" hidden="false" customHeight="true" outlineLevel="0" collapsed="false">
      <c r="B6" s="1696"/>
      <c r="C6" s="1696" t="s">
        <v>2727</v>
      </c>
      <c r="D6" s="1696" t="s">
        <v>2731</v>
      </c>
      <c r="E6" s="1696"/>
      <c r="F6" s="1696"/>
      <c r="G6" s="1696" t="s">
        <v>2727</v>
      </c>
      <c r="H6" s="1696" t="s">
        <v>2732</v>
      </c>
    </row>
    <row r="7" customFormat="false" ht="15" hidden="false" customHeight="true" outlineLevel="0" collapsed="false">
      <c r="B7" s="1696"/>
      <c r="C7" s="1696"/>
      <c r="D7" s="1696"/>
      <c r="E7" s="1696"/>
      <c r="F7" s="1696"/>
      <c r="G7" s="1696"/>
      <c r="H7" s="1696"/>
    </row>
    <row r="8" customFormat="false" ht="15" hidden="false" customHeight="true" outlineLevel="0" collapsed="false">
      <c r="B8" s="1696" t="s">
        <v>2733</v>
      </c>
      <c r="C8" s="1696" t="s">
        <v>2727</v>
      </c>
      <c r="D8" s="1696" t="s">
        <v>2734</v>
      </c>
      <c r="E8" s="1696"/>
      <c r="F8" s="1696" t="s">
        <v>2735</v>
      </c>
      <c r="G8" s="1696" t="s">
        <v>2727</v>
      </c>
      <c r="H8" s="1696" t="s">
        <v>2736</v>
      </c>
    </row>
    <row r="9" customFormat="false" ht="15" hidden="false" customHeight="true" outlineLevel="0" collapsed="false">
      <c r="B9" s="1696"/>
      <c r="C9" s="1696"/>
      <c r="D9" s="1696"/>
      <c r="E9" s="1696"/>
      <c r="F9" s="1696"/>
      <c r="G9" s="1696" t="s">
        <v>2727</v>
      </c>
      <c r="H9" s="1696" t="s">
        <v>2737</v>
      </c>
    </row>
    <row r="10" customFormat="false" ht="15" hidden="false" customHeight="true" outlineLevel="0" collapsed="false">
      <c r="B10" s="1696"/>
      <c r="C10" s="1696"/>
      <c r="D10" s="1696"/>
      <c r="E10" s="1696"/>
      <c r="F10" s="1696"/>
      <c r="G10" s="1696"/>
      <c r="H10" s="1696"/>
    </row>
    <row r="11" customFormat="false" ht="15" hidden="false" customHeight="true" outlineLevel="0" collapsed="false">
      <c r="B11" s="1696" t="s">
        <v>2738</v>
      </c>
      <c r="C11" s="1696" t="s">
        <v>2727</v>
      </c>
      <c r="D11" s="1696" t="s">
        <v>2739</v>
      </c>
      <c r="E11" s="1696"/>
      <c r="F11" s="1696" t="s">
        <v>2740</v>
      </c>
      <c r="G11" s="1696" t="s">
        <v>2727</v>
      </c>
      <c r="H11" s="1696" t="s">
        <v>2741</v>
      </c>
    </row>
    <row r="12" customFormat="false" ht="15" hidden="false" customHeight="true" outlineLevel="0" collapsed="false">
      <c r="B12" s="1696" t="s">
        <v>2742</v>
      </c>
      <c r="C12" s="1696" t="s">
        <v>2727</v>
      </c>
      <c r="D12" s="1696" t="s">
        <v>2743</v>
      </c>
      <c r="E12" s="1696"/>
      <c r="F12" s="1696"/>
      <c r="G12" s="1696" t="s">
        <v>2727</v>
      </c>
      <c r="H12" s="1696" t="s">
        <v>2744</v>
      </c>
    </row>
    <row r="13" customFormat="false" ht="15" hidden="false" customHeight="true" outlineLevel="0" collapsed="false">
      <c r="B13" s="1696"/>
      <c r="C13" s="1696"/>
      <c r="D13" s="1696"/>
      <c r="E13" s="1696"/>
      <c r="F13" s="1696"/>
      <c r="G13" s="1696"/>
      <c r="H13" s="1696"/>
    </row>
    <row r="14" customFormat="false" ht="15" hidden="false" customHeight="true" outlineLevel="0" collapsed="false">
      <c r="B14" s="1696"/>
      <c r="C14" s="1696"/>
      <c r="D14" s="1696"/>
      <c r="E14" s="1696"/>
      <c r="F14" s="1696" t="s">
        <v>2745</v>
      </c>
      <c r="G14" s="1696" t="s">
        <v>2727</v>
      </c>
      <c r="H14" s="1696" t="s">
        <v>2746</v>
      </c>
    </row>
    <row r="15" customFormat="false" ht="15" hidden="false" customHeight="true" outlineLevel="0" collapsed="false">
      <c r="B15" s="1696" t="s">
        <v>2747</v>
      </c>
      <c r="C15" s="1696" t="s">
        <v>2727</v>
      </c>
      <c r="D15" s="1696" t="s">
        <v>2748</v>
      </c>
      <c r="E15" s="1696"/>
      <c r="F15" s="1696"/>
      <c r="G15" s="1696" t="s">
        <v>2727</v>
      </c>
      <c r="H15" s="1696" t="s">
        <v>2749</v>
      </c>
    </row>
    <row r="16" customFormat="false" ht="15" hidden="false" customHeight="true" outlineLevel="0" collapsed="false">
      <c r="B16" s="1696"/>
      <c r="C16" s="1696" t="s">
        <v>2727</v>
      </c>
      <c r="D16" s="1696" t="s">
        <v>2750</v>
      </c>
      <c r="E16" s="1696"/>
      <c r="F16" s="1696"/>
      <c r="G16" s="1696"/>
      <c r="H16" s="1696"/>
    </row>
    <row r="17" customFormat="false" ht="15" hidden="false" customHeight="true" outlineLevel="0" collapsed="false">
      <c r="B17" s="1696"/>
      <c r="C17" s="1696"/>
      <c r="E17" s="1696"/>
      <c r="F17" s="1696" t="s">
        <v>2751</v>
      </c>
      <c r="G17" s="1696" t="s">
        <v>2727</v>
      </c>
      <c r="H17" s="1696" t="s">
        <v>2752</v>
      </c>
    </row>
    <row r="18" customFormat="false" ht="15" hidden="false" customHeight="true" outlineLevel="0" collapsed="false">
      <c r="B18" s="1698" t="s">
        <v>2753</v>
      </c>
      <c r="C18" s="1696" t="s">
        <v>2727</v>
      </c>
      <c r="D18" s="1696" t="s">
        <v>2754</v>
      </c>
      <c r="E18" s="1696"/>
      <c r="F18" s="1696" t="s">
        <v>2755</v>
      </c>
      <c r="G18" s="1696" t="s">
        <v>2727</v>
      </c>
      <c r="H18" s="1696" t="s">
        <v>2756</v>
      </c>
    </row>
    <row r="19" customFormat="false" ht="15" hidden="false" customHeight="true" outlineLevel="0" collapsed="false">
      <c r="B19" s="264"/>
      <c r="C19" s="1696" t="s">
        <v>2727</v>
      </c>
      <c r="D19" s="1698" t="s">
        <v>2757</v>
      </c>
      <c r="E19" s="1696"/>
      <c r="F19" s="1696" t="s">
        <v>2758</v>
      </c>
      <c r="G19" s="1696" t="s">
        <v>2727</v>
      </c>
      <c r="H19" s="1696" t="s">
        <v>2759</v>
      </c>
    </row>
    <row r="20" customFormat="false" ht="15" hidden="false" customHeight="true" outlineLevel="0" collapsed="false">
      <c r="B20" s="1696" t="s">
        <v>2760</v>
      </c>
      <c r="C20" s="1696" t="s">
        <v>2727</v>
      </c>
      <c r="D20" s="1696" t="s">
        <v>2761</v>
      </c>
      <c r="E20" s="1696"/>
      <c r="F20" s="1696" t="s">
        <v>2762</v>
      </c>
      <c r="G20" s="1696" t="s">
        <v>2727</v>
      </c>
      <c r="H20" s="1696" t="s">
        <v>2763</v>
      </c>
    </row>
    <row r="21" customFormat="false" ht="15" hidden="false" customHeight="true" outlineLevel="0" collapsed="false">
      <c r="B21" s="1696"/>
      <c r="C21" s="1696" t="s">
        <v>2727</v>
      </c>
      <c r="D21" s="1696" t="s">
        <v>2764</v>
      </c>
      <c r="E21" s="1696"/>
      <c r="F21" s="1696" t="s">
        <v>2765</v>
      </c>
      <c r="G21" s="1696" t="s">
        <v>2727</v>
      </c>
      <c r="H21" s="1696" t="s">
        <v>2766</v>
      </c>
    </row>
    <row r="22" customFormat="false" ht="15" hidden="false" customHeight="true" outlineLevel="0" collapsed="false">
      <c r="B22" s="1696"/>
      <c r="C22" s="1696" t="s">
        <v>2727</v>
      </c>
      <c r="D22" s="1696" t="s">
        <v>2767</v>
      </c>
      <c r="E22" s="1696"/>
      <c r="F22" s="1696"/>
      <c r="G22" s="1696" t="s">
        <v>2727</v>
      </c>
      <c r="H22" s="1696" t="s">
        <v>2768</v>
      </c>
    </row>
    <row r="23" customFormat="false" ht="15" hidden="false" customHeight="true" outlineLevel="0" collapsed="false">
      <c r="B23" s="1696"/>
      <c r="C23" s="1696" t="s">
        <v>2727</v>
      </c>
      <c r="D23" s="1696" t="s">
        <v>2769</v>
      </c>
      <c r="E23" s="1696"/>
      <c r="F23" s="1696"/>
      <c r="G23" s="1696"/>
      <c r="H23" s="1696"/>
    </row>
    <row r="24" customFormat="false" ht="15" hidden="false" customHeight="true" outlineLevel="0" collapsed="false">
      <c r="B24" s="1696"/>
      <c r="C24" s="1696"/>
      <c r="D24" s="1696"/>
      <c r="E24" s="1696"/>
      <c r="F24" s="1696" t="s">
        <v>2770</v>
      </c>
      <c r="G24" s="1696" t="s">
        <v>2727</v>
      </c>
      <c r="H24" s="1696" t="s">
        <v>2771</v>
      </c>
    </row>
    <row r="25" customFormat="false" ht="15" hidden="false" customHeight="true" outlineLevel="0" collapsed="false">
      <c r="B25" s="1696" t="s">
        <v>2772</v>
      </c>
      <c r="C25" s="1696" t="s">
        <v>2727</v>
      </c>
      <c r="D25" s="1696" t="s">
        <v>2773</v>
      </c>
      <c r="E25" s="1696"/>
      <c r="F25" s="1696"/>
      <c r="G25" s="1696" t="s">
        <v>2727</v>
      </c>
      <c r="H25" s="1696" t="s">
        <v>2774</v>
      </c>
    </row>
    <row r="26" customFormat="false" ht="15" hidden="false" customHeight="true" outlineLevel="0" collapsed="false">
      <c r="B26" s="1696"/>
      <c r="C26" s="1696" t="s">
        <v>2727</v>
      </c>
      <c r="D26" s="1696" t="s">
        <v>2775</v>
      </c>
      <c r="E26" s="1696"/>
      <c r="F26" s="1696"/>
      <c r="G26" s="1696" t="s">
        <v>2727</v>
      </c>
      <c r="H26" s="1696" t="s">
        <v>2776</v>
      </c>
    </row>
    <row r="27" customFormat="false" ht="15" hidden="false" customHeight="true" outlineLevel="0" collapsed="false">
      <c r="B27" s="1696"/>
      <c r="C27" s="1699" t="s">
        <v>2727</v>
      </c>
      <c r="D27" s="1699" t="s">
        <v>2777</v>
      </c>
      <c r="E27" s="1696"/>
      <c r="F27" s="1696"/>
      <c r="G27" s="1696"/>
      <c r="H27" s="1696"/>
    </row>
    <row r="28" customFormat="false" ht="15" hidden="false" customHeight="true" outlineLevel="0" collapsed="false">
      <c r="B28" s="1696"/>
      <c r="C28" s="1696"/>
      <c r="D28" s="1696"/>
      <c r="E28" s="1696"/>
      <c r="F28" s="1696" t="s">
        <v>2778</v>
      </c>
      <c r="G28" s="1696" t="s">
        <v>2727</v>
      </c>
      <c r="H28" s="1696" t="s">
        <v>2779</v>
      </c>
    </row>
    <row r="29" customFormat="false" ht="15" hidden="false" customHeight="true" outlineLevel="0" collapsed="false">
      <c r="B29" s="1696" t="s">
        <v>2780</v>
      </c>
      <c r="C29" s="1696" t="s">
        <v>2727</v>
      </c>
      <c r="D29" s="1696" t="s">
        <v>2781</v>
      </c>
      <c r="E29" s="1696"/>
      <c r="F29" s="1696" t="s">
        <v>2782</v>
      </c>
      <c r="G29" s="1696" t="s">
        <v>2727</v>
      </c>
      <c r="H29" s="1696" t="s">
        <v>2783</v>
      </c>
    </row>
    <row r="30" customFormat="false" ht="15" hidden="false" customHeight="true" outlineLevel="0" collapsed="false">
      <c r="B30" s="1696"/>
      <c r="C30" s="1696" t="s">
        <v>2727</v>
      </c>
      <c r="D30" s="1696" t="s">
        <v>2784</v>
      </c>
      <c r="E30" s="1696"/>
      <c r="F30" s="1696"/>
      <c r="G30" s="1696" t="s">
        <v>2727</v>
      </c>
      <c r="H30" s="1696" t="s">
        <v>2785</v>
      </c>
    </row>
    <row r="31" customFormat="false" ht="15" hidden="false" customHeight="true" outlineLevel="0" collapsed="false">
      <c r="B31" s="1696"/>
      <c r="C31" s="1696"/>
      <c r="D31" s="1696"/>
      <c r="E31" s="1696"/>
      <c r="F31" s="1696"/>
      <c r="G31" s="1696" t="s">
        <v>2727</v>
      </c>
      <c r="H31" s="1696" t="s">
        <v>2786</v>
      </c>
    </row>
    <row r="32" customFormat="false" ht="15" hidden="false" customHeight="true" outlineLevel="0" collapsed="false">
      <c r="B32" s="1696" t="s">
        <v>2787</v>
      </c>
      <c r="C32" s="1696" t="s">
        <v>2727</v>
      </c>
      <c r="D32" s="1696" t="s">
        <v>2788</v>
      </c>
      <c r="E32" s="1696"/>
      <c r="F32" s="1696"/>
      <c r="G32" s="1696" t="s">
        <v>2727</v>
      </c>
      <c r="H32" s="1696" t="s">
        <v>2789</v>
      </c>
    </row>
    <row r="33" customFormat="false" ht="15" hidden="false" customHeight="true" outlineLevel="0" collapsed="false">
      <c r="B33" s="1696"/>
      <c r="C33" s="1696" t="s">
        <v>2727</v>
      </c>
      <c r="D33" s="1696" t="s">
        <v>2790</v>
      </c>
      <c r="E33" s="1696"/>
    </row>
    <row r="34" customFormat="false" ht="15" hidden="false" customHeight="true" outlineLevel="0" collapsed="false">
      <c r="B34" s="1696"/>
      <c r="C34" s="1696" t="s">
        <v>2727</v>
      </c>
      <c r="D34" s="1696" t="s">
        <v>2791</v>
      </c>
      <c r="E34" s="1696"/>
      <c r="F34" s="1696" t="s">
        <v>2792</v>
      </c>
      <c r="G34" s="1696" t="s">
        <v>2727</v>
      </c>
      <c r="H34" s="1696" t="s">
        <v>2793</v>
      </c>
    </row>
    <row r="35" customFormat="false" ht="15" hidden="false" customHeight="true" outlineLevel="0" collapsed="false">
      <c r="B35" s="1696"/>
      <c r="C35" s="1696"/>
      <c r="D35" s="1696"/>
      <c r="E35" s="1696"/>
      <c r="F35" s="1696" t="s">
        <v>2794</v>
      </c>
      <c r="G35" s="1696" t="s">
        <v>2727</v>
      </c>
      <c r="H35" s="1696" t="s">
        <v>2795</v>
      </c>
    </row>
    <row r="36" customFormat="false" ht="15" hidden="false" customHeight="true" outlineLevel="0" collapsed="false">
      <c r="B36" s="1696" t="s">
        <v>2796</v>
      </c>
      <c r="C36" s="1696" t="s">
        <v>2727</v>
      </c>
      <c r="D36" s="1696" t="s">
        <v>2797</v>
      </c>
      <c r="E36" s="1696"/>
      <c r="F36" s="1696" t="s">
        <v>2798</v>
      </c>
      <c r="G36" s="1696" t="s">
        <v>2727</v>
      </c>
      <c r="H36" s="1696" t="s">
        <v>2799</v>
      </c>
    </row>
    <row r="37" customFormat="false" ht="15" hidden="false" customHeight="true" outlineLevel="0" collapsed="false">
      <c r="B37" s="1700"/>
      <c r="C37" s="1700"/>
      <c r="D37" s="1700"/>
      <c r="E37" s="1700"/>
      <c r="F37" s="1700"/>
      <c r="G37" s="1700"/>
      <c r="H37" s="1700"/>
    </row>
    <row r="38" customFormat="false" ht="15" hidden="false" customHeight="true" outlineLevel="0" collapsed="false">
      <c r="B38" s="929" t="s">
        <v>2800</v>
      </c>
      <c r="C38" s="929"/>
      <c r="D38" s="929"/>
      <c r="E38" s="929"/>
      <c r="F38" s="929"/>
      <c r="G38" s="929"/>
      <c r="H38" s="929"/>
    </row>
    <row r="39" customFormat="false" ht="12.75" hidden="false" customHeight="false" outlineLevel="0" collapsed="false">
      <c r="B39" s="264"/>
      <c r="C39" s="264"/>
      <c r="D39" s="264"/>
      <c r="E39" s="264"/>
      <c r="F39" s="264"/>
      <c r="G39" s="264"/>
      <c r="H39" s="264"/>
    </row>
  </sheetData>
  <mergeCells count="3">
    <mergeCell ref="B1:H1"/>
    <mergeCell ref="B2:H2"/>
    <mergeCell ref="B38:H38"/>
  </mergeCells>
  <printOptions headings="false" gridLines="false" gridLinesSet="true" horizontalCentered="false" verticalCentered="false"/>
  <pageMargins left="0.708333333333333" right="0.708333333333333" top="0.747916666666667" bottom="0.748611111111111" header="0.511805555555555" footer="0.315277777777778"/>
  <pageSetup paperSize="1" scale="100" firstPageNumber="11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>&amp;C&amp;"Times New Roman,Regular"&amp;8&amp;P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8" topLeftCell="B30" activePane="bottomRight" state="frozen"/>
      <selection pane="topLeft" activeCell="A1" activeCellId="0" sqref="A1"/>
      <selection pane="topRight" activeCell="B1" activeCellId="0" sqref="B1"/>
      <selection pane="bottomLeft" activeCell="A30" activeCellId="0" sqref="A30"/>
      <selection pane="bottomRight" activeCell="Q45" activeCellId="0" sqref="Q45"/>
    </sheetView>
  </sheetViews>
  <sheetFormatPr defaultColWidth="9.15625" defaultRowHeight="11.25" zeroHeight="false" outlineLevelRow="0" outlineLevelCol="0"/>
  <cols>
    <col collapsed="false" customWidth="true" hidden="false" outlineLevel="0" max="1" min="1" style="107" width="8.57"/>
    <col collapsed="false" customWidth="true" hidden="false" outlineLevel="0" max="2" min="2" style="107" width="9.58"/>
    <col collapsed="false" customWidth="true" hidden="false" outlineLevel="0" max="3" min="3" style="107" width="10.14"/>
    <col collapsed="false" customWidth="true" hidden="false" outlineLevel="0" max="4" min="4" style="107" width="11.99"/>
    <col collapsed="false" customWidth="true" hidden="false" outlineLevel="0" max="5" min="5" style="107" width="10.85"/>
    <col collapsed="false" customWidth="true" hidden="false" outlineLevel="0" max="6" min="6" style="107" width="10.29"/>
    <col collapsed="false" customWidth="true" hidden="false" outlineLevel="0" max="7" min="7" style="107" width="8"/>
    <col collapsed="false" customWidth="false" hidden="false" outlineLevel="0" max="9" min="8" style="107" width="9.14"/>
    <col collapsed="false" customWidth="true" hidden="false" outlineLevel="0" max="10" min="10" style="107" width="10"/>
    <col collapsed="false" customWidth="true" hidden="false" outlineLevel="0" max="11" min="11" style="107" width="10.29"/>
    <col collapsed="false" customWidth="true" hidden="false" outlineLevel="0" max="12" min="12" style="107" width="10.14"/>
    <col collapsed="false" customWidth="true" hidden="false" outlineLevel="0" max="13" min="13" style="107" width="8.57"/>
    <col collapsed="false" customWidth="true" hidden="false" outlineLevel="0" max="14" min="14" style="107" width="8.42"/>
    <col collapsed="false" customWidth="true" hidden="false" outlineLevel="0" max="15" min="15" style="107" width="9.29"/>
    <col collapsed="false" customWidth="true" hidden="false" outlineLevel="0" max="16" min="16" style="107" width="9"/>
    <col collapsed="false" customWidth="false" hidden="false" outlineLevel="0" max="1024" min="17" style="107" width="9.14"/>
  </cols>
  <sheetData>
    <row r="1" s="108" customFormat="true" ht="15" hidden="false" customHeight="true" outlineLevel="0" collapsed="false">
      <c r="A1" s="260"/>
      <c r="B1" s="260"/>
      <c r="C1" s="260"/>
      <c r="D1" s="113"/>
      <c r="G1" s="112" t="s">
        <v>303</v>
      </c>
      <c r="H1" s="112"/>
      <c r="I1" s="113" t="s">
        <v>304</v>
      </c>
      <c r="J1" s="113"/>
      <c r="K1" s="261"/>
      <c r="L1" s="261"/>
      <c r="M1" s="261"/>
      <c r="N1" s="261"/>
      <c r="O1" s="112" t="s">
        <v>305</v>
      </c>
      <c r="P1" s="112"/>
    </row>
    <row r="2" customFormat="false" ht="12" hidden="false" customHeight="true" outlineLevel="0" collapsed="false">
      <c r="A2" s="342"/>
      <c r="O2" s="343" t="s">
        <v>110</v>
      </c>
      <c r="P2" s="343"/>
    </row>
    <row r="3" s="349" customFormat="true" ht="15" hidden="false" customHeight="true" outlineLevel="0" collapsed="false">
      <c r="A3" s="135" t="s">
        <v>306</v>
      </c>
      <c r="B3" s="344" t="s">
        <v>307</v>
      </c>
      <c r="C3" s="344"/>
      <c r="D3" s="344"/>
      <c r="E3" s="345" t="s">
        <v>308</v>
      </c>
      <c r="F3" s="345"/>
      <c r="G3" s="345"/>
      <c r="H3" s="345"/>
      <c r="I3" s="346" t="s">
        <v>309</v>
      </c>
      <c r="J3" s="346"/>
      <c r="K3" s="346"/>
      <c r="L3" s="347"/>
      <c r="M3" s="348" t="s">
        <v>310</v>
      </c>
      <c r="N3" s="348" t="s">
        <v>311</v>
      </c>
      <c r="O3" s="348" t="s">
        <v>312</v>
      </c>
      <c r="P3" s="135" t="s">
        <v>306</v>
      </c>
    </row>
    <row r="4" s="349" customFormat="true" ht="15" hidden="false" customHeight="true" outlineLevel="0" collapsed="false">
      <c r="A4" s="135"/>
      <c r="B4" s="350" t="s">
        <v>176</v>
      </c>
      <c r="C4" s="348" t="s">
        <v>177</v>
      </c>
      <c r="D4" s="348" t="s">
        <v>313</v>
      </c>
      <c r="E4" s="269" t="s">
        <v>314</v>
      </c>
      <c r="F4" s="269"/>
      <c r="G4" s="269"/>
      <c r="H4" s="269"/>
      <c r="I4" s="269"/>
      <c r="J4" s="269"/>
      <c r="K4" s="351" t="s">
        <v>315</v>
      </c>
      <c r="L4" s="131" t="s">
        <v>316</v>
      </c>
      <c r="M4" s="348"/>
      <c r="N4" s="348"/>
      <c r="O4" s="348"/>
      <c r="P4" s="135"/>
    </row>
    <row r="5" s="349" customFormat="true" ht="15" hidden="false" customHeight="true" outlineLevel="0" collapsed="false">
      <c r="A5" s="135"/>
      <c r="B5" s="350"/>
      <c r="C5" s="348"/>
      <c r="D5" s="348"/>
      <c r="E5" s="131" t="s">
        <v>317</v>
      </c>
      <c r="F5" s="131"/>
      <c r="G5" s="131"/>
      <c r="H5" s="348" t="s">
        <v>318</v>
      </c>
      <c r="I5" s="348"/>
      <c r="J5" s="348"/>
      <c r="K5" s="351"/>
      <c r="L5" s="131"/>
      <c r="M5" s="131"/>
      <c r="N5" s="131"/>
      <c r="O5" s="131"/>
      <c r="P5" s="135"/>
    </row>
    <row r="6" s="349" customFormat="true" ht="15" hidden="false" customHeight="true" outlineLevel="0" collapsed="false">
      <c r="A6" s="135"/>
      <c r="B6" s="350"/>
      <c r="C6" s="348"/>
      <c r="D6" s="348"/>
      <c r="E6" s="348" t="s">
        <v>176</v>
      </c>
      <c r="F6" s="348" t="s">
        <v>177</v>
      </c>
      <c r="G6" s="348" t="s">
        <v>319</v>
      </c>
      <c r="H6" s="348" t="s">
        <v>176</v>
      </c>
      <c r="I6" s="348" t="s">
        <v>177</v>
      </c>
      <c r="J6" s="348" t="s">
        <v>320</v>
      </c>
      <c r="K6" s="351"/>
      <c r="L6" s="131"/>
      <c r="M6" s="131"/>
      <c r="N6" s="131"/>
      <c r="O6" s="131"/>
      <c r="P6" s="135"/>
    </row>
    <row r="7" s="349" customFormat="true" ht="15" hidden="false" customHeight="true" outlineLevel="0" collapsed="false">
      <c r="A7" s="135"/>
      <c r="B7" s="350"/>
      <c r="C7" s="348"/>
      <c r="D7" s="348"/>
      <c r="E7" s="348"/>
      <c r="F7" s="348"/>
      <c r="G7" s="348"/>
      <c r="H7" s="348"/>
      <c r="I7" s="348"/>
      <c r="J7" s="348"/>
      <c r="K7" s="351"/>
      <c r="L7" s="131"/>
      <c r="M7" s="348"/>
      <c r="N7" s="348"/>
      <c r="O7" s="348"/>
      <c r="P7" s="135"/>
    </row>
    <row r="8" s="353" customFormat="true" ht="15" hidden="false" customHeight="true" outlineLevel="0" collapsed="false">
      <c r="A8" s="135"/>
      <c r="B8" s="352" t="n">
        <v>1</v>
      </c>
      <c r="C8" s="352" t="n">
        <v>2</v>
      </c>
      <c r="D8" s="352" t="n">
        <v>3</v>
      </c>
      <c r="E8" s="352" t="n">
        <v>4</v>
      </c>
      <c r="F8" s="352" t="n">
        <v>5</v>
      </c>
      <c r="G8" s="352" t="n">
        <v>6</v>
      </c>
      <c r="H8" s="352" t="n">
        <v>7</v>
      </c>
      <c r="I8" s="352" t="n">
        <v>8</v>
      </c>
      <c r="J8" s="352" t="n">
        <v>9</v>
      </c>
      <c r="K8" s="352" t="n">
        <v>10</v>
      </c>
      <c r="L8" s="352" t="n">
        <v>11</v>
      </c>
      <c r="M8" s="352" t="n">
        <v>12</v>
      </c>
      <c r="N8" s="352" t="n">
        <v>13</v>
      </c>
      <c r="O8" s="352" t="n">
        <v>14</v>
      </c>
      <c r="P8" s="135"/>
    </row>
    <row r="9" customFormat="false" ht="11.25" hidden="false" customHeight="true" outlineLevel="0" collapsed="false">
      <c r="A9" s="354" t="s">
        <v>203</v>
      </c>
      <c r="B9" s="355" t="n">
        <v>61181</v>
      </c>
      <c r="C9" s="170" t="n">
        <v>5868.8</v>
      </c>
      <c r="D9" s="170" t="n">
        <f aca="false">B9+C9</f>
        <v>67049.8</v>
      </c>
      <c r="E9" s="216" t="n">
        <v>21471.2</v>
      </c>
      <c r="F9" s="216" t="n">
        <v>32781.7</v>
      </c>
      <c r="G9" s="170" t="n">
        <f aca="false">E9+F9</f>
        <v>54252.9</v>
      </c>
      <c r="H9" s="170" t="n">
        <v>830.7</v>
      </c>
      <c r="I9" s="216" t="n">
        <v>11983.2</v>
      </c>
      <c r="J9" s="170" t="n">
        <f aca="false">H9+I9</f>
        <v>12813.9</v>
      </c>
      <c r="K9" s="288" t="n">
        <v>270760.8</v>
      </c>
      <c r="L9" s="192" t="n">
        <f aca="false">G9+J9+K9</f>
        <v>337827.6</v>
      </c>
      <c r="M9" s="216" t="n">
        <v>-41846</v>
      </c>
      <c r="N9" s="192" t="n">
        <f aca="false">L9+M9</f>
        <v>295981.6</v>
      </c>
      <c r="O9" s="288" t="n">
        <v>363031.2</v>
      </c>
      <c r="P9" s="356" t="s">
        <v>203</v>
      </c>
    </row>
    <row r="10" s="222" customFormat="true" ht="11.25" hidden="false" customHeight="true" outlineLevel="0" collapsed="false">
      <c r="A10" s="357" t="s">
        <v>205</v>
      </c>
      <c r="B10" s="358" t="n">
        <v>61342.1</v>
      </c>
      <c r="C10" s="161" t="n">
        <v>9231.3</v>
      </c>
      <c r="D10" s="161" t="n">
        <f aca="false">B10+C10</f>
        <v>70573.4</v>
      </c>
      <c r="E10" s="217" t="n">
        <v>31710.5</v>
      </c>
      <c r="F10" s="217" t="n">
        <v>41517.4</v>
      </c>
      <c r="G10" s="161" t="n">
        <f aca="false">E10+F10</f>
        <v>73227.9</v>
      </c>
      <c r="H10" s="161" t="n">
        <v>776.7</v>
      </c>
      <c r="I10" s="217" t="n">
        <v>16175.7</v>
      </c>
      <c r="J10" s="161" t="n">
        <f aca="false">H10+I10</f>
        <v>16952.4</v>
      </c>
      <c r="K10" s="184" t="n">
        <v>340712.7</v>
      </c>
      <c r="L10" s="186" t="n">
        <f aca="false">G10+J10+K10</f>
        <v>430893</v>
      </c>
      <c r="M10" s="217" t="n">
        <v>-60946.4</v>
      </c>
      <c r="N10" s="186" t="n">
        <v>369946.5</v>
      </c>
      <c r="O10" s="184" t="n">
        <v>440519.9</v>
      </c>
      <c r="P10" s="359" t="s">
        <v>205</v>
      </c>
    </row>
    <row r="11" s="222" customFormat="true" ht="11.25" hidden="false" customHeight="true" outlineLevel="0" collapsed="false">
      <c r="A11" s="354" t="s">
        <v>282</v>
      </c>
      <c r="B11" s="355" t="n">
        <v>68930.1</v>
      </c>
      <c r="C11" s="170" t="n">
        <v>9888.6</v>
      </c>
      <c r="D11" s="170" t="n">
        <f aca="false">B11+C11</f>
        <v>78818.7</v>
      </c>
      <c r="E11" s="216" t="n">
        <v>37854.9</v>
      </c>
      <c r="F11" s="216" t="n">
        <v>53873.9</v>
      </c>
      <c r="G11" s="170" t="n">
        <v>91728.9</v>
      </c>
      <c r="H11" s="170" t="n">
        <v>1181.9</v>
      </c>
      <c r="I11" s="216" t="n">
        <v>14160.2</v>
      </c>
      <c r="J11" s="170" t="n">
        <v>15342.1</v>
      </c>
      <c r="K11" s="288" t="n">
        <v>407901.6</v>
      </c>
      <c r="L11" s="192" t="n">
        <v>514972.6</v>
      </c>
      <c r="M11" s="216" t="n">
        <v>-76681.7</v>
      </c>
      <c r="N11" s="192" t="n">
        <v>438290.8</v>
      </c>
      <c r="O11" s="288" t="n">
        <v>517109.5</v>
      </c>
      <c r="P11" s="356" t="s">
        <v>282</v>
      </c>
    </row>
    <row r="12" s="222" customFormat="true" ht="11.25" hidden="false" customHeight="true" outlineLevel="0" collapsed="false">
      <c r="A12" s="357" t="s">
        <v>207</v>
      </c>
      <c r="B12" s="358" t="n">
        <v>103246</v>
      </c>
      <c r="C12" s="161" t="n">
        <v>10004.2</v>
      </c>
      <c r="D12" s="161" t="n">
        <v>113250.2</v>
      </c>
      <c r="E12" s="217" t="n">
        <v>27069</v>
      </c>
      <c r="F12" s="217" t="n">
        <v>83055.6</v>
      </c>
      <c r="G12" s="161" t="n">
        <v>110124.6</v>
      </c>
      <c r="H12" s="161" t="n">
        <v>1354.5</v>
      </c>
      <c r="I12" s="217" t="n">
        <v>8100.8</v>
      </c>
      <c r="J12" s="161" t="n">
        <v>9455.3</v>
      </c>
      <c r="K12" s="184" t="n">
        <v>452157.2</v>
      </c>
      <c r="L12" s="186" t="n">
        <v>571737.1</v>
      </c>
      <c r="M12" s="217" t="n">
        <v>-81481.7</v>
      </c>
      <c r="N12" s="186" t="n">
        <f aca="false">L12+M12</f>
        <v>490255.4</v>
      </c>
      <c r="O12" s="186" t="n">
        <f aca="false">D12+N12</f>
        <v>603505.6</v>
      </c>
      <c r="P12" s="359" t="s">
        <v>207</v>
      </c>
    </row>
    <row r="13" s="184" customFormat="true" ht="11.25" hidden="false" customHeight="true" outlineLevel="0" collapsed="false">
      <c r="A13" s="189" t="s">
        <v>208</v>
      </c>
      <c r="B13" s="192" t="n">
        <v>147496.6</v>
      </c>
      <c r="C13" s="192" t="n">
        <v>12560</v>
      </c>
      <c r="D13" s="192" t="n">
        <v>160056.6</v>
      </c>
      <c r="E13" s="192" t="n">
        <v>3840.6</v>
      </c>
      <c r="F13" s="192" t="n">
        <v>113688.8</v>
      </c>
      <c r="G13" s="192" t="n">
        <v>117529.4</v>
      </c>
      <c r="H13" s="192" t="n">
        <v>1202.7</v>
      </c>
      <c r="I13" s="192" t="n">
        <v>11534.2</v>
      </c>
      <c r="J13" s="192" t="n">
        <v>12736.9</v>
      </c>
      <c r="K13" s="192" t="n">
        <v>507639.9</v>
      </c>
      <c r="L13" s="192" t="n">
        <v>637906.2</v>
      </c>
      <c r="M13" s="192" t="n">
        <v>-97339.3</v>
      </c>
      <c r="N13" s="192" t="n">
        <v>540566.9</v>
      </c>
      <c r="O13" s="192" t="n">
        <v>700623.5</v>
      </c>
      <c r="P13" s="360" t="s">
        <v>208</v>
      </c>
    </row>
    <row r="14" s="184" customFormat="true" ht="11.25" hidden="false" customHeight="true" outlineLevel="0" collapsed="false">
      <c r="A14" s="185" t="s">
        <v>209</v>
      </c>
      <c r="B14" s="361" t="n">
        <v>177401.3</v>
      </c>
      <c r="C14" s="361" t="n">
        <v>11827.5</v>
      </c>
      <c r="D14" s="196" t="n">
        <v>189228.8</v>
      </c>
      <c r="E14" s="196" t="n">
        <v>810.5</v>
      </c>
      <c r="F14" s="196" t="n">
        <v>109446.8</v>
      </c>
      <c r="G14" s="196" t="n">
        <v>110257.3</v>
      </c>
      <c r="H14" s="196" t="n">
        <v>2160.8</v>
      </c>
      <c r="I14" s="196" t="n">
        <v>14509</v>
      </c>
      <c r="J14" s="196" t="n">
        <v>16669.8</v>
      </c>
      <c r="K14" s="196" t="n">
        <v>574599.4</v>
      </c>
      <c r="L14" s="196" t="n">
        <v>701526.5</v>
      </c>
      <c r="M14" s="196" t="n">
        <v>-103141.2</v>
      </c>
      <c r="N14" s="196" t="n">
        <v>598385.3</v>
      </c>
      <c r="O14" s="196" t="n">
        <v>787614.1</v>
      </c>
      <c r="P14" s="362" t="s">
        <v>209</v>
      </c>
    </row>
    <row r="15" s="252" customFormat="true" ht="11.25" hidden="false" customHeight="true" outlineLevel="0" collapsed="false">
      <c r="A15" s="287" t="s">
        <v>211</v>
      </c>
      <c r="B15" s="192" t="n">
        <v>218904.1</v>
      </c>
      <c r="C15" s="192" t="n">
        <v>14231.5</v>
      </c>
      <c r="D15" s="192" t="n">
        <v>233135.6</v>
      </c>
      <c r="E15" s="192" t="n">
        <v>13373.7</v>
      </c>
      <c r="F15" s="192" t="n">
        <v>100845.9</v>
      </c>
      <c r="G15" s="192" t="n">
        <v>114219.6</v>
      </c>
      <c r="H15" s="192" t="n">
        <v>2015.5</v>
      </c>
      <c r="I15" s="192" t="n">
        <v>14035.6</v>
      </c>
      <c r="J15" s="192" t="n">
        <v>16051.1</v>
      </c>
      <c r="K15" s="192" t="n">
        <v>671009.3</v>
      </c>
      <c r="L15" s="192" t="n">
        <v>801280</v>
      </c>
      <c r="M15" s="192" t="n">
        <v>-118037.8</v>
      </c>
      <c r="N15" s="192" t="n">
        <v>683242.2</v>
      </c>
      <c r="O15" s="192" t="n">
        <v>916377.8</v>
      </c>
      <c r="P15" s="290" t="s">
        <v>211</v>
      </c>
    </row>
    <row r="16" s="363" customFormat="true" ht="11.25" hidden="false" customHeight="true" outlineLevel="0" collapsed="false">
      <c r="A16" s="294" t="s">
        <v>212</v>
      </c>
      <c r="B16" s="295" t="n">
        <v>252027</v>
      </c>
      <c r="C16" s="295" t="n">
        <v>14670</v>
      </c>
      <c r="D16" s="295" t="n">
        <v>266697</v>
      </c>
      <c r="E16" s="295" t="n">
        <v>12977.7</v>
      </c>
      <c r="F16" s="295" t="n">
        <v>84355.8</v>
      </c>
      <c r="G16" s="295" t="n">
        <v>97333.5</v>
      </c>
      <c r="H16" s="295" t="n">
        <v>2157.8</v>
      </c>
      <c r="I16" s="295" t="n">
        <v>15122.4</v>
      </c>
      <c r="J16" s="295" t="n">
        <v>17280.2</v>
      </c>
      <c r="K16" s="295" t="n">
        <v>776056.5</v>
      </c>
      <c r="L16" s="295" t="n">
        <v>890670.2</v>
      </c>
      <c r="M16" s="295" t="n">
        <v>-141291.1</v>
      </c>
      <c r="N16" s="295" t="n">
        <v>749379.1</v>
      </c>
      <c r="O16" s="295" t="n">
        <v>1016076.1</v>
      </c>
      <c r="P16" s="297" t="s">
        <v>212</v>
      </c>
    </row>
    <row r="17" s="363" customFormat="true" ht="11.25" hidden="false" customHeight="true" outlineLevel="0" collapsed="false">
      <c r="A17" s="298" t="s">
        <v>213</v>
      </c>
      <c r="B17" s="299" t="n">
        <f aca="false">B29</f>
        <v>253509.8</v>
      </c>
      <c r="C17" s="299" t="n">
        <f aca="false">C29</f>
        <v>11164.6</v>
      </c>
      <c r="D17" s="299" t="n">
        <f aca="false">D29</f>
        <v>264674.4</v>
      </c>
      <c r="E17" s="299" t="n">
        <f aca="false">E29</f>
        <v>22572.2</v>
      </c>
      <c r="F17" s="299" t="n">
        <f aca="false">F29</f>
        <v>72322.7</v>
      </c>
      <c r="G17" s="299" t="n">
        <f aca="false">G29</f>
        <v>94894.9</v>
      </c>
      <c r="H17" s="299" t="n">
        <f aca="false">H29</f>
        <v>2367.8</v>
      </c>
      <c r="I17" s="299" t="n">
        <f aca="false">I29</f>
        <v>16832.3</v>
      </c>
      <c r="J17" s="299" t="n">
        <f aca="false">J29</f>
        <v>19200.1</v>
      </c>
      <c r="K17" s="299" t="n">
        <f aca="false">K29</f>
        <v>907531.6</v>
      </c>
      <c r="L17" s="299" t="n">
        <f aca="false">L29</f>
        <v>1021626.6</v>
      </c>
      <c r="M17" s="299" t="n">
        <f aca="false">M29</f>
        <v>-176320</v>
      </c>
      <c r="N17" s="299" t="n">
        <f aca="false">N29</f>
        <v>845306.6</v>
      </c>
      <c r="O17" s="299" t="n">
        <f aca="false">O29</f>
        <v>1109981</v>
      </c>
      <c r="P17" s="301" t="s">
        <v>213</v>
      </c>
    </row>
    <row r="18" s="363" customFormat="true" ht="11.25" hidden="false" customHeight="true" outlineLevel="0" collapsed="false">
      <c r="A18" s="207" t="s">
        <v>214</v>
      </c>
      <c r="B18" s="186" t="n">
        <v>251647.8</v>
      </c>
      <c r="C18" s="186" t="n">
        <v>13105.3</v>
      </c>
      <c r="D18" s="186" t="n">
        <f aca="false">B18+C18</f>
        <v>264753.1</v>
      </c>
      <c r="E18" s="186" t="n">
        <v>3564.5</v>
      </c>
      <c r="F18" s="186" t="n">
        <v>91195.3</v>
      </c>
      <c r="G18" s="186" t="n">
        <f aca="false">E18+F18</f>
        <v>94759.8</v>
      </c>
      <c r="H18" s="186" t="n">
        <v>2147.5</v>
      </c>
      <c r="I18" s="186" t="n">
        <v>15420.4</v>
      </c>
      <c r="J18" s="186" t="n">
        <f aca="false">H18+I18</f>
        <v>17567.9</v>
      </c>
      <c r="K18" s="186" t="n">
        <f aca="false">4920.2+773095.4</f>
        <v>778015.6</v>
      </c>
      <c r="L18" s="186" t="n">
        <f aca="false">G18+J18+K18</f>
        <v>890343.3</v>
      </c>
      <c r="M18" s="186" t="n">
        <v>-145504.7</v>
      </c>
      <c r="N18" s="186" t="n">
        <f aca="false">L18+M18</f>
        <v>744838.6</v>
      </c>
      <c r="O18" s="186" t="n">
        <f aca="false">D18+N18</f>
        <v>1009591.7</v>
      </c>
      <c r="P18" s="364" t="s">
        <v>214</v>
      </c>
    </row>
    <row r="19" s="252" customFormat="true" ht="11.25" hidden="false" customHeight="true" outlineLevel="0" collapsed="false">
      <c r="A19" s="215" t="s">
        <v>215</v>
      </c>
      <c r="B19" s="192" t="n">
        <v>251630.1</v>
      </c>
      <c r="C19" s="192" t="n">
        <v>14305.3</v>
      </c>
      <c r="D19" s="192" t="n">
        <f aca="false">B19+C19</f>
        <v>265935.4</v>
      </c>
      <c r="E19" s="192" t="n">
        <v>14699.8</v>
      </c>
      <c r="F19" s="192" t="n">
        <v>86587.6</v>
      </c>
      <c r="G19" s="192" t="n">
        <f aca="false">E19+F19</f>
        <v>101287.4</v>
      </c>
      <c r="H19" s="192" t="n">
        <v>2150.2</v>
      </c>
      <c r="I19" s="192" t="n">
        <v>15541.5</v>
      </c>
      <c r="J19" s="192" t="n">
        <f aca="false">H19+I19</f>
        <v>17691.7</v>
      </c>
      <c r="K19" s="192" t="n">
        <f aca="false">4833.9+786973.2</f>
        <v>791807.1</v>
      </c>
      <c r="L19" s="192" t="n">
        <f aca="false">G19+J19+K19</f>
        <v>910786.2</v>
      </c>
      <c r="M19" s="192" t="n">
        <v>-145569.9</v>
      </c>
      <c r="N19" s="192" t="n">
        <f aca="false">L19+M19</f>
        <v>765216.3</v>
      </c>
      <c r="O19" s="192" t="n">
        <f aca="false">D19+N19</f>
        <v>1031151.7</v>
      </c>
      <c r="P19" s="365" t="s">
        <v>215</v>
      </c>
    </row>
    <row r="20" s="363" customFormat="true" ht="11.25" hidden="false" customHeight="true" outlineLevel="0" collapsed="false">
      <c r="A20" s="207" t="s">
        <v>216</v>
      </c>
      <c r="B20" s="186" t="n">
        <v>250809.7</v>
      </c>
      <c r="C20" s="186" t="n">
        <v>12244.6</v>
      </c>
      <c r="D20" s="186" t="n">
        <f aca="false">B20+C20</f>
        <v>263054.3</v>
      </c>
      <c r="E20" s="186" t="n">
        <v>6694.8</v>
      </c>
      <c r="F20" s="186" t="n">
        <v>87743.3</v>
      </c>
      <c r="G20" s="186" t="n">
        <f aca="false">E20+F20</f>
        <v>94438.1</v>
      </c>
      <c r="H20" s="186" t="n">
        <v>2152.6</v>
      </c>
      <c r="I20" s="186" t="n">
        <v>15524.7</v>
      </c>
      <c r="J20" s="186" t="n">
        <f aca="false">H20+I20</f>
        <v>17677.3</v>
      </c>
      <c r="K20" s="186" t="n">
        <f aca="false">4844.2+796381.3</f>
        <v>801225.5</v>
      </c>
      <c r="L20" s="186" t="n">
        <f aca="false">G20+J20+K20</f>
        <v>913340.9</v>
      </c>
      <c r="M20" s="186" t="n">
        <v>-147694.4</v>
      </c>
      <c r="N20" s="186" t="n">
        <f aca="false">L20+M20</f>
        <v>765646.5</v>
      </c>
      <c r="O20" s="186" t="n">
        <f aca="false">D20+N20</f>
        <v>1028700.8</v>
      </c>
      <c r="P20" s="364" t="s">
        <v>216</v>
      </c>
    </row>
    <row r="21" s="252" customFormat="true" ht="11.25" hidden="false" customHeight="true" outlineLevel="0" collapsed="false">
      <c r="A21" s="215" t="s">
        <v>217</v>
      </c>
      <c r="B21" s="192" t="n">
        <v>251637.5</v>
      </c>
      <c r="C21" s="192" t="n">
        <v>11537.9</v>
      </c>
      <c r="D21" s="192" t="n">
        <f aca="false">B21+C21</f>
        <v>263175.4</v>
      </c>
      <c r="E21" s="192" t="n">
        <v>8497.3</v>
      </c>
      <c r="F21" s="192" t="n">
        <v>83686.1</v>
      </c>
      <c r="G21" s="192" t="n">
        <f aca="false">E21+F21</f>
        <v>92183.4</v>
      </c>
      <c r="H21" s="192" t="n">
        <v>2154.9</v>
      </c>
      <c r="I21" s="192" t="n">
        <v>15876.5</v>
      </c>
      <c r="J21" s="192" t="n">
        <f aca="false">H21+I21</f>
        <v>18031.4</v>
      </c>
      <c r="K21" s="192" t="n">
        <f aca="false">4848.8+807831</f>
        <v>812679.8</v>
      </c>
      <c r="L21" s="192" t="n">
        <f aca="false">G21+J21+K21</f>
        <v>922894.6</v>
      </c>
      <c r="M21" s="192" t="n">
        <v>-152848.2</v>
      </c>
      <c r="N21" s="192" t="n">
        <f aca="false">L21+M21</f>
        <v>770046.4</v>
      </c>
      <c r="O21" s="192" t="n">
        <f aca="false">D21+N21</f>
        <v>1033221.8</v>
      </c>
      <c r="P21" s="365" t="s">
        <v>217</v>
      </c>
    </row>
    <row r="22" s="363" customFormat="true" ht="11.25" hidden="false" customHeight="true" outlineLevel="0" collapsed="false">
      <c r="A22" s="207" t="s">
        <v>218</v>
      </c>
      <c r="B22" s="186" t="n">
        <v>252830</v>
      </c>
      <c r="C22" s="186" t="n">
        <v>9708.5</v>
      </c>
      <c r="D22" s="186" t="n">
        <f aca="false">B22+C22</f>
        <v>262538.5</v>
      </c>
      <c r="E22" s="186" t="n">
        <v>8979.1</v>
      </c>
      <c r="F22" s="186" t="n">
        <v>83624</v>
      </c>
      <c r="G22" s="186" t="n">
        <f aca="false">E22+F22</f>
        <v>92603.1</v>
      </c>
      <c r="H22" s="186" t="n">
        <v>2157.4</v>
      </c>
      <c r="I22" s="186" t="n">
        <v>15984.2</v>
      </c>
      <c r="J22" s="186" t="n">
        <f aca="false">H22+I22</f>
        <v>18141.6</v>
      </c>
      <c r="K22" s="186" t="n">
        <f aca="false">4885.6+822058</f>
        <v>826943.6</v>
      </c>
      <c r="L22" s="186" t="n">
        <f aca="false">G22+J22+K22</f>
        <v>937688.3</v>
      </c>
      <c r="M22" s="186" t="n">
        <v>-159861.6</v>
      </c>
      <c r="N22" s="186" t="n">
        <f aca="false">L22+M22</f>
        <v>777826.7</v>
      </c>
      <c r="O22" s="186" t="n">
        <f aca="false">D22+N22</f>
        <v>1040365.2</v>
      </c>
      <c r="P22" s="364" t="s">
        <v>218</v>
      </c>
    </row>
    <row r="23" s="252" customFormat="true" ht="11.25" hidden="false" customHeight="true" outlineLevel="0" collapsed="false">
      <c r="A23" s="215" t="s">
        <v>219</v>
      </c>
      <c r="B23" s="192" t="n">
        <v>253497.7</v>
      </c>
      <c r="C23" s="192" t="n">
        <v>10526.1</v>
      </c>
      <c r="D23" s="192" t="n">
        <f aca="false">B23+C23</f>
        <v>264023.8</v>
      </c>
      <c r="E23" s="192" t="n">
        <v>9238.6</v>
      </c>
      <c r="F23" s="192" t="n">
        <v>78037.9</v>
      </c>
      <c r="G23" s="192" t="n">
        <f aca="false">E23+F23</f>
        <v>87276.5</v>
      </c>
      <c r="H23" s="192" t="n">
        <v>2160</v>
      </c>
      <c r="I23" s="192" t="n">
        <v>16465.5</v>
      </c>
      <c r="J23" s="192" t="n">
        <f aca="false">H23+I23</f>
        <v>18625.5</v>
      </c>
      <c r="K23" s="192" t="n">
        <f aca="false">4986.5+841101</f>
        <v>846087.5</v>
      </c>
      <c r="L23" s="192" t="n">
        <f aca="false">G23+J23+K23</f>
        <v>951989.5</v>
      </c>
      <c r="M23" s="192" t="n">
        <v>-160014.4</v>
      </c>
      <c r="N23" s="192" t="n">
        <f aca="false">L23+M23</f>
        <v>791975.1</v>
      </c>
      <c r="O23" s="192" t="n">
        <f aca="false">D23+N23</f>
        <v>1055998.9</v>
      </c>
      <c r="P23" s="365" t="s">
        <v>219</v>
      </c>
    </row>
    <row r="24" s="363" customFormat="true" ht="11.25" hidden="false" customHeight="true" outlineLevel="0" collapsed="false">
      <c r="A24" s="207" t="s">
        <v>220</v>
      </c>
      <c r="B24" s="186" t="n">
        <v>253560.4</v>
      </c>
      <c r="C24" s="186" t="n">
        <v>9127.9</v>
      </c>
      <c r="D24" s="186" t="n">
        <f aca="false">B24+C24</f>
        <v>262688.3</v>
      </c>
      <c r="E24" s="186" t="n">
        <v>7367.2</v>
      </c>
      <c r="F24" s="186" t="n">
        <v>73666.2</v>
      </c>
      <c r="G24" s="186" t="n">
        <f aca="false">E24+F24</f>
        <v>81033.4</v>
      </c>
      <c r="H24" s="186" t="n">
        <v>2208.4</v>
      </c>
      <c r="I24" s="186" t="n">
        <v>16186.8</v>
      </c>
      <c r="J24" s="186" t="n">
        <f aca="false">H24+I24</f>
        <v>18395.2</v>
      </c>
      <c r="K24" s="186" t="n">
        <f aca="false">4993.1+846421.8</f>
        <v>851414.9</v>
      </c>
      <c r="L24" s="186" t="n">
        <f aca="false">G24+J24+K24</f>
        <v>950843.5</v>
      </c>
      <c r="M24" s="186" t="n">
        <v>-165469.6</v>
      </c>
      <c r="N24" s="186" t="n">
        <f aca="false">L24+M24</f>
        <v>785373.9</v>
      </c>
      <c r="O24" s="186" t="n">
        <f aca="false">D24+N24</f>
        <v>1048062.2</v>
      </c>
      <c r="P24" s="364" t="s">
        <v>220</v>
      </c>
    </row>
    <row r="25" s="252" customFormat="true" ht="11.25" hidden="false" customHeight="true" outlineLevel="0" collapsed="false">
      <c r="A25" s="215" t="s">
        <v>221</v>
      </c>
      <c r="B25" s="192" t="n">
        <v>253570.9</v>
      </c>
      <c r="C25" s="192" t="n">
        <v>8786</v>
      </c>
      <c r="D25" s="192" t="n">
        <f aca="false">B25+C25</f>
        <v>262356.9</v>
      </c>
      <c r="E25" s="192" t="n">
        <v>7078.4</v>
      </c>
      <c r="F25" s="192" t="n">
        <v>67990.9</v>
      </c>
      <c r="G25" s="192" t="n">
        <f aca="false">E25+F25</f>
        <v>75069.3</v>
      </c>
      <c r="H25" s="192" t="n">
        <v>2211.1</v>
      </c>
      <c r="I25" s="192" t="n">
        <v>16347.7</v>
      </c>
      <c r="J25" s="192" t="n">
        <f aca="false">H25+I25</f>
        <v>18558.8</v>
      </c>
      <c r="K25" s="192" t="n">
        <f aca="false">4920.7+857304.1</f>
        <v>862224.8</v>
      </c>
      <c r="L25" s="192" t="n">
        <f aca="false">G25+J25+K25</f>
        <v>955852.9</v>
      </c>
      <c r="M25" s="192" t="n">
        <v>-166663</v>
      </c>
      <c r="N25" s="192" t="n">
        <f aca="false">L25+M25</f>
        <v>789189.9</v>
      </c>
      <c r="O25" s="192" t="n">
        <f aca="false">D25+N25</f>
        <v>1051546.8</v>
      </c>
      <c r="P25" s="365" t="s">
        <v>221</v>
      </c>
    </row>
    <row r="26" s="363" customFormat="true" ht="11.25" hidden="false" customHeight="true" outlineLevel="0" collapsed="false">
      <c r="A26" s="207" t="s">
        <v>222</v>
      </c>
      <c r="B26" s="186" t="n">
        <v>252905.8</v>
      </c>
      <c r="C26" s="186" t="n">
        <v>10165.6</v>
      </c>
      <c r="D26" s="186" t="n">
        <f aca="false">B26+C26</f>
        <v>263071.4</v>
      </c>
      <c r="E26" s="186" t="n">
        <v>10068.4</v>
      </c>
      <c r="F26" s="186" t="n">
        <v>64507.1</v>
      </c>
      <c r="G26" s="186" t="n">
        <f aca="false">E26+F26</f>
        <v>74575.5</v>
      </c>
      <c r="H26" s="186" t="n">
        <v>2213.9</v>
      </c>
      <c r="I26" s="186" t="n">
        <v>15984.5</v>
      </c>
      <c r="J26" s="186" t="n">
        <f aca="false">H26+I26</f>
        <v>18198.4</v>
      </c>
      <c r="K26" s="186" t="n">
        <f aca="false">4958.9+866472.6</f>
        <v>871431.5</v>
      </c>
      <c r="L26" s="186" t="n">
        <f aca="false">G26+J26+K26</f>
        <v>964205.4</v>
      </c>
      <c r="M26" s="186" t="n">
        <v>-173163.6</v>
      </c>
      <c r="N26" s="186" t="n">
        <f aca="false">L26+M26</f>
        <v>791041.8</v>
      </c>
      <c r="O26" s="186" t="n">
        <f aca="false">D26+N26</f>
        <v>1054113.2</v>
      </c>
      <c r="P26" s="364" t="s">
        <v>222</v>
      </c>
    </row>
    <row r="27" s="252" customFormat="true" ht="11.25" hidden="false" customHeight="true" outlineLevel="0" collapsed="false">
      <c r="A27" s="215" t="s">
        <v>223</v>
      </c>
      <c r="B27" s="192" t="n">
        <v>251317</v>
      </c>
      <c r="C27" s="192" t="n">
        <v>7482.2</v>
      </c>
      <c r="D27" s="192" t="n">
        <f aca="false">B27+C27</f>
        <v>258799.2</v>
      </c>
      <c r="E27" s="192" t="n">
        <v>10370.6</v>
      </c>
      <c r="F27" s="192" t="n">
        <v>61258.3</v>
      </c>
      <c r="G27" s="192" t="n">
        <f aca="false">E27+F27</f>
        <v>71628.9</v>
      </c>
      <c r="H27" s="192" t="n">
        <v>2342</v>
      </c>
      <c r="I27" s="192" t="n">
        <v>16992.3</v>
      </c>
      <c r="J27" s="192" t="n">
        <f aca="false">H27+I27</f>
        <v>19334.3</v>
      </c>
      <c r="K27" s="192" t="n">
        <f aca="false">5037.6+876473.2</f>
        <v>881510.8</v>
      </c>
      <c r="L27" s="192" t="n">
        <f aca="false">G27+J27+K27</f>
        <v>972474</v>
      </c>
      <c r="M27" s="192" t="n">
        <v>-171805</v>
      </c>
      <c r="N27" s="192" t="n">
        <f aca="false">L27+M27</f>
        <v>800669</v>
      </c>
      <c r="O27" s="192" t="n">
        <f aca="false">D27+N27</f>
        <v>1059468.2</v>
      </c>
      <c r="P27" s="365" t="s">
        <v>223</v>
      </c>
    </row>
    <row r="28" s="363" customFormat="true" ht="11.25" hidden="false" customHeight="true" outlineLevel="0" collapsed="false">
      <c r="A28" s="207" t="s">
        <v>224</v>
      </c>
      <c r="B28" s="186" t="n">
        <v>252375.2</v>
      </c>
      <c r="C28" s="186" t="n">
        <v>8685.9</v>
      </c>
      <c r="D28" s="186" t="n">
        <f aca="false">B28+C28</f>
        <v>261061.1</v>
      </c>
      <c r="E28" s="186" t="n">
        <v>10663.6</v>
      </c>
      <c r="F28" s="186" t="n">
        <v>66033.1</v>
      </c>
      <c r="G28" s="186" t="n">
        <f aca="false">E28+F28</f>
        <v>76696.7</v>
      </c>
      <c r="H28" s="186" t="n">
        <v>2385.4</v>
      </c>
      <c r="I28" s="186" t="n">
        <v>17421.9</v>
      </c>
      <c r="J28" s="186" t="n">
        <f aca="false">H28+I28</f>
        <v>19807.3</v>
      </c>
      <c r="K28" s="186" t="n">
        <f aca="false">5071.1+887332.3</f>
        <v>892403.4</v>
      </c>
      <c r="L28" s="186" t="n">
        <f aca="false">G28+J28+K28</f>
        <v>988907.4</v>
      </c>
      <c r="M28" s="186" t="n">
        <v>-171670.4</v>
      </c>
      <c r="N28" s="186" t="n">
        <f aca="false">L28+M28</f>
        <v>817237</v>
      </c>
      <c r="O28" s="186" t="n">
        <f aca="false">D28+N28</f>
        <v>1078298.1</v>
      </c>
      <c r="P28" s="364" t="s">
        <v>224</v>
      </c>
    </row>
    <row r="29" s="252" customFormat="true" ht="11.25" hidden="false" customHeight="true" outlineLevel="0" collapsed="false">
      <c r="A29" s="215" t="s">
        <v>225</v>
      </c>
      <c r="B29" s="192" t="n">
        <v>253509.8</v>
      </c>
      <c r="C29" s="192" t="n">
        <v>11164.6</v>
      </c>
      <c r="D29" s="192" t="n">
        <f aca="false">B29+C29</f>
        <v>264674.4</v>
      </c>
      <c r="E29" s="192" t="n">
        <v>22572.2</v>
      </c>
      <c r="F29" s="192" t="n">
        <v>72322.7</v>
      </c>
      <c r="G29" s="192" t="n">
        <f aca="false">E29+F29</f>
        <v>94894.9</v>
      </c>
      <c r="H29" s="192" t="n">
        <v>2367.8</v>
      </c>
      <c r="I29" s="192" t="n">
        <v>16832.3</v>
      </c>
      <c r="J29" s="192" t="n">
        <f aca="false">H29+I29</f>
        <v>19200.1</v>
      </c>
      <c r="K29" s="192" t="n">
        <f aca="false">5146.2+902385.4</f>
        <v>907531.6</v>
      </c>
      <c r="L29" s="192" t="n">
        <f aca="false">G29+J29+K29</f>
        <v>1021626.6</v>
      </c>
      <c r="M29" s="192" t="n">
        <v>-176320</v>
      </c>
      <c r="N29" s="192" t="n">
        <f aca="false">L29+M29</f>
        <v>845306.6</v>
      </c>
      <c r="O29" s="192" t="n">
        <f aca="false">D29+N29</f>
        <v>1109981</v>
      </c>
      <c r="P29" s="365" t="s">
        <v>225</v>
      </c>
    </row>
    <row r="30" s="367" customFormat="true" ht="11.25" hidden="false" customHeight="true" outlineLevel="0" collapsed="false">
      <c r="A30" s="223" t="s">
        <v>226</v>
      </c>
      <c r="B30" s="295" t="n">
        <f aca="false">B42</f>
        <v>257195.4</v>
      </c>
      <c r="C30" s="295" t="n">
        <f aca="false">C42</f>
        <v>15204.1</v>
      </c>
      <c r="D30" s="295" t="n">
        <f aca="false">D42</f>
        <v>272399.5</v>
      </c>
      <c r="E30" s="295" t="n">
        <f aca="false">E42</f>
        <v>31189</v>
      </c>
      <c r="F30" s="295" t="n">
        <f aca="false">F42</f>
        <v>82084.4</v>
      </c>
      <c r="G30" s="295" t="n">
        <f aca="false">G42</f>
        <v>113273.4</v>
      </c>
      <c r="H30" s="295" t="n">
        <f aca="false">H42</f>
        <v>2380.4</v>
      </c>
      <c r="I30" s="295" t="n">
        <f aca="false">I42</f>
        <v>20975.2</v>
      </c>
      <c r="J30" s="295" t="n">
        <f aca="false">J42</f>
        <v>23355.6</v>
      </c>
      <c r="K30" s="295" t="n">
        <f aca="false">K42</f>
        <v>1010255.7</v>
      </c>
      <c r="L30" s="295" t="n">
        <f aca="false">L42</f>
        <v>1146884.7</v>
      </c>
      <c r="M30" s="295" t="n">
        <f aca="false">M42</f>
        <v>-199672.7</v>
      </c>
      <c r="N30" s="295" t="n">
        <f aca="false">N42</f>
        <v>947212</v>
      </c>
      <c r="O30" s="295" t="n">
        <f aca="false">O42</f>
        <v>1219611.5</v>
      </c>
      <c r="P30" s="366" t="s">
        <v>226</v>
      </c>
    </row>
    <row r="31" s="319" customFormat="true" ht="11.25" hidden="false" customHeight="true" outlineLevel="0" collapsed="false">
      <c r="A31" s="215" t="s">
        <v>214</v>
      </c>
      <c r="B31" s="192" t="n">
        <v>251973.1</v>
      </c>
      <c r="C31" s="192" t="n">
        <v>11327.6</v>
      </c>
      <c r="D31" s="192" t="n">
        <f aca="false">B31+C31</f>
        <v>263300.7</v>
      </c>
      <c r="E31" s="192" t="n">
        <v>12131.7</v>
      </c>
      <c r="F31" s="192" t="n">
        <v>85050.8</v>
      </c>
      <c r="G31" s="192" t="n">
        <f aca="false">E31+F31</f>
        <v>97182.5</v>
      </c>
      <c r="H31" s="192" t="n">
        <v>2356.5</v>
      </c>
      <c r="I31" s="192" t="n">
        <v>17127.7</v>
      </c>
      <c r="J31" s="192" t="n">
        <f aca="false">H31+I31</f>
        <v>19484.2</v>
      </c>
      <c r="K31" s="192" t="n">
        <f aca="false">5096.9+896368.7</f>
        <v>901465.6</v>
      </c>
      <c r="L31" s="192" t="n">
        <f aca="false">G31+J31+K31</f>
        <v>1018132.3</v>
      </c>
      <c r="M31" s="192" t="n">
        <v>-175272.3</v>
      </c>
      <c r="N31" s="192" t="n">
        <f aca="false">L31+M31</f>
        <v>842860</v>
      </c>
      <c r="O31" s="192" t="n">
        <f aca="false">D31+N31</f>
        <v>1106160.7</v>
      </c>
      <c r="P31" s="365" t="s">
        <v>214</v>
      </c>
    </row>
    <row r="32" s="222" customFormat="true" ht="11.25" hidden="false" customHeight="true" outlineLevel="0" collapsed="false">
      <c r="A32" s="207" t="s">
        <v>215</v>
      </c>
      <c r="B32" s="186" t="n">
        <v>254675.2</v>
      </c>
      <c r="C32" s="186" t="n">
        <v>12613.9</v>
      </c>
      <c r="D32" s="186" t="n">
        <f aca="false">B32+C32</f>
        <v>267289.1</v>
      </c>
      <c r="E32" s="186" t="n">
        <v>17116.9</v>
      </c>
      <c r="F32" s="186" t="n">
        <v>84575.1</v>
      </c>
      <c r="G32" s="186" t="n">
        <f aca="false">E32+F32</f>
        <v>101692</v>
      </c>
      <c r="H32" s="186" t="n">
        <v>2359.9</v>
      </c>
      <c r="I32" s="186" t="n">
        <v>17066.9</v>
      </c>
      <c r="J32" s="186" t="n">
        <f aca="false">H32+I32</f>
        <v>19426.8</v>
      </c>
      <c r="K32" s="186" t="n">
        <f aca="false">5051.1+905114.9</f>
        <v>910166</v>
      </c>
      <c r="L32" s="186" t="n">
        <f aca="false">G32+J32+K32</f>
        <v>1031284.8</v>
      </c>
      <c r="M32" s="186" t="n">
        <v>-174619.6</v>
      </c>
      <c r="N32" s="186" t="n">
        <f aca="false">L32+M32</f>
        <v>856665.2</v>
      </c>
      <c r="O32" s="186" t="n">
        <f aca="false">D32+N32</f>
        <v>1123954.3</v>
      </c>
      <c r="P32" s="364" t="s">
        <v>215</v>
      </c>
    </row>
    <row r="33" customFormat="false" ht="11.25" hidden="false" customHeight="true" outlineLevel="0" collapsed="false">
      <c r="A33" s="215" t="s">
        <v>216</v>
      </c>
      <c r="B33" s="192" t="n">
        <v>251729.4</v>
      </c>
      <c r="C33" s="192" t="n">
        <v>13507.3</v>
      </c>
      <c r="D33" s="192" t="n">
        <f aca="false">B33+C33</f>
        <v>265236.7</v>
      </c>
      <c r="E33" s="192" t="n">
        <v>10446.5</v>
      </c>
      <c r="F33" s="192" t="n">
        <v>85248.6</v>
      </c>
      <c r="G33" s="192" t="n">
        <f aca="false">E33+F33</f>
        <v>95695.1</v>
      </c>
      <c r="H33" s="192" t="n">
        <v>2363.2</v>
      </c>
      <c r="I33" s="192" t="n">
        <v>17268.9</v>
      </c>
      <c r="J33" s="192" t="n">
        <f aca="false">H33+I33</f>
        <v>19632.1</v>
      </c>
      <c r="K33" s="192" t="n">
        <f aca="false">5003.2+913742.4</f>
        <v>918745.6</v>
      </c>
      <c r="L33" s="192" t="n">
        <f aca="false">G33+J33+K33</f>
        <v>1034072.8</v>
      </c>
      <c r="M33" s="192" t="n">
        <v>-180414.9</v>
      </c>
      <c r="N33" s="192" t="n">
        <f aca="false">L33+M33</f>
        <v>853657.9</v>
      </c>
      <c r="O33" s="192" t="n">
        <f aca="false">D33+N33</f>
        <v>1118894.6</v>
      </c>
      <c r="P33" s="365" t="s">
        <v>216</v>
      </c>
    </row>
    <row r="34" s="222" customFormat="true" ht="11.25" hidden="false" customHeight="true" outlineLevel="0" collapsed="false">
      <c r="A34" s="207" t="s">
        <v>217</v>
      </c>
      <c r="B34" s="186" t="n">
        <v>248150.4</v>
      </c>
      <c r="C34" s="186" t="n">
        <v>12242.9</v>
      </c>
      <c r="D34" s="186" t="n">
        <f aca="false">B34+C34</f>
        <v>260393.3</v>
      </c>
      <c r="E34" s="186" t="n">
        <v>14507.2</v>
      </c>
      <c r="F34" s="186" t="n">
        <v>81161.7</v>
      </c>
      <c r="G34" s="186" t="n">
        <f aca="false">E34+F34</f>
        <v>95668.9</v>
      </c>
      <c r="H34" s="186" t="n">
        <v>2366.7</v>
      </c>
      <c r="I34" s="186" t="n">
        <v>17861.6</v>
      </c>
      <c r="J34" s="186" t="n">
        <f aca="false">H34+I34</f>
        <v>20228.3</v>
      </c>
      <c r="K34" s="186" t="n">
        <f aca="false">4969+927376</f>
        <v>932345</v>
      </c>
      <c r="L34" s="186" t="n">
        <f aca="false">G34+J34+K34</f>
        <v>1048242.2</v>
      </c>
      <c r="M34" s="186" t="n">
        <v>-182810.5</v>
      </c>
      <c r="N34" s="186" t="n">
        <f aca="false">L34+M34</f>
        <v>865431.7</v>
      </c>
      <c r="O34" s="186" t="n">
        <f aca="false">D34+N34</f>
        <v>1125825</v>
      </c>
      <c r="P34" s="364" t="s">
        <v>217</v>
      </c>
    </row>
    <row r="35" customFormat="false" ht="11.25" hidden="false" customHeight="true" outlineLevel="0" collapsed="false">
      <c r="A35" s="215" t="s">
        <v>218</v>
      </c>
      <c r="B35" s="192" t="n">
        <v>245304.3</v>
      </c>
      <c r="C35" s="192" t="n">
        <v>12402.6</v>
      </c>
      <c r="D35" s="192" t="n">
        <f aca="false">B35+C35</f>
        <v>257706.9</v>
      </c>
      <c r="E35" s="192" t="n">
        <v>15583.1</v>
      </c>
      <c r="F35" s="192" t="n">
        <v>82203.6</v>
      </c>
      <c r="G35" s="192" t="n">
        <f aca="false">E35+F35</f>
        <v>97786.7</v>
      </c>
      <c r="H35" s="192" t="n">
        <v>2370.1</v>
      </c>
      <c r="I35" s="192" t="n">
        <v>19224.5</v>
      </c>
      <c r="J35" s="192" t="n">
        <f aca="false">H35+I35</f>
        <v>21594.6</v>
      </c>
      <c r="K35" s="192" t="n">
        <f aca="false">4945+937848.5</f>
        <v>942793.5</v>
      </c>
      <c r="L35" s="192" t="n">
        <f aca="false">G35+J35+K35</f>
        <v>1062174.8</v>
      </c>
      <c r="M35" s="192" t="n">
        <v>-188378.5</v>
      </c>
      <c r="N35" s="192" t="n">
        <f aca="false">L35+M35</f>
        <v>873796.3</v>
      </c>
      <c r="O35" s="192" t="n">
        <f aca="false">D35+N35</f>
        <v>1131503.2</v>
      </c>
      <c r="P35" s="365" t="s">
        <v>218</v>
      </c>
    </row>
    <row r="36" customFormat="false" ht="11.25" hidden="false" customHeight="true" outlineLevel="0" collapsed="false">
      <c r="A36" s="207" t="s">
        <v>219</v>
      </c>
      <c r="B36" s="186" t="n">
        <v>247691.7</v>
      </c>
      <c r="C36" s="186" t="n">
        <v>17008.5</v>
      </c>
      <c r="D36" s="186" t="n">
        <f aca="false">B36+C36</f>
        <v>264700.2</v>
      </c>
      <c r="E36" s="186" t="n">
        <v>21067.4</v>
      </c>
      <c r="F36" s="186" t="n">
        <v>77084.7</v>
      </c>
      <c r="G36" s="186" t="n">
        <f aca="false">E36+F36</f>
        <v>98152.1</v>
      </c>
      <c r="H36" s="186" t="n">
        <v>2373.5</v>
      </c>
      <c r="I36" s="186" t="n">
        <v>20973.2</v>
      </c>
      <c r="J36" s="186" t="n">
        <f aca="false">H36+I36</f>
        <v>23346.7</v>
      </c>
      <c r="K36" s="186" t="n">
        <f aca="false">4979+953872.2</f>
        <v>958851.2</v>
      </c>
      <c r="L36" s="186" t="n">
        <f aca="false">G36+J36+K36</f>
        <v>1080350</v>
      </c>
      <c r="M36" s="186" t="n">
        <v>-189689.5</v>
      </c>
      <c r="N36" s="186" t="n">
        <f aca="false">L36+M36</f>
        <v>890660.5</v>
      </c>
      <c r="O36" s="186" t="n">
        <f aca="false">D36+N36</f>
        <v>1155360.7</v>
      </c>
      <c r="P36" s="364" t="s">
        <v>219</v>
      </c>
    </row>
    <row r="37" customFormat="false" ht="11.25" hidden="false" customHeight="true" outlineLevel="0" collapsed="false">
      <c r="A37" s="215" t="s">
        <v>220</v>
      </c>
      <c r="B37" s="192" t="n">
        <v>245563.2</v>
      </c>
      <c r="C37" s="192" t="n">
        <v>13415.6</v>
      </c>
      <c r="D37" s="192" t="n">
        <f aca="false">B37+C37</f>
        <v>258978.8</v>
      </c>
      <c r="E37" s="192" t="n">
        <v>17669.8</v>
      </c>
      <c r="F37" s="192" t="n">
        <v>81247.1</v>
      </c>
      <c r="G37" s="192" t="n">
        <f aca="false">E37+F37</f>
        <v>98916.9</v>
      </c>
      <c r="H37" s="192" t="n">
        <v>2347.6</v>
      </c>
      <c r="I37" s="192" t="n">
        <v>21763.2</v>
      </c>
      <c r="J37" s="192" t="n">
        <f aca="false">H37+I37</f>
        <v>24110.8</v>
      </c>
      <c r="K37" s="192" t="n">
        <f aca="false">4910.9+958897.1</f>
        <v>963808</v>
      </c>
      <c r="L37" s="192" t="n">
        <f aca="false">G37+J37+K37</f>
        <v>1086835.7</v>
      </c>
      <c r="M37" s="192" t="n">
        <v>-191256.7</v>
      </c>
      <c r="N37" s="192" t="n">
        <f aca="false">L37+M37</f>
        <v>895579</v>
      </c>
      <c r="O37" s="192" t="n">
        <f aca="false">D37+N37</f>
        <v>1154557.8</v>
      </c>
      <c r="P37" s="365" t="s">
        <v>220</v>
      </c>
    </row>
    <row r="38" s="222" customFormat="true" ht="11.25" hidden="false" customHeight="true" outlineLevel="0" collapsed="false">
      <c r="A38" s="207" t="s">
        <v>221</v>
      </c>
      <c r="B38" s="186" t="n">
        <v>250320.8</v>
      </c>
      <c r="C38" s="186" t="n">
        <v>15120.6</v>
      </c>
      <c r="D38" s="186" t="n">
        <f aca="false">B38+C38</f>
        <v>265441.4</v>
      </c>
      <c r="E38" s="186" t="n">
        <v>13370.8</v>
      </c>
      <c r="F38" s="186" t="n">
        <v>79575.2</v>
      </c>
      <c r="G38" s="186" t="n">
        <f aca="false">E38+F38</f>
        <v>92946</v>
      </c>
      <c r="H38" s="186" t="n">
        <v>2352.6</v>
      </c>
      <c r="I38" s="186" t="n">
        <v>21515.8</v>
      </c>
      <c r="J38" s="186" t="n">
        <f aca="false">H38+I38</f>
        <v>23868.4</v>
      </c>
      <c r="K38" s="186" t="n">
        <f aca="false">4783.6+965565.1</f>
        <v>970348.7</v>
      </c>
      <c r="L38" s="186" t="n">
        <f aca="false">G38+J38+K38</f>
        <v>1087163.1</v>
      </c>
      <c r="M38" s="186" t="n">
        <v>-192031.7</v>
      </c>
      <c r="N38" s="186" t="n">
        <f aca="false">L38+M38</f>
        <v>895131.4</v>
      </c>
      <c r="O38" s="186" t="n">
        <f aca="false">D38+N38</f>
        <v>1160572.8</v>
      </c>
      <c r="P38" s="364" t="s">
        <v>221</v>
      </c>
    </row>
    <row r="39" s="222" customFormat="true" ht="11.25" hidden="false" customHeight="true" outlineLevel="0" collapsed="false">
      <c r="A39" s="215" t="s">
        <v>222</v>
      </c>
      <c r="B39" s="192" t="n">
        <v>251391.3</v>
      </c>
      <c r="C39" s="192" t="n">
        <v>18081.8</v>
      </c>
      <c r="D39" s="192" t="n">
        <f aca="false">B39+C39</f>
        <v>269473.1</v>
      </c>
      <c r="E39" s="192" t="n">
        <v>11760.6</v>
      </c>
      <c r="F39" s="192" t="n">
        <v>80751.4</v>
      </c>
      <c r="G39" s="192" t="n">
        <f aca="false">E39+F39</f>
        <v>92512</v>
      </c>
      <c r="H39" s="192" t="n">
        <v>2354.3</v>
      </c>
      <c r="I39" s="192" t="n">
        <v>21707.7</v>
      </c>
      <c r="J39" s="192" t="n">
        <f aca="false">H39+I39</f>
        <v>24062</v>
      </c>
      <c r="K39" s="192" t="n">
        <f aca="false">4815+974871.1</f>
        <v>979686.1</v>
      </c>
      <c r="L39" s="192" t="n">
        <f aca="false">G39+J39+K39</f>
        <v>1096260.1</v>
      </c>
      <c r="M39" s="192" t="n">
        <v>-197153.8</v>
      </c>
      <c r="N39" s="192" t="n">
        <f aca="false">L39+M39</f>
        <v>899106.3</v>
      </c>
      <c r="O39" s="192" t="n">
        <f aca="false">D39+N39</f>
        <v>1168579.4</v>
      </c>
      <c r="P39" s="365" t="s">
        <v>222</v>
      </c>
    </row>
    <row r="40" s="222" customFormat="true" ht="11.25" hidden="false" customHeight="true" outlineLevel="0" collapsed="false">
      <c r="A40" s="207" t="s">
        <v>223</v>
      </c>
      <c r="B40" s="186" t="n">
        <v>249633.4</v>
      </c>
      <c r="C40" s="186" t="n">
        <v>13454.1</v>
      </c>
      <c r="D40" s="186" t="n">
        <f aca="false">B40+C40</f>
        <v>263087.5</v>
      </c>
      <c r="E40" s="186" t="n">
        <v>16694.9</v>
      </c>
      <c r="F40" s="186" t="n">
        <v>76571.7</v>
      </c>
      <c r="G40" s="186" t="n">
        <f aca="false">E40+F40</f>
        <v>93266.6</v>
      </c>
      <c r="H40" s="186" t="n">
        <v>2328</v>
      </c>
      <c r="I40" s="186" t="n">
        <v>21373.4</v>
      </c>
      <c r="J40" s="186" t="n">
        <f aca="false">H40+I40</f>
        <v>23701.4</v>
      </c>
      <c r="K40" s="186" t="n">
        <f aca="false">4776.5+983152.7</f>
        <v>987929.2</v>
      </c>
      <c r="L40" s="186" t="n">
        <f aca="false">G40+J40+K40</f>
        <v>1104897.2</v>
      </c>
      <c r="M40" s="186" t="n">
        <v>-197041.1</v>
      </c>
      <c r="N40" s="186" t="n">
        <f aca="false">L40+M40</f>
        <v>907856.1</v>
      </c>
      <c r="O40" s="186" t="n">
        <f aca="false">D40+N40</f>
        <v>1170943.6</v>
      </c>
      <c r="P40" s="364" t="s">
        <v>223</v>
      </c>
    </row>
    <row r="41" s="222" customFormat="true" ht="11.25" hidden="false" customHeight="true" outlineLevel="0" collapsed="false">
      <c r="A41" s="215" t="s">
        <v>224</v>
      </c>
      <c r="B41" s="192" t="n">
        <f aca="false">248731</f>
        <v>248731</v>
      </c>
      <c r="C41" s="192" t="n">
        <v>16078.8</v>
      </c>
      <c r="D41" s="192" t="n">
        <f aca="false">B41+C41</f>
        <v>264809.8</v>
      </c>
      <c r="E41" s="192" t="n">
        <v>33722.6</v>
      </c>
      <c r="F41" s="192" t="n">
        <v>79362.1</v>
      </c>
      <c r="G41" s="192" t="n">
        <f aca="false">E41+F41</f>
        <v>113084.7</v>
      </c>
      <c r="H41" s="192" t="n">
        <v>2382.3</v>
      </c>
      <c r="I41" s="192" t="n">
        <v>22023.4</v>
      </c>
      <c r="J41" s="192" t="n">
        <f aca="false">H41+I41</f>
        <v>24405.7</v>
      </c>
      <c r="K41" s="192" t="n">
        <f aca="false">4776.7+996141.5</f>
        <v>1000918.2</v>
      </c>
      <c r="L41" s="192" t="n">
        <f aca="false">G41+J41+K41</f>
        <v>1138408.6</v>
      </c>
      <c r="M41" s="192" t="n">
        <v>-198060.8</v>
      </c>
      <c r="N41" s="192" t="n">
        <f aca="false">L41+M41</f>
        <v>940347.8</v>
      </c>
      <c r="O41" s="192" t="n">
        <f aca="false">D41+N41</f>
        <v>1205157.6</v>
      </c>
      <c r="P41" s="365" t="s">
        <v>224</v>
      </c>
    </row>
    <row r="42" s="222" customFormat="true" ht="11.25" hidden="false" customHeight="true" outlineLevel="0" collapsed="false">
      <c r="A42" s="207" t="s">
        <v>225</v>
      </c>
      <c r="B42" s="186" t="n">
        <v>257195.4</v>
      </c>
      <c r="C42" s="186" t="n">
        <v>15204.1</v>
      </c>
      <c r="D42" s="186" t="n">
        <f aca="false">B42+C42</f>
        <v>272399.5</v>
      </c>
      <c r="E42" s="186" t="n">
        <v>31189</v>
      </c>
      <c r="F42" s="186" t="n">
        <v>82084.4</v>
      </c>
      <c r="G42" s="186" t="n">
        <f aca="false">E42+F42</f>
        <v>113273.4</v>
      </c>
      <c r="H42" s="186" t="n">
        <v>2380.4</v>
      </c>
      <c r="I42" s="186" t="n">
        <v>20975.2</v>
      </c>
      <c r="J42" s="186" t="n">
        <f aca="false">H42+I42</f>
        <v>23355.6</v>
      </c>
      <c r="K42" s="186" t="n">
        <f aca="false">4789.5+1005466.2</f>
        <v>1010255.7</v>
      </c>
      <c r="L42" s="186" t="n">
        <f aca="false">G42+J42+K42</f>
        <v>1146884.7</v>
      </c>
      <c r="M42" s="186" t="n">
        <v>-199672.7</v>
      </c>
      <c r="N42" s="186" t="n">
        <f aca="false">L42+M42</f>
        <v>947212</v>
      </c>
      <c r="O42" s="186" t="n">
        <f aca="false">D42+N42</f>
        <v>1219611.5</v>
      </c>
      <c r="P42" s="364" t="s">
        <v>225</v>
      </c>
    </row>
    <row r="43" s="222" customFormat="true" ht="11.25" hidden="false" customHeight="true" outlineLevel="0" collapsed="false">
      <c r="A43" s="219" t="s">
        <v>227</v>
      </c>
      <c r="B43" s="299" t="n">
        <f aca="false">B55</f>
        <v>290174.9</v>
      </c>
      <c r="C43" s="299" t="n">
        <f aca="false">C55</f>
        <v>11295.3</v>
      </c>
      <c r="D43" s="299" t="n">
        <f aca="false">D55</f>
        <v>301470.2</v>
      </c>
      <c r="E43" s="299" t="n">
        <f aca="false">E55</f>
        <v>37114.9</v>
      </c>
      <c r="F43" s="299" t="n">
        <f aca="false">F55</f>
        <v>139033.6</v>
      </c>
      <c r="G43" s="299" t="n">
        <f aca="false">G55</f>
        <v>176148.5</v>
      </c>
      <c r="H43" s="299" t="n">
        <f aca="false">H55</f>
        <v>2551.9</v>
      </c>
      <c r="I43" s="299" t="n">
        <f aca="false">I55</f>
        <v>26663.2</v>
      </c>
      <c r="J43" s="299" t="n">
        <f aca="false">J55</f>
        <v>29215.1</v>
      </c>
      <c r="K43" s="299" t="n">
        <f aca="false">K55</f>
        <v>1097271</v>
      </c>
      <c r="L43" s="299" t="n">
        <f aca="false">L55</f>
        <v>1302634.6</v>
      </c>
      <c r="M43" s="299" t="n">
        <f aca="false">M55</f>
        <v>-230369.8</v>
      </c>
      <c r="N43" s="299" t="n">
        <f aca="false">N55</f>
        <v>1072264.8</v>
      </c>
      <c r="O43" s="299" t="n">
        <f aca="false">O55</f>
        <v>1373735</v>
      </c>
      <c r="P43" s="368" t="s">
        <v>227</v>
      </c>
    </row>
    <row r="44" s="222" customFormat="true" ht="11.25" hidden="false" customHeight="true" outlineLevel="0" collapsed="false">
      <c r="A44" s="207" t="s">
        <v>214</v>
      </c>
      <c r="B44" s="186" t="n">
        <v>255492.4</v>
      </c>
      <c r="C44" s="186" t="n">
        <v>17122.2</v>
      </c>
      <c r="D44" s="186" t="n">
        <f aca="false">B44+C44</f>
        <v>272614.6</v>
      </c>
      <c r="E44" s="186" t="n">
        <v>29485.4</v>
      </c>
      <c r="F44" s="186" t="n">
        <v>100477.1</v>
      </c>
      <c r="G44" s="186" t="n">
        <f aca="false">E44+F44</f>
        <v>129962.5</v>
      </c>
      <c r="H44" s="186" t="n">
        <v>2471.3</v>
      </c>
      <c r="I44" s="186" t="n">
        <v>21951.9</v>
      </c>
      <c r="J44" s="186" t="n">
        <f aca="false">H44+I44</f>
        <v>24423.2</v>
      </c>
      <c r="K44" s="186" t="n">
        <f aca="false">4805.1+998160.9</f>
        <v>1002966</v>
      </c>
      <c r="L44" s="186" t="n">
        <f aca="false">G44+J44+K44</f>
        <v>1157351.7</v>
      </c>
      <c r="M44" s="186" t="n">
        <v>-200394</v>
      </c>
      <c r="N44" s="186" t="n">
        <f aca="false">L44+M44</f>
        <v>956957.7</v>
      </c>
      <c r="O44" s="186" t="n">
        <f aca="false">D44+N44</f>
        <v>1229572.3</v>
      </c>
      <c r="P44" s="364" t="s">
        <v>214</v>
      </c>
    </row>
    <row r="45" s="207" customFormat="true" ht="11.25" hidden="false" customHeight="true" outlineLevel="0" collapsed="false">
      <c r="A45" s="215" t="s">
        <v>215</v>
      </c>
      <c r="B45" s="192" t="n">
        <v>257546.7</v>
      </c>
      <c r="C45" s="192" t="n">
        <v>17047.7</v>
      </c>
      <c r="D45" s="192" t="n">
        <f aca="false">B45+C45</f>
        <v>274594.4</v>
      </c>
      <c r="E45" s="192" t="n">
        <v>29929</v>
      </c>
      <c r="F45" s="192" t="n">
        <v>108448.7</v>
      </c>
      <c r="G45" s="192" t="n">
        <f aca="false">E45+F45</f>
        <v>138377.7</v>
      </c>
      <c r="H45" s="192" t="n">
        <v>2475.2</v>
      </c>
      <c r="I45" s="192" t="n">
        <v>21927.3</v>
      </c>
      <c r="J45" s="192" t="n">
        <f aca="false">H45+I45</f>
        <v>24402.5</v>
      </c>
      <c r="K45" s="192" t="n">
        <f aca="false">4801.2+1002596.8</f>
        <v>1007398</v>
      </c>
      <c r="L45" s="192" t="n">
        <f aca="false">G45+J45+K45</f>
        <v>1170178.2</v>
      </c>
      <c r="M45" s="192" t="n">
        <v>-198467.3</v>
      </c>
      <c r="N45" s="192" t="n">
        <f aca="false">L45+M45</f>
        <v>971710.9</v>
      </c>
      <c r="O45" s="192" t="n">
        <f aca="false">D45+N45</f>
        <v>1246305.3</v>
      </c>
      <c r="P45" s="365" t="s">
        <v>215</v>
      </c>
    </row>
    <row r="46" s="207" customFormat="true" ht="11.25" hidden="false" customHeight="true" outlineLevel="0" collapsed="false">
      <c r="A46" s="207" t="s">
        <v>216</v>
      </c>
      <c r="B46" s="186" t="n">
        <v>254607.6</v>
      </c>
      <c r="C46" s="186" t="n">
        <v>16670.6</v>
      </c>
      <c r="D46" s="186" t="n">
        <f aca="false">B46+C46</f>
        <v>271278.2</v>
      </c>
      <c r="E46" s="186" t="n">
        <v>28908.2</v>
      </c>
      <c r="F46" s="186" t="n">
        <v>111873.4</v>
      </c>
      <c r="G46" s="186" t="n">
        <f aca="false">E46+F46</f>
        <v>140781.6</v>
      </c>
      <c r="H46" s="186" t="n">
        <v>2480.8</v>
      </c>
      <c r="I46" s="186" t="n">
        <v>23266.2</v>
      </c>
      <c r="J46" s="186" t="n">
        <f aca="false">H46+I46</f>
        <v>25747</v>
      </c>
      <c r="K46" s="186" t="n">
        <f aca="false">4817.5+1011879.3</f>
        <v>1016696.8</v>
      </c>
      <c r="L46" s="186" t="n">
        <f aca="false">G46+J46+K46</f>
        <v>1183225.4</v>
      </c>
      <c r="M46" s="186" t="n">
        <v>-202622.7</v>
      </c>
      <c r="N46" s="186" t="n">
        <f aca="false">L46+M46</f>
        <v>980602.7</v>
      </c>
      <c r="O46" s="186" t="n">
        <f aca="false">D46+N46</f>
        <v>1251880.9</v>
      </c>
      <c r="P46" s="364" t="s">
        <v>216</v>
      </c>
    </row>
    <row r="47" s="207" customFormat="true" ht="11.25" hidden="false" customHeight="true" outlineLevel="0" collapsed="false">
      <c r="A47" s="215" t="s">
        <v>217</v>
      </c>
      <c r="B47" s="192" t="n">
        <v>256007.2</v>
      </c>
      <c r="C47" s="192" t="n">
        <v>14238.6</v>
      </c>
      <c r="D47" s="192" t="n">
        <f aca="false">B47+C47</f>
        <v>270245.8</v>
      </c>
      <c r="E47" s="192" t="n">
        <v>33824.6</v>
      </c>
      <c r="F47" s="192" t="n">
        <v>113832.4</v>
      </c>
      <c r="G47" s="192" t="n">
        <f aca="false">E47+F47</f>
        <v>147657</v>
      </c>
      <c r="H47" s="192" t="n">
        <v>2483</v>
      </c>
      <c r="I47" s="192" t="n">
        <v>23364.8</v>
      </c>
      <c r="J47" s="192" t="n">
        <f aca="false">H47+I47</f>
        <v>25847.8</v>
      </c>
      <c r="K47" s="192" t="n">
        <f aca="false">4815.3+1021143.1</f>
        <v>1025958.4</v>
      </c>
      <c r="L47" s="192" t="n">
        <f aca="false">G47+J47+K47</f>
        <v>1199463.2</v>
      </c>
      <c r="M47" s="192" t="n">
        <v>-207897.8</v>
      </c>
      <c r="N47" s="192" t="n">
        <f aca="false">L47+M47</f>
        <v>991565.4</v>
      </c>
      <c r="O47" s="192" t="n">
        <f aca="false">D47+N47</f>
        <v>1261811.2</v>
      </c>
      <c r="P47" s="365" t="s">
        <v>217</v>
      </c>
    </row>
    <row r="48" s="207" customFormat="true" ht="11.25" hidden="false" customHeight="true" outlineLevel="0" collapsed="false">
      <c r="A48" s="207" t="s">
        <v>218</v>
      </c>
      <c r="B48" s="186" t="n">
        <v>255448.9</v>
      </c>
      <c r="C48" s="186" t="n">
        <v>14918.8</v>
      </c>
      <c r="D48" s="186" t="n">
        <f aca="false">B48+C48</f>
        <v>270367.7</v>
      </c>
      <c r="E48" s="186" t="n">
        <v>30168.5</v>
      </c>
      <c r="F48" s="186" t="n">
        <v>123267.8</v>
      </c>
      <c r="G48" s="186" t="n">
        <f aca="false">E48+F48</f>
        <v>153436.3</v>
      </c>
      <c r="H48" s="186" t="n">
        <v>2587.2</v>
      </c>
      <c r="I48" s="186" t="n">
        <v>24363.7</v>
      </c>
      <c r="J48" s="186" t="n">
        <f aca="false">H48+I48</f>
        <v>26950.9</v>
      </c>
      <c r="K48" s="186" t="n">
        <f aca="false">4804.9+1031010.4</f>
        <v>1035815.3</v>
      </c>
      <c r="L48" s="186" t="n">
        <f aca="false">G48+J48+K48</f>
        <v>1216202.5</v>
      </c>
      <c r="M48" s="186" t="n">
        <v>-211093.2</v>
      </c>
      <c r="N48" s="186" t="n">
        <f aca="false">L48+M48</f>
        <v>1005109.3</v>
      </c>
      <c r="O48" s="186" t="n">
        <f aca="false">D48+N48</f>
        <v>1275477</v>
      </c>
      <c r="P48" s="364" t="s">
        <v>218</v>
      </c>
    </row>
    <row r="49" s="207" customFormat="true" ht="11.25" hidden="false" customHeight="true" outlineLevel="0" collapsed="false">
      <c r="A49" s="215" t="s">
        <v>219</v>
      </c>
      <c r="B49" s="192" t="n">
        <v>259113.4</v>
      </c>
      <c r="C49" s="192" t="n">
        <v>15013.1</v>
      </c>
      <c r="D49" s="192" t="n">
        <f aca="false">B49+C49</f>
        <v>274126.5</v>
      </c>
      <c r="E49" s="192" t="n">
        <v>34438.2</v>
      </c>
      <c r="F49" s="192" t="n">
        <v>122422.6</v>
      </c>
      <c r="G49" s="192" t="n">
        <f aca="false">E49+F49</f>
        <v>156860.8</v>
      </c>
      <c r="H49" s="192" t="n">
        <v>2593</v>
      </c>
      <c r="I49" s="192" t="n">
        <v>27992.7</v>
      </c>
      <c r="J49" s="192" t="n">
        <f aca="false">H49+I49</f>
        <v>30585.7</v>
      </c>
      <c r="K49" s="192" t="n">
        <f aca="false">4868.2+1048283.4</f>
        <v>1053151.6</v>
      </c>
      <c r="L49" s="192" t="n">
        <f aca="false">G49+J49+K49</f>
        <v>1240598.1</v>
      </c>
      <c r="M49" s="192" t="n">
        <v>-220289.5</v>
      </c>
      <c r="N49" s="192" t="n">
        <f aca="false">L49+M49</f>
        <v>1020308.6</v>
      </c>
      <c r="O49" s="192" t="n">
        <f aca="false">D49+N49</f>
        <v>1294435.1</v>
      </c>
      <c r="P49" s="365" t="s">
        <v>219</v>
      </c>
    </row>
    <row r="50" s="207" customFormat="true" ht="11.25" hidden="false" customHeight="true" outlineLevel="0" collapsed="false">
      <c r="A50" s="207" t="s">
        <v>220</v>
      </c>
      <c r="B50" s="186" t="n">
        <v>259738.6</v>
      </c>
      <c r="C50" s="186" t="n">
        <v>14611.3</v>
      </c>
      <c r="D50" s="186" t="n">
        <f aca="false">B50+C50</f>
        <v>274349.9</v>
      </c>
      <c r="E50" s="186" t="n">
        <v>32763.8</v>
      </c>
      <c r="F50" s="186" t="n">
        <v>130491.3</v>
      </c>
      <c r="G50" s="186" t="n">
        <f aca="false">E50+F50</f>
        <v>163255.1</v>
      </c>
      <c r="H50" s="186" t="n">
        <v>2569</v>
      </c>
      <c r="I50" s="186" t="n">
        <v>27174.2</v>
      </c>
      <c r="J50" s="186" t="n">
        <f aca="false">H50+I50</f>
        <v>29743.2</v>
      </c>
      <c r="K50" s="186" t="n">
        <f aca="false">4846.5+1047627.2</f>
        <v>1052473.7</v>
      </c>
      <c r="L50" s="186" t="n">
        <f aca="false">G50+J50+K50</f>
        <v>1245472</v>
      </c>
      <c r="M50" s="186" t="n">
        <v>-222272</v>
      </c>
      <c r="N50" s="186" t="n">
        <f aca="false">L50+M50</f>
        <v>1023200</v>
      </c>
      <c r="O50" s="186" t="n">
        <f aca="false">D50+N50</f>
        <v>1297549.9</v>
      </c>
      <c r="P50" s="364" t="s">
        <v>220</v>
      </c>
    </row>
    <row r="51" s="207" customFormat="true" ht="11.25" hidden="false" customHeight="true" outlineLevel="0" collapsed="false">
      <c r="A51" s="215" t="s">
        <v>221</v>
      </c>
      <c r="B51" s="192" t="n">
        <v>260343.4</v>
      </c>
      <c r="C51" s="192" t="n">
        <v>17143.1</v>
      </c>
      <c r="D51" s="192" t="n">
        <f aca="false">B51+C51</f>
        <v>277486.5</v>
      </c>
      <c r="E51" s="192" t="n">
        <v>26329.1</v>
      </c>
      <c r="F51" s="192" t="n">
        <v>135912.5</v>
      </c>
      <c r="G51" s="192" t="n">
        <f aca="false">E51+F51</f>
        <v>162241.6</v>
      </c>
      <c r="H51" s="192" t="n">
        <v>2574.9</v>
      </c>
      <c r="I51" s="192" t="n">
        <v>27458.7</v>
      </c>
      <c r="J51" s="192" t="n">
        <f aca="false">H51+I51</f>
        <v>30033.6</v>
      </c>
      <c r="K51" s="192" t="n">
        <f aca="false">4879.3+1054020.1</f>
        <v>1058899.4</v>
      </c>
      <c r="L51" s="192" t="n">
        <f aca="false">G51+J51+K51</f>
        <v>1251174.6</v>
      </c>
      <c r="M51" s="192" t="n">
        <v>-222164.4</v>
      </c>
      <c r="N51" s="192" t="n">
        <f aca="false">L51+M51</f>
        <v>1029010.2</v>
      </c>
      <c r="O51" s="192" t="n">
        <f aca="false">D51+N51</f>
        <v>1306496.7</v>
      </c>
      <c r="P51" s="365" t="s">
        <v>221</v>
      </c>
    </row>
    <row r="52" s="207" customFormat="true" ht="11.25" hidden="false" customHeight="true" outlineLevel="0" collapsed="false">
      <c r="A52" s="207" t="s">
        <v>222</v>
      </c>
      <c r="B52" s="186" t="n">
        <v>263114.5</v>
      </c>
      <c r="C52" s="186" t="n">
        <v>16128.2</v>
      </c>
      <c r="D52" s="186" t="n">
        <f aca="false">B52+C52</f>
        <v>279242.7</v>
      </c>
      <c r="E52" s="186" t="n">
        <v>22201</v>
      </c>
      <c r="F52" s="186" t="n">
        <v>111564.1</v>
      </c>
      <c r="G52" s="186" t="n">
        <f aca="false">E52+F52</f>
        <v>133765.1</v>
      </c>
      <c r="H52" s="186" t="n">
        <v>2577.5</v>
      </c>
      <c r="I52" s="186" t="n">
        <v>27563.8</v>
      </c>
      <c r="J52" s="186" t="n">
        <f aca="false">H52+I52</f>
        <v>30141.3</v>
      </c>
      <c r="K52" s="186" t="n">
        <f aca="false">4992.8+1061586.7</f>
        <v>1066579.5</v>
      </c>
      <c r="L52" s="186" t="n">
        <f aca="false">G52+J52+K52</f>
        <v>1230485.9</v>
      </c>
      <c r="M52" s="186" t="n">
        <v>-199060.1</v>
      </c>
      <c r="N52" s="186" t="n">
        <f aca="false">L52+M52</f>
        <v>1031425.8</v>
      </c>
      <c r="O52" s="186" t="n">
        <f aca="false">D52+N52</f>
        <v>1310668.5</v>
      </c>
      <c r="P52" s="364" t="s">
        <v>222</v>
      </c>
    </row>
    <row r="53" s="207" customFormat="true" ht="11.25" hidden="false" customHeight="true" outlineLevel="0" collapsed="false">
      <c r="A53" s="215" t="s">
        <v>223</v>
      </c>
      <c r="B53" s="192" t="n">
        <v>265600.7</v>
      </c>
      <c r="C53" s="192" t="n">
        <v>16859.1</v>
      </c>
      <c r="D53" s="192" t="n">
        <f aca="false">B53+C53</f>
        <v>282459.8</v>
      </c>
      <c r="E53" s="192" t="n">
        <v>34797.8</v>
      </c>
      <c r="F53" s="192" t="n">
        <v>133584.2</v>
      </c>
      <c r="G53" s="192" t="n">
        <f aca="false">E53+F53</f>
        <v>168382</v>
      </c>
      <c r="H53" s="192" t="n">
        <v>2577.5</v>
      </c>
      <c r="I53" s="192" t="n">
        <v>27341.7</v>
      </c>
      <c r="J53" s="192" t="n">
        <f aca="false">H53+I53</f>
        <v>29919.2</v>
      </c>
      <c r="K53" s="192" t="n">
        <f aca="false">5016.5+1070154.1</f>
        <v>1075170.6</v>
      </c>
      <c r="L53" s="192" t="n">
        <f aca="false">G53+J53+K53</f>
        <v>1273471.8</v>
      </c>
      <c r="M53" s="192" t="n">
        <v>-229866.1</v>
      </c>
      <c r="N53" s="192" t="n">
        <f aca="false">L53+M53</f>
        <v>1043605.7</v>
      </c>
      <c r="O53" s="192" t="n">
        <f aca="false">D53+N53</f>
        <v>1326065.5</v>
      </c>
      <c r="P53" s="365" t="s">
        <v>223</v>
      </c>
    </row>
    <row r="54" s="207" customFormat="true" ht="11.25" hidden="false" customHeight="true" outlineLevel="0" collapsed="false">
      <c r="A54" s="207" t="s">
        <v>224</v>
      </c>
      <c r="B54" s="186" t="n">
        <v>271808</v>
      </c>
      <c r="C54" s="186" t="n">
        <v>14629.3</v>
      </c>
      <c r="D54" s="186" t="n">
        <f aca="false">B54+C54</f>
        <v>286437.3</v>
      </c>
      <c r="E54" s="186" t="n">
        <v>31707.4</v>
      </c>
      <c r="F54" s="186" t="n">
        <v>130810.6</v>
      </c>
      <c r="G54" s="186" t="n">
        <f aca="false">E54+F54</f>
        <v>162518</v>
      </c>
      <c r="H54" s="186" t="n">
        <v>2566.3</v>
      </c>
      <c r="I54" s="186" t="n">
        <v>27285.4</v>
      </c>
      <c r="J54" s="186" t="n">
        <f aca="false">H54+I54</f>
        <v>29851.7</v>
      </c>
      <c r="K54" s="186" t="n">
        <f aca="false">5271.6+1084286</f>
        <v>1089557.6</v>
      </c>
      <c r="L54" s="186" t="n">
        <f aca="false">G54+J54+K54</f>
        <v>1281927.3</v>
      </c>
      <c r="M54" s="186" t="n">
        <v>-216733.6</v>
      </c>
      <c r="N54" s="186" t="n">
        <f aca="false">L54+M54</f>
        <v>1065193.7</v>
      </c>
      <c r="O54" s="186" t="n">
        <f aca="false">D54+N54</f>
        <v>1351631</v>
      </c>
      <c r="P54" s="364" t="s">
        <v>224</v>
      </c>
    </row>
    <row r="55" s="207" customFormat="true" ht="11.25" hidden="false" customHeight="true" outlineLevel="0" collapsed="false">
      <c r="A55" s="369" t="s">
        <v>225</v>
      </c>
      <c r="B55" s="310" t="n">
        <v>290174.9</v>
      </c>
      <c r="C55" s="310" t="n">
        <v>11295.3</v>
      </c>
      <c r="D55" s="310" t="n">
        <f aca="false">B55+C55</f>
        <v>301470.2</v>
      </c>
      <c r="E55" s="310" t="n">
        <v>37114.9</v>
      </c>
      <c r="F55" s="310" t="n">
        <v>139033.6</v>
      </c>
      <c r="G55" s="310" t="n">
        <f aca="false">E55+F55</f>
        <v>176148.5</v>
      </c>
      <c r="H55" s="310" t="n">
        <v>2551.9</v>
      </c>
      <c r="I55" s="310" t="n">
        <v>26663.2</v>
      </c>
      <c r="J55" s="310" t="n">
        <f aca="false">H55+I55</f>
        <v>29215.1</v>
      </c>
      <c r="K55" s="310" t="n">
        <f aca="false">5345.6+1091925.4</f>
        <v>1097271</v>
      </c>
      <c r="L55" s="310" t="n">
        <f aca="false">G55+J55+K55</f>
        <v>1302634.6</v>
      </c>
      <c r="M55" s="310" t="n">
        <v>-230369.8</v>
      </c>
      <c r="N55" s="310" t="n">
        <f aca="false">L55+M55</f>
        <v>1072264.8</v>
      </c>
      <c r="O55" s="310" t="n">
        <f aca="false">D55+N55</f>
        <v>1373735</v>
      </c>
      <c r="P55" s="370" t="s">
        <v>225</v>
      </c>
    </row>
    <row r="56" customFormat="false" ht="10.5" hidden="false" customHeight="true" outlineLevel="0" collapsed="false">
      <c r="A56" s="371" t="s">
        <v>321</v>
      </c>
      <c r="B56" s="372" t="s">
        <v>322</v>
      </c>
      <c r="C56" s="372"/>
      <c r="D56" s="372"/>
      <c r="E56" s="372"/>
      <c r="F56" s="372"/>
      <c r="G56" s="372"/>
      <c r="H56" s="372"/>
      <c r="I56" s="371" t="s">
        <v>323</v>
      </c>
      <c r="J56" s="372" t="s">
        <v>324</v>
      </c>
      <c r="K56" s="372"/>
      <c r="L56" s="372"/>
      <c r="M56" s="372"/>
      <c r="N56" s="372"/>
      <c r="O56" s="372"/>
      <c r="P56" s="372"/>
      <c r="R56" s="257"/>
    </row>
    <row r="57" customFormat="false" ht="10.5" hidden="false" customHeight="true" outlineLevel="0" collapsed="false">
      <c r="A57" s="319"/>
      <c r="B57" s="373" t="s">
        <v>325</v>
      </c>
      <c r="C57" s="373"/>
      <c r="D57" s="373"/>
      <c r="E57" s="374"/>
      <c r="F57" s="374"/>
      <c r="G57" s="374"/>
      <c r="H57" s="374"/>
      <c r="J57" s="375" t="s">
        <v>244</v>
      </c>
      <c r="K57" s="375"/>
      <c r="L57" s="375"/>
      <c r="M57" s="375"/>
      <c r="N57" s="375"/>
      <c r="O57" s="375"/>
      <c r="P57" s="375"/>
    </row>
    <row r="58" customFormat="false" ht="10.5" hidden="false" customHeight="true" outlineLevel="0" collapsed="false">
      <c r="B58" s="376"/>
      <c r="C58" s="376"/>
      <c r="D58" s="376"/>
      <c r="E58" s="376"/>
      <c r="F58" s="376"/>
      <c r="G58" s="376"/>
      <c r="H58" s="377"/>
      <c r="I58" s="378" t="s">
        <v>326</v>
      </c>
      <c r="J58" s="373" t="s">
        <v>327</v>
      </c>
      <c r="K58" s="373"/>
      <c r="L58" s="373"/>
      <c r="M58" s="373"/>
      <c r="N58" s="373"/>
      <c r="Q58" s="222"/>
    </row>
    <row r="59" customFormat="false" ht="12.75" hidden="false" customHeight="true" outlineLevel="0" collapsed="false">
      <c r="M59" s="257"/>
      <c r="N59" s="257"/>
      <c r="P59" s="257"/>
      <c r="Q59" s="379"/>
    </row>
    <row r="60" customFormat="false" ht="12.75" hidden="false" customHeight="true" outlineLevel="0" collapsed="false">
      <c r="G60" s="258"/>
      <c r="H60" s="258"/>
      <c r="I60" s="258"/>
      <c r="L60" s="257"/>
      <c r="M60" s="258"/>
      <c r="N60" s="257"/>
      <c r="O60" s="258"/>
      <c r="P60" s="257"/>
      <c r="Q60" s="222"/>
    </row>
    <row r="61" customFormat="false" ht="12.75" hidden="false" customHeight="true" outlineLevel="0" collapsed="false">
      <c r="G61" s="258"/>
      <c r="H61" s="258"/>
      <c r="I61" s="258"/>
      <c r="J61" s="257"/>
      <c r="K61" s="258"/>
      <c r="L61" s="257"/>
      <c r="M61" s="258"/>
      <c r="N61" s="257"/>
      <c r="O61" s="258"/>
      <c r="P61" s="379"/>
      <c r="Q61" s="222"/>
    </row>
    <row r="62" customFormat="false" ht="11.25" hidden="false" customHeight="false" outlineLevel="0" collapsed="false">
      <c r="J62" s="257"/>
      <c r="K62" s="258"/>
      <c r="L62" s="257"/>
      <c r="M62" s="258"/>
      <c r="N62" s="258"/>
      <c r="O62" s="259"/>
      <c r="P62" s="379"/>
      <c r="Q62" s="222"/>
    </row>
    <row r="63" customFormat="false" ht="11.25" hidden="false" customHeight="false" outlineLevel="0" collapsed="false">
      <c r="B63" s="257"/>
      <c r="C63" s="257"/>
      <c r="D63" s="257"/>
      <c r="E63" s="257"/>
      <c r="F63" s="257"/>
      <c r="G63" s="257"/>
      <c r="H63" s="257"/>
      <c r="I63" s="257"/>
      <c r="J63" s="257"/>
      <c r="K63" s="257"/>
      <c r="L63" s="257"/>
      <c r="M63" s="257"/>
      <c r="N63" s="257"/>
      <c r="O63" s="257"/>
      <c r="P63" s="379"/>
    </row>
    <row r="64" customFormat="false" ht="11.25" hidden="false" customHeight="false" outlineLevel="0" collapsed="false">
      <c r="D64" s="257"/>
      <c r="E64" s="258"/>
      <c r="H64" s="257"/>
      <c r="I64" s="258"/>
      <c r="J64" s="257"/>
      <c r="K64" s="257"/>
      <c r="L64" s="258"/>
      <c r="M64" s="258"/>
      <c r="O64" s="379"/>
      <c r="P64" s="379"/>
    </row>
    <row r="65" customFormat="false" ht="11.25" hidden="false" customHeight="false" outlineLevel="0" collapsed="false">
      <c r="D65" s="257"/>
      <c r="E65" s="258"/>
      <c r="J65" s="257"/>
      <c r="K65" s="258"/>
      <c r="L65" s="257"/>
      <c r="O65" s="259"/>
      <c r="P65" s="222"/>
    </row>
    <row r="66" customFormat="false" ht="11.25" hidden="false" customHeight="false" outlineLevel="0" collapsed="false">
      <c r="D66" s="258"/>
      <c r="K66" s="257"/>
      <c r="L66" s="258"/>
      <c r="M66" s="258"/>
    </row>
    <row r="67" customFormat="false" ht="11.25" hidden="false" customHeight="false" outlineLevel="0" collapsed="false">
      <c r="J67" s="257"/>
      <c r="K67" s="258"/>
      <c r="L67" s="257"/>
      <c r="M67" s="258"/>
    </row>
    <row r="68" customFormat="false" ht="11.25" hidden="false" customHeight="false" outlineLevel="0" collapsed="false">
      <c r="J68" s="257"/>
    </row>
    <row r="70" customFormat="false" ht="11.25" hidden="false" customHeight="false" outlineLevel="0" collapsed="false">
      <c r="L70" s="257"/>
      <c r="M70" s="258"/>
    </row>
    <row r="72" customFormat="false" ht="11.25" hidden="false" customHeight="false" outlineLevel="0" collapsed="false">
      <c r="B72" s="257"/>
      <c r="C72" s="257"/>
      <c r="D72" s="257"/>
      <c r="E72" s="257"/>
      <c r="F72" s="257"/>
      <c r="G72" s="257"/>
      <c r="H72" s="257"/>
      <c r="I72" s="257"/>
      <c r="J72" s="257"/>
      <c r="K72" s="257"/>
      <c r="L72" s="257"/>
      <c r="M72" s="257"/>
      <c r="N72" s="257"/>
      <c r="O72" s="257"/>
      <c r="P72" s="257"/>
    </row>
    <row r="73" customFormat="false" ht="11.25" hidden="false" customHeight="false" outlineLevel="0" collapsed="false">
      <c r="B73" s="257"/>
      <c r="C73" s="257"/>
      <c r="D73" s="257"/>
      <c r="E73" s="257"/>
      <c r="F73" s="257"/>
      <c r="G73" s="257"/>
      <c r="H73" s="257"/>
      <c r="I73" s="257"/>
      <c r="J73" s="257"/>
      <c r="K73" s="257"/>
      <c r="L73" s="257"/>
      <c r="M73" s="257"/>
      <c r="N73" s="257"/>
      <c r="O73" s="257"/>
      <c r="P73" s="257"/>
    </row>
    <row r="74" customFormat="false" ht="11.25" hidden="false" customHeight="false" outlineLevel="0" collapsed="false">
      <c r="B74" s="257"/>
      <c r="C74" s="257"/>
      <c r="D74" s="257"/>
      <c r="E74" s="257"/>
      <c r="F74" s="257"/>
      <c r="G74" s="257"/>
      <c r="H74" s="257"/>
      <c r="I74" s="257"/>
      <c r="J74" s="257"/>
      <c r="K74" s="257"/>
      <c r="L74" s="257"/>
      <c r="M74" s="257"/>
      <c r="N74" s="257"/>
      <c r="O74" s="257"/>
      <c r="P74" s="257"/>
    </row>
    <row r="75" customFormat="false" ht="11.25" hidden="false" customHeight="false" outlineLevel="0" collapsed="false">
      <c r="B75" s="257"/>
      <c r="C75" s="257"/>
      <c r="D75" s="257"/>
      <c r="E75" s="257"/>
      <c r="F75" s="257"/>
      <c r="G75" s="257"/>
      <c r="H75" s="257"/>
      <c r="I75" s="257"/>
      <c r="J75" s="257"/>
      <c r="K75" s="257"/>
      <c r="L75" s="257"/>
      <c r="M75" s="257"/>
      <c r="N75" s="257"/>
      <c r="O75" s="257"/>
      <c r="P75" s="257"/>
    </row>
    <row r="76" customFormat="false" ht="11.25" hidden="false" customHeight="false" outlineLevel="0" collapsed="false">
      <c r="B76" s="257"/>
      <c r="C76" s="257"/>
      <c r="D76" s="257"/>
      <c r="E76" s="257"/>
      <c r="F76" s="257"/>
      <c r="G76" s="257"/>
      <c r="H76" s="257"/>
      <c r="I76" s="257"/>
      <c r="J76" s="257"/>
      <c r="K76" s="257"/>
      <c r="L76" s="257"/>
      <c r="M76" s="257"/>
      <c r="N76" s="257"/>
      <c r="O76" s="257"/>
      <c r="P76" s="257"/>
    </row>
    <row r="77" customFormat="false" ht="11.25" hidden="false" customHeight="false" outlineLevel="0" collapsed="false">
      <c r="B77" s="257"/>
      <c r="C77" s="257"/>
      <c r="D77" s="257"/>
      <c r="E77" s="257"/>
      <c r="F77" s="257"/>
      <c r="G77" s="257"/>
      <c r="H77" s="257"/>
      <c r="I77" s="257"/>
      <c r="J77" s="257"/>
      <c r="K77" s="257"/>
      <c r="L77" s="257"/>
      <c r="M77" s="257"/>
      <c r="N77" s="257"/>
      <c r="O77" s="257"/>
      <c r="P77" s="257"/>
    </row>
    <row r="78" customFormat="false" ht="11.25" hidden="false" customHeight="false" outlineLevel="0" collapsed="false">
      <c r="B78" s="257"/>
      <c r="C78" s="257"/>
      <c r="D78" s="257"/>
      <c r="E78" s="257"/>
      <c r="F78" s="257"/>
      <c r="G78" s="257"/>
      <c r="H78" s="257"/>
      <c r="I78" s="257"/>
      <c r="J78" s="257"/>
      <c r="K78" s="257"/>
      <c r="L78" s="257"/>
      <c r="M78" s="257"/>
      <c r="N78" s="257"/>
      <c r="O78" s="257"/>
      <c r="P78" s="257"/>
    </row>
    <row r="79" customFormat="false" ht="11.25" hidden="false" customHeight="false" outlineLevel="0" collapsed="false">
      <c r="B79" s="257"/>
      <c r="C79" s="257"/>
      <c r="D79" s="257"/>
      <c r="E79" s="257"/>
      <c r="F79" s="257"/>
      <c r="G79" s="257"/>
      <c r="H79" s="257"/>
      <c r="I79" s="257"/>
      <c r="J79" s="257"/>
      <c r="K79" s="257"/>
      <c r="L79" s="257"/>
      <c r="M79" s="257"/>
      <c r="N79" s="257"/>
      <c r="O79" s="257"/>
      <c r="P79" s="257"/>
    </row>
    <row r="80" customFormat="false" ht="11.25" hidden="false" customHeight="false" outlineLevel="0" collapsed="false">
      <c r="B80" s="257"/>
      <c r="C80" s="257"/>
      <c r="D80" s="257"/>
      <c r="E80" s="257"/>
      <c r="F80" s="257"/>
      <c r="G80" s="257"/>
      <c r="H80" s="257"/>
      <c r="I80" s="257"/>
      <c r="J80" s="257"/>
      <c r="K80" s="257"/>
      <c r="L80" s="257"/>
      <c r="M80" s="257"/>
      <c r="N80" s="257"/>
      <c r="O80" s="257"/>
      <c r="P80" s="257"/>
    </row>
    <row r="81" customFormat="false" ht="11.25" hidden="false" customHeight="false" outlineLevel="0" collapsed="false">
      <c r="B81" s="257"/>
      <c r="C81" s="257"/>
      <c r="D81" s="257"/>
      <c r="E81" s="257"/>
      <c r="F81" s="257"/>
      <c r="G81" s="257"/>
      <c r="H81" s="257"/>
      <c r="I81" s="257"/>
      <c r="J81" s="257"/>
      <c r="K81" s="257"/>
      <c r="L81" s="257"/>
      <c r="M81" s="257"/>
      <c r="N81" s="257"/>
      <c r="O81" s="257"/>
      <c r="P81" s="257"/>
    </row>
    <row r="82" customFormat="false" ht="11.25" hidden="false" customHeight="false" outlineLevel="0" collapsed="false">
      <c r="B82" s="257"/>
      <c r="C82" s="257"/>
      <c r="D82" s="257"/>
      <c r="E82" s="257"/>
      <c r="F82" s="257"/>
      <c r="G82" s="257"/>
      <c r="H82" s="257"/>
      <c r="I82" s="257"/>
      <c r="J82" s="257"/>
      <c r="K82" s="257"/>
      <c r="L82" s="257"/>
      <c r="M82" s="257"/>
      <c r="N82" s="257"/>
      <c r="O82" s="257"/>
      <c r="P82" s="257"/>
    </row>
  </sheetData>
  <mergeCells count="32">
    <mergeCell ref="A1:C1"/>
    <mergeCell ref="G1:H1"/>
    <mergeCell ref="I1:J1"/>
    <mergeCell ref="O1:P1"/>
    <mergeCell ref="O2:P2"/>
    <mergeCell ref="A3:A8"/>
    <mergeCell ref="B3:D3"/>
    <mergeCell ref="E3:H3"/>
    <mergeCell ref="I3:K3"/>
    <mergeCell ref="M3:M7"/>
    <mergeCell ref="N3:N7"/>
    <mergeCell ref="O3:O7"/>
    <mergeCell ref="P3:P8"/>
    <mergeCell ref="B4:B7"/>
    <mergeCell ref="C4:C7"/>
    <mergeCell ref="D4:D7"/>
    <mergeCell ref="E4:J4"/>
    <mergeCell ref="K4:K7"/>
    <mergeCell ref="L4:L7"/>
    <mergeCell ref="E5:G5"/>
    <mergeCell ref="H5:J5"/>
    <mergeCell ref="E6:E7"/>
    <mergeCell ref="F6:F7"/>
    <mergeCell ref="G6:G7"/>
    <mergeCell ref="H6:H7"/>
    <mergeCell ref="I6:I7"/>
    <mergeCell ref="J6:J7"/>
    <mergeCell ref="B56:H56"/>
    <mergeCell ref="J56:P56"/>
    <mergeCell ref="B57:D57"/>
    <mergeCell ref="J57:P57"/>
    <mergeCell ref="J58:N58"/>
  </mergeCells>
  <printOptions headings="false" gridLines="false" gridLinesSet="true" horizontalCentered="false" verticalCentered="false"/>
  <pageMargins left="0.629861111111111" right="0.511805555555555" top="0.261805555555556" bottom="0" header="0.511805555555555" footer="0.196527777777778"/>
  <pageSetup paperSize="1" scale="100" firstPageNumber="12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>&amp;C&amp;"Times New Roman,Regular"&amp;8&amp;P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6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1" ySplit="5" topLeftCell="D36" activePane="bottomRight" state="frozen"/>
      <selection pane="topLeft" activeCell="A1" activeCellId="0" sqref="A1"/>
      <selection pane="topRight" activeCell="D1" activeCellId="0" sqref="D1"/>
      <selection pane="bottomLeft" activeCell="A36" activeCellId="0" sqref="A36"/>
      <selection pane="bottomRight" activeCell="N51" activeCellId="0" sqref="N51"/>
    </sheetView>
  </sheetViews>
  <sheetFormatPr defaultColWidth="9.15625" defaultRowHeight="12.75" zeroHeight="false" outlineLevelRow="0" outlineLevelCol="0"/>
  <cols>
    <col collapsed="false" customWidth="true" hidden="false" outlineLevel="0" max="1" min="1" style="333" width="11.14"/>
    <col collapsed="false" customWidth="true" hidden="false" outlineLevel="0" max="2" min="2" style="333" width="13.7"/>
    <col collapsed="false" customWidth="true" hidden="false" outlineLevel="0" max="3" min="3" style="333" width="12.86"/>
    <col collapsed="false" customWidth="true" hidden="false" outlineLevel="0" max="4" min="4" style="333" width="13.01"/>
    <col collapsed="false" customWidth="true" hidden="false" outlineLevel="0" max="5" min="5" style="333" width="13.43"/>
    <col collapsed="false" customWidth="true" hidden="false" outlineLevel="0" max="6" min="6" style="333" width="13.01"/>
    <col collapsed="false" customWidth="true" hidden="false" outlineLevel="0" max="8" min="7" style="333" width="12.71"/>
    <col collapsed="false" customWidth="true" hidden="false" outlineLevel="0" max="10" min="9" style="333" width="13.29"/>
    <col collapsed="false" customWidth="true" hidden="false" outlineLevel="0" max="11" min="11" style="333" width="14.43"/>
    <col collapsed="false" customWidth="true" hidden="false" outlineLevel="0" max="12" min="12" style="333" width="11.86"/>
    <col collapsed="false" customWidth="true" hidden="false" outlineLevel="0" max="13" min="13" style="333" width="10.42"/>
    <col collapsed="false" customWidth="false" hidden="false" outlineLevel="0" max="1024" min="14" style="333" width="9.14"/>
  </cols>
  <sheetData>
    <row r="1" s="380" customFormat="true" ht="15.75" hidden="false" customHeight="false" outlineLevel="0" collapsed="false">
      <c r="D1" s="381" t="s">
        <v>328</v>
      </c>
      <c r="E1" s="381"/>
      <c r="F1" s="381"/>
      <c r="G1" s="382" t="s">
        <v>329</v>
      </c>
      <c r="H1" s="382"/>
      <c r="I1" s="382"/>
      <c r="K1" s="381" t="s">
        <v>330</v>
      </c>
      <c r="L1" s="381"/>
    </row>
    <row r="2" s="349" customFormat="true" ht="10.5" hidden="false" customHeight="true" outlineLevel="0" collapsed="false">
      <c r="F2" s="383"/>
      <c r="K2" s="384" t="s">
        <v>331</v>
      </c>
      <c r="L2" s="384"/>
    </row>
    <row r="3" s="270" customFormat="true" ht="22.5" hidden="false" customHeight="true" outlineLevel="0" collapsed="false">
      <c r="A3" s="385" t="s">
        <v>332</v>
      </c>
      <c r="B3" s="386" t="s">
        <v>333</v>
      </c>
      <c r="C3" s="131" t="s">
        <v>334</v>
      </c>
      <c r="D3" s="143" t="s">
        <v>335</v>
      </c>
      <c r="E3" s="143"/>
      <c r="F3" s="143"/>
      <c r="G3" s="143" t="s">
        <v>336</v>
      </c>
      <c r="H3" s="143"/>
      <c r="I3" s="143"/>
      <c r="J3" s="131" t="s">
        <v>337</v>
      </c>
      <c r="K3" s="131" t="s">
        <v>338</v>
      </c>
      <c r="L3" s="385" t="s">
        <v>339</v>
      </c>
    </row>
    <row r="4" s="270" customFormat="true" ht="22.5" hidden="false" customHeight="true" outlineLevel="0" collapsed="false">
      <c r="A4" s="385"/>
      <c r="B4" s="386"/>
      <c r="C4" s="131"/>
      <c r="D4" s="143" t="s">
        <v>340</v>
      </c>
      <c r="E4" s="143" t="s">
        <v>341</v>
      </c>
      <c r="F4" s="143" t="s">
        <v>175</v>
      </c>
      <c r="G4" s="143" t="s">
        <v>340</v>
      </c>
      <c r="H4" s="143" t="s">
        <v>341</v>
      </c>
      <c r="I4" s="143" t="s">
        <v>175</v>
      </c>
      <c r="J4" s="131"/>
      <c r="K4" s="131"/>
      <c r="L4" s="385"/>
    </row>
    <row r="5" s="388" customFormat="true" ht="12" hidden="false" customHeight="true" outlineLevel="0" collapsed="false">
      <c r="A5" s="385"/>
      <c r="B5" s="387" t="n">
        <v>1</v>
      </c>
      <c r="C5" s="268" t="n">
        <v>2</v>
      </c>
      <c r="D5" s="268" t="n">
        <v>3</v>
      </c>
      <c r="E5" s="268" t="n">
        <v>4</v>
      </c>
      <c r="F5" s="268" t="s">
        <v>342</v>
      </c>
      <c r="G5" s="268" t="n">
        <v>6</v>
      </c>
      <c r="H5" s="268" t="n">
        <v>7</v>
      </c>
      <c r="I5" s="268" t="s">
        <v>343</v>
      </c>
      <c r="J5" s="268" t="n">
        <v>9</v>
      </c>
      <c r="K5" s="268" t="s">
        <v>344</v>
      </c>
      <c r="L5" s="385"/>
    </row>
    <row r="6" customFormat="false" ht="11.45" hidden="false" customHeight="true" outlineLevel="0" collapsed="false">
      <c r="A6" s="389" t="s">
        <v>203</v>
      </c>
      <c r="B6" s="190" t="n">
        <v>54252.9</v>
      </c>
      <c r="C6" s="190" t="n">
        <v>12.3</v>
      </c>
      <c r="D6" s="190" t="n">
        <v>1765.4</v>
      </c>
      <c r="E6" s="190" t="n">
        <v>9474.8</v>
      </c>
      <c r="F6" s="390" t="n">
        <f aca="false">D6+E6</f>
        <v>11240.2</v>
      </c>
      <c r="G6" s="190" t="n">
        <v>11036.2</v>
      </c>
      <c r="H6" s="190" t="n">
        <v>205147.4</v>
      </c>
      <c r="I6" s="390" t="n">
        <f aca="false">G6+H6</f>
        <v>216183.6</v>
      </c>
      <c r="J6" s="190" t="n">
        <v>56138.6</v>
      </c>
      <c r="K6" s="390" t="n">
        <f aca="false">B6+C6+F6+I6+J6</f>
        <v>337827.6</v>
      </c>
      <c r="L6" s="391" t="s">
        <v>203</v>
      </c>
    </row>
    <row r="7" customFormat="false" ht="11.45" hidden="false" customHeight="true" outlineLevel="0" collapsed="false">
      <c r="A7" s="222" t="s">
        <v>205</v>
      </c>
      <c r="B7" s="196" t="n">
        <v>73227.9</v>
      </c>
      <c r="C7" s="196" t="n">
        <v>9.4</v>
      </c>
      <c r="D7" s="196" t="n">
        <v>2162.1</v>
      </c>
      <c r="E7" s="196" t="n">
        <v>9681.3</v>
      </c>
      <c r="F7" s="392" t="n">
        <f aca="false">D7+E7</f>
        <v>11843.4</v>
      </c>
      <c r="G7" s="196" t="n">
        <v>14780.8</v>
      </c>
      <c r="H7" s="196" t="n">
        <v>261545.2</v>
      </c>
      <c r="I7" s="392" t="n">
        <f aca="false">G7+H7</f>
        <v>276326</v>
      </c>
      <c r="J7" s="196" t="n">
        <v>69486.3</v>
      </c>
      <c r="K7" s="392" t="n">
        <f aca="false">B7+C7+F7+I7+J7</f>
        <v>430893</v>
      </c>
      <c r="L7" s="393" t="s">
        <v>205</v>
      </c>
    </row>
    <row r="8" customFormat="false" ht="11.45" hidden="false" customHeight="true" outlineLevel="0" collapsed="false">
      <c r="A8" s="389" t="s">
        <v>282</v>
      </c>
      <c r="B8" s="190" t="n">
        <v>91728.8</v>
      </c>
      <c r="C8" s="190" t="n">
        <v>5.8</v>
      </c>
      <c r="D8" s="190" t="n">
        <v>2558.6</v>
      </c>
      <c r="E8" s="190" t="n">
        <v>11158.6</v>
      </c>
      <c r="F8" s="390" t="n">
        <v>13717.2</v>
      </c>
      <c r="G8" s="190" t="n">
        <v>12777.7</v>
      </c>
      <c r="H8" s="190" t="n">
        <v>320176.9</v>
      </c>
      <c r="I8" s="390" t="n">
        <v>332954.6</v>
      </c>
      <c r="J8" s="190" t="n">
        <v>76566.2</v>
      </c>
      <c r="K8" s="390" t="n">
        <v>514972.6</v>
      </c>
      <c r="L8" s="391" t="s">
        <v>282</v>
      </c>
    </row>
    <row r="9" customFormat="false" ht="11.45" hidden="false" customHeight="true" outlineLevel="0" collapsed="false">
      <c r="A9" s="222" t="s">
        <v>207</v>
      </c>
      <c r="B9" s="196" t="n">
        <v>110124.6</v>
      </c>
      <c r="C9" s="196" t="n">
        <v>2.3</v>
      </c>
      <c r="D9" s="196" t="n">
        <v>3509.3</v>
      </c>
      <c r="E9" s="196" t="n">
        <v>14227.8</v>
      </c>
      <c r="F9" s="392" t="n">
        <v>17737.1</v>
      </c>
      <c r="G9" s="196" t="n">
        <v>5943.7</v>
      </c>
      <c r="H9" s="196" t="n">
        <v>354128.7</v>
      </c>
      <c r="I9" s="392" t="n">
        <v>360072.4</v>
      </c>
      <c r="J9" s="196" t="n">
        <v>83800.7</v>
      </c>
      <c r="K9" s="392" t="n">
        <v>571737.1</v>
      </c>
      <c r="L9" s="393" t="s">
        <v>207</v>
      </c>
    </row>
    <row r="10" s="394" customFormat="true" ht="11.45" hidden="false" customHeight="true" outlineLevel="0" collapsed="false">
      <c r="A10" s="189" t="s">
        <v>208</v>
      </c>
      <c r="B10" s="190" t="n">
        <v>117529.4</v>
      </c>
      <c r="C10" s="190" t="n">
        <v>0</v>
      </c>
      <c r="D10" s="190" t="n">
        <v>5279.8</v>
      </c>
      <c r="E10" s="190" t="n">
        <v>17064.3</v>
      </c>
      <c r="F10" s="190" t="n">
        <v>22344.1</v>
      </c>
      <c r="G10" s="190" t="n">
        <v>7457.2</v>
      </c>
      <c r="H10" s="190" t="n">
        <v>396366.5</v>
      </c>
      <c r="I10" s="190" t="n">
        <v>403823.7</v>
      </c>
      <c r="J10" s="190" t="n">
        <v>94209.1</v>
      </c>
      <c r="K10" s="190" t="n">
        <v>637906.3</v>
      </c>
      <c r="L10" s="360" t="s">
        <v>208</v>
      </c>
    </row>
    <row r="11" s="394" customFormat="true" ht="11.45" hidden="false" customHeight="true" outlineLevel="0" collapsed="false">
      <c r="A11" s="185" t="s">
        <v>209</v>
      </c>
      <c r="B11" s="196" t="n">
        <v>110257.3</v>
      </c>
      <c r="C11" s="196" t="n">
        <v>0</v>
      </c>
      <c r="D11" s="196" t="n">
        <v>5366.6</v>
      </c>
      <c r="E11" s="196" t="n">
        <v>21902.2</v>
      </c>
      <c r="F11" s="196" t="n">
        <v>27268.8</v>
      </c>
      <c r="G11" s="196" t="n">
        <v>11303.2</v>
      </c>
      <c r="H11" s="196" t="n">
        <v>447518.7</v>
      </c>
      <c r="I11" s="196" t="n">
        <v>458821.8</v>
      </c>
      <c r="J11" s="196" t="n">
        <v>105178.6</v>
      </c>
      <c r="K11" s="196" t="n">
        <v>701526.5</v>
      </c>
      <c r="L11" s="362" t="s">
        <v>209</v>
      </c>
    </row>
    <row r="12" s="394" customFormat="true" ht="11.45" hidden="false" customHeight="true" outlineLevel="0" collapsed="false">
      <c r="A12" s="189" t="s">
        <v>211</v>
      </c>
      <c r="B12" s="355" t="n">
        <v>114219.6</v>
      </c>
      <c r="C12" s="355" t="n">
        <v>0</v>
      </c>
      <c r="D12" s="355" t="n">
        <v>6923.8</v>
      </c>
      <c r="E12" s="355" t="n">
        <v>26923.7</v>
      </c>
      <c r="F12" s="355" t="n">
        <v>33847.5</v>
      </c>
      <c r="G12" s="355" t="n">
        <v>9127.3</v>
      </c>
      <c r="H12" s="355" t="n">
        <v>531340.4</v>
      </c>
      <c r="I12" s="355" t="n">
        <v>540467.7</v>
      </c>
      <c r="J12" s="355" t="n">
        <v>112745.2</v>
      </c>
      <c r="K12" s="355" t="n">
        <v>801280</v>
      </c>
      <c r="L12" s="360" t="s">
        <v>211</v>
      </c>
    </row>
    <row r="13" s="394" customFormat="true" ht="11.45" hidden="false" customHeight="true" outlineLevel="0" collapsed="false">
      <c r="A13" s="395" t="s">
        <v>212</v>
      </c>
      <c r="B13" s="396" t="n">
        <v>97333.5</v>
      </c>
      <c r="C13" s="396" t="n">
        <v>0</v>
      </c>
      <c r="D13" s="396" t="n">
        <v>8161.5</v>
      </c>
      <c r="E13" s="396" t="n">
        <v>33950.3</v>
      </c>
      <c r="F13" s="396" t="n">
        <v>42111.8</v>
      </c>
      <c r="G13" s="396" t="n">
        <v>9118.7</v>
      </c>
      <c r="H13" s="396" t="n">
        <v>612395</v>
      </c>
      <c r="I13" s="396" t="n">
        <v>621513.7</v>
      </c>
      <c r="J13" s="396" t="n">
        <v>129711.2</v>
      </c>
      <c r="K13" s="396" t="n">
        <v>890670.2</v>
      </c>
      <c r="L13" s="297" t="s">
        <v>212</v>
      </c>
    </row>
    <row r="14" s="394" customFormat="true" ht="11.45" hidden="false" customHeight="true" outlineLevel="0" collapsed="false">
      <c r="A14" s="397" t="s">
        <v>213</v>
      </c>
      <c r="B14" s="398" t="n">
        <f aca="false">B26</f>
        <v>94894.9</v>
      </c>
      <c r="C14" s="398" t="n">
        <f aca="false">C26</f>
        <v>0</v>
      </c>
      <c r="D14" s="398" t="n">
        <f aca="false">D26</f>
        <v>8638.8</v>
      </c>
      <c r="E14" s="398" t="n">
        <f aca="false">E26</f>
        <v>43216.2</v>
      </c>
      <c r="F14" s="398" t="n">
        <f aca="false">F26</f>
        <v>51875.3</v>
      </c>
      <c r="G14" s="398" t="n">
        <f aca="false">G26</f>
        <v>10561.3</v>
      </c>
      <c r="H14" s="398" t="n">
        <f aca="false">H26</f>
        <v>714397</v>
      </c>
      <c r="I14" s="398" t="n">
        <f aca="false">I26</f>
        <v>724958.3</v>
      </c>
      <c r="J14" s="398" t="n">
        <f aca="false">J26</f>
        <v>149898.1</v>
      </c>
      <c r="K14" s="398" t="n">
        <f aca="false">K26</f>
        <v>1021626.6</v>
      </c>
      <c r="L14" s="399" t="s">
        <v>213</v>
      </c>
    </row>
    <row r="15" s="394" customFormat="true" ht="11.45" hidden="false" customHeight="true" outlineLevel="0" collapsed="false">
      <c r="A15" s="207" t="s">
        <v>214</v>
      </c>
      <c r="B15" s="358" t="n">
        <v>94759.8</v>
      </c>
      <c r="C15" s="358" t="n">
        <v>0</v>
      </c>
      <c r="D15" s="358" t="n">
        <v>7896.2</v>
      </c>
      <c r="E15" s="358" t="n">
        <v>34131.6</v>
      </c>
      <c r="F15" s="358" t="n">
        <f aca="false">D15+E15</f>
        <v>42027.8</v>
      </c>
      <c r="G15" s="358" t="n">
        <v>9668.6</v>
      </c>
      <c r="H15" s="358" t="n">
        <v>614135.4</v>
      </c>
      <c r="I15" s="358" t="n">
        <f aca="false">G15+H15</f>
        <v>623804</v>
      </c>
      <c r="J15" s="178" t="n">
        <v>129751.7</v>
      </c>
      <c r="K15" s="178" t="n">
        <f aca="false">B15+C15+F15+I15+J15</f>
        <v>890343.3</v>
      </c>
      <c r="L15" s="364" t="s">
        <v>214</v>
      </c>
    </row>
    <row r="16" s="394" customFormat="true" ht="11.45" hidden="false" customHeight="true" outlineLevel="0" collapsed="false">
      <c r="A16" s="215" t="s">
        <v>215</v>
      </c>
      <c r="B16" s="355" t="n">
        <v>101287.4</v>
      </c>
      <c r="C16" s="355" t="n">
        <v>0</v>
      </c>
      <c r="D16" s="355" t="n">
        <v>8177.5</v>
      </c>
      <c r="E16" s="355" t="n">
        <v>35864.4</v>
      </c>
      <c r="F16" s="355" t="n">
        <f aca="false">D16+E16</f>
        <v>44041.9</v>
      </c>
      <c r="G16" s="355" t="n">
        <v>9514.1</v>
      </c>
      <c r="H16" s="355" t="n">
        <v>624879.1</v>
      </c>
      <c r="I16" s="355" t="n">
        <f aca="false">G16+H16</f>
        <v>634393.2</v>
      </c>
      <c r="J16" s="168" t="n">
        <v>131063.7</v>
      </c>
      <c r="K16" s="168" t="n">
        <f aca="false">B16+C16+F16+I16+J16</f>
        <v>910786.2</v>
      </c>
      <c r="L16" s="365" t="s">
        <v>215</v>
      </c>
    </row>
    <row r="17" s="394" customFormat="true" ht="11.45" hidden="false" customHeight="true" outlineLevel="0" collapsed="false">
      <c r="A17" s="207" t="s">
        <v>216</v>
      </c>
      <c r="B17" s="358" t="n">
        <v>94438.1</v>
      </c>
      <c r="C17" s="358" t="n">
        <v>0</v>
      </c>
      <c r="D17" s="358" t="n">
        <v>8115.2</v>
      </c>
      <c r="E17" s="358" t="n">
        <v>35931.1</v>
      </c>
      <c r="F17" s="358" t="n">
        <f aca="false">D17+E17</f>
        <v>44046.3</v>
      </c>
      <c r="G17" s="358" t="n">
        <v>9562.1</v>
      </c>
      <c r="H17" s="358" t="n">
        <v>632711.2</v>
      </c>
      <c r="I17" s="358" t="n">
        <f aca="false">G17+H17</f>
        <v>642273.3</v>
      </c>
      <c r="J17" s="178" t="n">
        <v>132583.2</v>
      </c>
      <c r="K17" s="178" t="n">
        <f aca="false">B17+C17+F17+I17+J17</f>
        <v>913340.9</v>
      </c>
      <c r="L17" s="364" t="s">
        <v>216</v>
      </c>
    </row>
    <row r="18" s="394" customFormat="true" ht="11.45" hidden="false" customHeight="true" outlineLevel="0" collapsed="false">
      <c r="A18" s="215" t="s">
        <v>217</v>
      </c>
      <c r="B18" s="355" t="n">
        <v>92183.4</v>
      </c>
      <c r="C18" s="355" t="n">
        <v>0</v>
      </c>
      <c r="D18" s="355" t="n">
        <v>8282.4</v>
      </c>
      <c r="E18" s="355" t="n">
        <v>36375.1</v>
      </c>
      <c r="F18" s="355" t="n">
        <f aca="false">D18+E18</f>
        <v>44657.5</v>
      </c>
      <c r="G18" s="355" t="n">
        <v>9749</v>
      </c>
      <c r="H18" s="355" t="n">
        <v>641755.3</v>
      </c>
      <c r="I18" s="355" t="n">
        <f aca="false">G18+H18</f>
        <v>651504.3</v>
      </c>
      <c r="J18" s="168" t="n">
        <v>134549.4</v>
      </c>
      <c r="K18" s="168" t="n">
        <f aca="false">B18+C18+F18+I18+J18</f>
        <v>922894.6</v>
      </c>
      <c r="L18" s="365" t="s">
        <v>217</v>
      </c>
    </row>
    <row r="19" s="394" customFormat="true" ht="11.45" hidden="false" customHeight="true" outlineLevel="0" collapsed="false">
      <c r="A19" s="207" t="s">
        <v>218</v>
      </c>
      <c r="B19" s="358" t="n">
        <v>92603.1</v>
      </c>
      <c r="C19" s="358" t="n">
        <v>0</v>
      </c>
      <c r="D19" s="358" t="n">
        <v>8186.8</v>
      </c>
      <c r="E19" s="358" t="n">
        <v>37432.2</v>
      </c>
      <c r="F19" s="358" t="n">
        <f aca="false">D19+E19</f>
        <v>45619</v>
      </c>
      <c r="G19" s="358" t="n">
        <v>9954.7</v>
      </c>
      <c r="H19" s="358" t="n">
        <v>653005.7</v>
      </c>
      <c r="I19" s="358" t="n">
        <f aca="false">G19+H19</f>
        <v>662960.4</v>
      </c>
      <c r="J19" s="178" t="n">
        <v>136505.8</v>
      </c>
      <c r="K19" s="178" t="n">
        <f aca="false">B19+C19+F19+I19+J19</f>
        <v>937688.3</v>
      </c>
      <c r="L19" s="364" t="s">
        <v>218</v>
      </c>
    </row>
    <row r="20" s="394" customFormat="true" ht="11.45" hidden="false" customHeight="true" outlineLevel="0" collapsed="false">
      <c r="A20" s="215" t="s">
        <v>219</v>
      </c>
      <c r="B20" s="355" t="n">
        <v>87276.5</v>
      </c>
      <c r="C20" s="355" t="n">
        <v>0</v>
      </c>
      <c r="D20" s="355" t="n">
        <v>8297.3</v>
      </c>
      <c r="E20" s="355" t="n">
        <v>38766.3</v>
      </c>
      <c r="F20" s="355" t="n">
        <f aca="false">D20+E20</f>
        <v>47063.6</v>
      </c>
      <c r="G20" s="355" t="n">
        <v>10328.1</v>
      </c>
      <c r="H20" s="355" t="n">
        <v>667054.7</v>
      </c>
      <c r="I20" s="355" t="n">
        <f aca="false">G20+H20</f>
        <v>677382.8</v>
      </c>
      <c r="J20" s="168" t="n">
        <v>140266.6</v>
      </c>
      <c r="K20" s="168" t="n">
        <f aca="false">B20+C20+F20+I20+J20</f>
        <v>951989.5</v>
      </c>
      <c r="L20" s="365" t="s">
        <v>219</v>
      </c>
    </row>
    <row r="21" s="394" customFormat="true" ht="11.45" hidden="false" customHeight="true" outlineLevel="0" collapsed="false">
      <c r="A21" s="207" t="s">
        <v>220</v>
      </c>
      <c r="B21" s="358" t="n">
        <v>81033.4</v>
      </c>
      <c r="C21" s="358" t="n">
        <v>0</v>
      </c>
      <c r="D21" s="358" t="n">
        <v>8339.9</v>
      </c>
      <c r="E21" s="358" t="n">
        <v>39788.3</v>
      </c>
      <c r="F21" s="358" t="n">
        <f aca="false">D21+E21</f>
        <v>48128.2</v>
      </c>
      <c r="G21" s="358" t="n">
        <v>10055.3</v>
      </c>
      <c r="H21" s="358" t="n">
        <v>669588.8</v>
      </c>
      <c r="I21" s="358" t="n">
        <f aca="false">G21+H21</f>
        <v>679644.1</v>
      </c>
      <c r="J21" s="178" t="n">
        <v>142037.8</v>
      </c>
      <c r="K21" s="178" t="n">
        <f aca="false">B21+C21+F21+I21+J21</f>
        <v>950843.5</v>
      </c>
      <c r="L21" s="364" t="s">
        <v>220</v>
      </c>
    </row>
    <row r="22" s="394" customFormat="true" ht="11.45" hidden="false" customHeight="true" outlineLevel="0" collapsed="false">
      <c r="A22" s="215" t="s">
        <v>221</v>
      </c>
      <c r="B22" s="355" t="n">
        <v>75069.3</v>
      </c>
      <c r="C22" s="355" t="n">
        <v>0</v>
      </c>
      <c r="D22" s="355" t="n">
        <v>8346.4</v>
      </c>
      <c r="E22" s="355" t="n">
        <v>41045.3</v>
      </c>
      <c r="F22" s="355" t="n">
        <f aca="false">D22+E22</f>
        <v>49391.7</v>
      </c>
      <c r="G22" s="355" t="n">
        <v>10212.4</v>
      </c>
      <c r="H22" s="355" t="n">
        <v>677475.2</v>
      </c>
      <c r="I22" s="355" t="n">
        <f aca="false">G22+H22</f>
        <v>687687.6</v>
      </c>
      <c r="J22" s="168" t="n">
        <v>143704.3</v>
      </c>
      <c r="K22" s="168" t="n">
        <f aca="false">B22+C22+F22+I22+J22</f>
        <v>955852.9</v>
      </c>
      <c r="L22" s="365" t="s">
        <v>221</v>
      </c>
    </row>
    <row r="23" s="394" customFormat="true" ht="11.45" hidden="false" customHeight="true" outlineLevel="0" collapsed="false">
      <c r="A23" s="207" t="s">
        <v>222</v>
      </c>
      <c r="B23" s="358" t="n">
        <v>74575.5</v>
      </c>
      <c r="C23" s="358" t="n">
        <v>0</v>
      </c>
      <c r="D23" s="358" t="n">
        <v>8167.3</v>
      </c>
      <c r="E23" s="358" t="n">
        <v>41311.5</v>
      </c>
      <c r="F23" s="358" t="n">
        <f aca="false">D23+E23</f>
        <v>49478.8</v>
      </c>
      <c r="G23" s="358" t="n">
        <v>10030.9</v>
      </c>
      <c r="H23" s="358" t="n">
        <v>684860.8</v>
      </c>
      <c r="I23" s="358" t="n">
        <f aca="false">G23+H23</f>
        <v>694891.7</v>
      </c>
      <c r="J23" s="178" t="n">
        <v>145259.4</v>
      </c>
      <c r="K23" s="178" t="n">
        <f aca="false">B23+C23+F23+I23+J23</f>
        <v>964205.4</v>
      </c>
      <c r="L23" s="364" t="s">
        <v>222</v>
      </c>
    </row>
    <row r="24" s="394" customFormat="true" ht="11.45" hidden="false" customHeight="true" outlineLevel="0" collapsed="false">
      <c r="A24" s="215" t="s">
        <v>223</v>
      </c>
      <c r="B24" s="355" t="n">
        <v>71628.9</v>
      </c>
      <c r="C24" s="355" t="n">
        <v>0</v>
      </c>
      <c r="D24" s="355" t="n">
        <v>8321.9</v>
      </c>
      <c r="E24" s="355" t="n">
        <v>42197.9</v>
      </c>
      <c r="F24" s="355" t="n">
        <f aca="false">D24+E24</f>
        <v>50519.8</v>
      </c>
      <c r="G24" s="355" t="n">
        <v>11012.3</v>
      </c>
      <c r="H24" s="355" t="n">
        <v>693005.3</v>
      </c>
      <c r="I24" s="355" t="n">
        <f aca="false">G24+H24</f>
        <v>704017.6</v>
      </c>
      <c r="J24" s="168" t="n">
        <v>146307.7</v>
      </c>
      <c r="K24" s="168" t="n">
        <f aca="false">B24+C24+F24+I24+J24</f>
        <v>972474</v>
      </c>
      <c r="L24" s="365" t="s">
        <v>223</v>
      </c>
    </row>
    <row r="25" s="394" customFormat="true" ht="11.45" hidden="false" customHeight="true" outlineLevel="0" collapsed="false">
      <c r="A25" s="207" t="s">
        <v>224</v>
      </c>
      <c r="B25" s="358" t="n">
        <v>76696.7</v>
      </c>
      <c r="C25" s="358" t="n">
        <v>0</v>
      </c>
      <c r="D25" s="358" t="n">
        <v>8762.6</v>
      </c>
      <c r="E25" s="358" t="n">
        <v>42720.4</v>
      </c>
      <c r="F25" s="358" t="n">
        <f aca="false">D25+E25</f>
        <v>51483</v>
      </c>
      <c r="G25" s="358" t="n">
        <v>11044.7</v>
      </c>
      <c r="H25" s="358" t="n">
        <v>702614.1</v>
      </c>
      <c r="I25" s="358" t="n">
        <f aca="false">G25+H25</f>
        <v>713658.8</v>
      </c>
      <c r="J25" s="178" t="n">
        <v>147068.9</v>
      </c>
      <c r="K25" s="178" t="n">
        <f aca="false">B25+C25+F25+I25+J25</f>
        <v>988907.4</v>
      </c>
      <c r="L25" s="364" t="s">
        <v>224</v>
      </c>
    </row>
    <row r="26" s="394" customFormat="true" ht="11.45" hidden="false" customHeight="true" outlineLevel="0" collapsed="false">
      <c r="A26" s="215" t="s">
        <v>225</v>
      </c>
      <c r="B26" s="355" t="n">
        <v>94894.9</v>
      </c>
      <c r="C26" s="355" t="n">
        <v>0</v>
      </c>
      <c r="D26" s="355" t="n">
        <v>8638.8</v>
      </c>
      <c r="E26" s="355" t="n">
        <v>43216.2</v>
      </c>
      <c r="F26" s="355" t="n">
        <v>51875.3</v>
      </c>
      <c r="G26" s="355" t="n">
        <v>10561.3</v>
      </c>
      <c r="H26" s="355" t="n">
        <v>714397</v>
      </c>
      <c r="I26" s="355" t="n">
        <f aca="false">G26+H26</f>
        <v>724958.3</v>
      </c>
      <c r="J26" s="168" t="n">
        <v>149898.1</v>
      </c>
      <c r="K26" s="168" t="n">
        <f aca="false">B26+C26+F26+I26+J26</f>
        <v>1021626.6</v>
      </c>
      <c r="L26" s="365" t="s">
        <v>225</v>
      </c>
    </row>
    <row r="27" s="400" customFormat="true" ht="11.45" hidden="false" customHeight="true" outlineLevel="0" collapsed="false">
      <c r="A27" s="223" t="s">
        <v>226</v>
      </c>
      <c r="B27" s="396" t="n">
        <f aca="false">B39</f>
        <v>113273.4</v>
      </c>
      <c r="C27" s="396" t="n">
        <f aca="false">C39</f>
        <v>0</v>
      </c>
      <c r="D27" s="396" t="n">
        <f aca="false">D39</f>
        <v>10941.8</v>
      </c>
      <c r="E27" s="396" t="n">
        <f aca="false">E39</f>
        <v>44526.6</v>
      </c>
      <c r="F27" s="396" t="n">
        <f aca="false">F39</f>
        <v>55468.4</v>
      </c>
      <c r="G27" s="396" t="n">
        <f aca="false">G39</f>
        <v>12413.8</v>
      </c>
      <c r="H27" s="396" t="n">
        <f aca="false">H39</f>
        <v>797858.7</v>
      </c>
      <c r="I27" s="396" t="n">
        <f aca="false">I39</f>
        <v>810272.5</v>
      </c>
      <c r="J27" s="396" t="n">
        <f aca="false">J39</f>
        <v>167870.4</v>
      </c>
      <c r="K27" s="396" t="n">
        <f aca="false">K39</f>
        <v>1146884.7</v>
      </c>
      <c r="L27" s="366" t="s">
        <v>226</v>
      </c>
    </row>
    <row r="28" s="400" customFormat="true" ht="11.45" hidden="false" customHeight="true" outlineLevel="0" collapsed="false">
      <c r="A28" s="215" t="s">
        <v>214</v>
      </c>
      <c r="B28" s="355" t="n">
        <v>97182.5</v>
      </c>
      <c r="C28" s="355" t="n">
        <v>0</v>
      </c>
      <c r="D28" s="355" t="n">
        <v>8808.5</v>
      </c>
      <c r="E28" s="355" t="n">
        <v>42955.3</v>
      </c>
      <c r="F28" s="355" t="n">
        <f aca="false">D28+E28</f>
        <v>51763.8</v>
      </c>
      <c r="G28" s="355" t="n">
        <v>10675.7</v>
      </c>
      <c r="H28" s="355" t="n">
        <v>709670.9</v>
      </c>
      <c r="I28" s="355" t="n">
        <f aca="false">G28+H28</f>
        <v>720346.6</v>
      </c>
      <c r="J28" s="168" t="n">
        <v>148839.4</v>
      </c>
      <c r="K28" s="168" t="n">
        <f aca="false">B28+C28+F28+I28+J28</f>
        <v>1018132.3</v>
      </c>
      <c r="L28" s="365" t="s">
        <v>214</v>
      </c>
    </row>
    <row r="29" customFormat="false" ht="11.45" hidden="false" customHeight="true" outlineLevel="0" collapsed="false">
      <c r="A29" s="207" t="s">
        <v>215</v>
      </c>
      <c r="B29" s="358" t="n">
        <v>101692</v>
      </c>
      <c r="C29" s="358" t="n">
        <v>0</v>
      </c>
      <c r="D29" s="358" t="n">
        <v>8788.3</v>
      </c>
      <c r="E29" s="358" t="n">
        <v>42722.8</v>
      </c>
      <c r="F29" s="358" t="n">
        <f aca="false">D29+E29</f>
        <v>51511.1</v>
      </c>
      <c r="G29" s="358" t="n">
        <v>10638.4</v>
      </c>
      <c r="H29" s="358" t="n">
        <v>718497.3</v>
      </c>
      <c r="I29" s="358" t="n">
        <f aca="false">G29+H29</f>
        <v>729135.7</v>
      </c>
      <c r="J29" s="178" t="n">
        <v>148946</v>
      </c>
      <c r="K29" s="178" t="n">
        <f aca="false">B29+C29+F29+I29+J29</f>
        <v>1031284.8</v>
      </c>
      <c r="L29" s="364" t="s">
        <v>215</v>
      </c>
    </row>
    <row r="30" customFormat="false" ht="11.45" hidden="false" customHeight="true" outlineLevel="0" collapsed="false">
      <c r="A30" s="215" t="s">
        <v>216</v>
      </c>
      <c r="B30" s="355" t="n">
        <v>95695.1</v>
      </c>
      <c r="C30" s="355" t="n">
        <v>0</v>
      </c>
      <c r="D30" s="355" t="n">
        <v>8757.6</v>
      </c>
      <c r="E30" s="355" t="n">
        <v>43408.6</v>
      </c>
      <c r="F30" s="355" t="n">
        <f aca="false">D30+E30</f>
        <v>52166.2</v>
      </c>
      <c r="G30" s="355" t="n">
        <v>10874.6</v>
      </c>
      <c r="H30" s="355" t="n">
        <v>725258.8</v>
      </c>
      <c r="I30" s="355" t="n">
        <f aca="false">G30+H30</f>
        <v>736133.4</v>
      </c>
      <c r="J30" s="168" t="n">
        <v>150078.1</v>
      </c>
      <c r="K30" s="168" t="n">
        <f aca="false">B30+C30+F30+I30+J30</f>
        <v>1034072.8</v>
      </c>
      <c r="L30" s="365" t="s">
        <v>216</v>
      </c>
    </row>
    <row r="31" customFormat="false" ht="11.45" hidden="false" customHeight="true" outlineLevel="0" collapsed="false">
      <c r="A31" s="207" t="s">
        <v>217</v>
      </c>
      <c r="B31" s="358" t="n">
        <v>95668.9</v>
      </c>
      <c r="C31" s="358" t="n">
        <v>0</v>
      </c>
      <c r="D31" s="358" t="n">
        <v>8853.3</v>
      </c>
      <c r="E31" s="358" t="n">
        <v>44012.1</v>
      </c>
      <c r="F31" s="358" t="n">
        <f aca="false">D31+E31</f>
        <v>52865.4</v>
      </c>
      <c r="G31" s="358" t="n">
        <v>11375</v>
      </c>
      <c r="H31" s="358" t="n">
        <v>736124.3</v>
      </c>
      <c r="I31" s="358" t="n">
        <f aca="false">G31+H31</f>
        <v>747499.3</v>
      </c>
      <c r="J31" s="178" t="n">
        <v>152208.6</v>
      </c>
      <c r="K31" s="178" t="n">
        <f aca="false">B31+C31+F31+I31+J31</f>
        <v>1048242.2</v>
      </c>
      <c r="L31" s="364" t="s">
        <v>217</v>
      </c>
    </row>
    <row r="32" customFormat="false" ht="11.45" hidden="false" customHeight="true" outlineLevel="0" collapsed="false">
      <c r="A32" s="215" t="s">
        <v>218</v>
      </c>
      <c r="B32" s="355" t="n">
        <v>97786.7</v>
      </c>
      <c r="C32" s="355" t="n">
        <v>0</v>
      </c>
      <c r="D32" s="355" t="n">
        <v>9533.2</v>
      </c>
      <c r="E32" s="355" t="n">
        <v>45270.4</v>
      </c>
      <c r="F32" s="355" t="n">
        <f aca="false">D32+E32</f>
        <v>54803.6</v>
      </c>
      <c r="G32" s="355" t="n">
        <v>12061.4</v>
      </c>
      <c r="H32" s="355" t="n">
        <v>744331.1</v>
      </c>
      <c r="I32" s="355" t="n">
        <f aca="false">G32+H32</f>
        <v>756392.5</v>
      </c>
      <c r="J32" s="168" t="n">
        <v>153192</v>
      </c>
      <c r="K32" s="168" t="n">
        <f aca="false">B32+C32+F32+I32+J32</f>
        <v>1062174.8</v>
      </c>
      <c r="L32" s="365" t="s">
        <v>218</v>
      </c>
    </row>
    <row r="33" customFormat="false" ht="11.45" hidden="false" customHeight="true" outlineLevel="0" collapsed="false">
      <c r="A33" s="207" t="s">
        <v>219</v>
      </c>
      <c r="B33" s="358" t="n">
        <v>98152.1</v>
      </c>
      <c r="C33" s="358" t="n">
        <v>0</v>
      </c>
      <c r="D33" s="358" t="n">
        <v>10375.7</v>
      </c>
      <c r="E33" s="358" t="n">
        <v>44700.6</v>
      </c>
      <c r="F33" s="358" t="n">
        <f aca="false">D33+E33</f>
        <v>55076.3</v>
      </c>
      <c r="G33" s="358" t="n">
        <v>12971</v>
      </c>
      <c r="H33" s="358" t="n">
        <v>756910.9</v>
      </c>
      <c r="I33" s="358" t="n">
        <f aca="false">G33+H33</f>
        <v>769881.9</v>
      </c>
      <c r="J33" s="178" t="n">
        <v>157239.7</v>
      </c>
      <c r="K33" s="178" t="n">
        <f aca="false">B33+C33+F33+I33+J33</f>
        <v>1080350</v>
      </c>
      <c r="L33" s="364" t="s">
        <v>219</v>
      </c>
    </row>
    <row r="34" customFormat="false" ht="11.45" hidden="false" customHeight="true" outlineLevel="0" collapsed="false">
      <c r="A34" s="215" t="s">
        <v>220</v>
      </c>
      <c r="B34" s="355" t="n">
        <v>98916.9</v>
      </c>
      <c r="C34" s="355" t="n">
        <v>0</v>
      </c>
      <c r="D34" s="355" t="n">
        <v>10319.2</v>
      </c>
      <c r="E34" s="355" t="n">
        <v>45416.7</v>
      </c>
      <c r="F34" s="355" t="n">
        <f aca="false">D34+E34</f>
        <v>55735.9</v>
      </c>
      <c r="G34" s="355" t="n">
        <v>13791.6</v>
      </c>
      <c r="H34" s="355" t="n">
        <v>760348.4</v>
      </c>
      <c r="I34" s="355" t="n">
        <f aca="false">G34+H34</f>
        <v>774140</v>
      </c>
      <c r="J34" s="168" t="n">
        <v>158042.9</v>
      </c>
      <c r="K34" s="168" t="n">
        <f aca="false">B34+C34+F34+I34+J34</f>
        <v>1086835.7</v>
      </c>
      <c r="L34" s="365" t="s">
        <v>220</v>
      </c>
    </row>
    <row r="35" customFormat="false" ht="11.45" hidden="false" customHeight="true" outlineLevel="0" collapsed="false">
      <c r="A35" s="207" t="s">
        <v>221</v>
      </c>
      <c r="B35" s="358" t="n">
        <v>92946</v>
      </c>
      <c r="C35" s="358" t="n">
        <v>0</v>
      </c>
      <c r="D35" s="358" t="n">
        <v>10240</v>
      </c>
      <c r="E35" s="358" t="n">
        <v>44724.5</v>
      </c>
      <c r="F35" s="358" t="n">
        <f aca="false">D35+E35</f>
        <v>54964.5</v>
      </c>
      <c r="G35" s="358" t="n">
        <v>13628.4</v>
      </c>
      <c r="H35" s="358" t="n">
        <v>766391.8</v>
      </c>
      <c r="I35" s="358" t="n">
        <f aca="false">G35+H35</f>
        <v>780020.2</v>
      </c>
      <c r="J35" s="178" t="n">
        <v>159232.4</v>
      </c>
      <c r="K35" s="178" t="n">
        <f aca="false">B35+C35+F35+I35+J35</f>
        <v>1087163.1</v>
      </c>
      <c r="L35" s="364" t="s">
        <v>221</v>
      </c>
    </row>
    <row r="36" customFormat="false" ht="11.45" hidden="false" customHeight="true" outlineLevel="0" collapsed="false">
      <c r="A36" s="215" t="s">
        <v>222</v>
      </c>
      <c r="B36" s="355" t="n">
        <v>92512</v>
      </c>
      <c r="C36" s="355" t="n">
        <v>0</v>
      </c>
      <c r="D36" s="355" t="n">
        <v>10322.9</v>
      </c>
      <c r="E36" s="355" t="n">
        <v>44055.7</v>
      </c>
      <c r="F36" s="355" t="n">
        <f aca="false">D36+E36</f>
        <v>54378.6</v>
      </c>
      <c r="G36" s="355" t="n">
        <v>13739.1</v>
      </c>
      <c r="H36" s="355" t="n">
        <v>774765.9</v>
      </c>
      <c r="I36" s="355" t="n">
        <f aca="false">G36+H36</f>
        <v>788505</v>
      </c>
      <c r="J36" s="168" t="n">
        <v>160864.5</v>
      </c>
      <c r="K36" s="168" t="n">
        <f aca="false">B36+C36+F36+I36+J36</f>
        <v>1096260.1</v>
      </c>
      <c r="L36" s="365" t="s">
        <v>222</v>
      </c>
    </row>
    <row r="37" customFormat="false" ht="11.45" hidden="false" customHeight="true" outlineLevel="0" collapsed="false">
      <c r="A37" s="207" t="s">
        <v>223</v>
      </c>
      <c r="B37" s="358" t="n">
        <v>93266.6</v>
      </c>
      <c r="C37" s="358" t="n">
        <v>0</v>
      </c>
      <c r="D37" s="358" t="n">
        <v>10646.5</v>
      </c>
      <c r="E37" s="358" t="n">
        <v>43856.9</v>
      </c>
      <c r="F37" s="358" t="n">
        <f aca="false">D37+E37</f>
        <v>54503.4</v>
      </c>
      <c r="G37" s="358" t="n">
        <v>13054.9</v>
      </c>
      <c r="H37" s="358" t="n">
        <v>780995.1</v>
      </c>
      <c r="I37" s="358" t="n">
        <f aca="false">G37+H37</f>
        <v>794050</v>
      </c>
      <c r="J37" s="178" t="n">
        <v>163077.2</v>
      </c>
      <c r="K37" s="178" t="n">
        <f aca="false">B37+C37+F37+I37+J37</f>
        <v>1104897.2</v>
      </c>
      <c r="L37" s="364" t="s">
        <v>223</v>
      </c>
    </row>
    <row r="38" customFormat="false" ht="11.45" hidden="false" customHeight="true" outlineLevel="0" collapsed="false">
      <c r="A38" s="287" t="s">
        <v>224</v>
      </c>
      <c r="B38" s="190" t="n">
        <v>113084.7</v>
      </c>
      <c r="C38" s="190" t="n">
        <v>0</v>
      </c>
      <c r="D38" s="190" t="n">
        <v>11000</v>
      </c>
      <c r="E38" s="190" t="n">
        <v>43557.3</v>
      </c>
      <c r="F38" s="190" t="n">
        <f aca="false">D38+E38</f>
        <v>54557.3</v>
      </c>
      <c r="G38" s="190" t="n">
        <v>13405.6</v>
      </c>
      <c r="H38" s="190" t="n">
        <v>791578.3</v>
      </c>
      <c r="I38" s="190" t="n">
        <f aca="false">G38+H38</f>
        <v>804983.9</v>
      </c>
      <c r="J38" s="192" t="n">
        <v>165782.7</v>
      </c>
      <c r="K38" s="192" t="n">
        <f aca="false">B38+C38+F38+I38+J38</f>
        <v>1138408.6</v>
      </c>
      <c r="L38" s="290" t="s">
        <v>224</v>
      </c>
    </row>
    <row r="39" customFormat="false" ht="11.45" hidden="false" customHeight="true" outlineLevel="0" collapsed="false">
      <c r="A39" s="291" t="s">
        <v>225</v>
      </c>
      <c r="B39" s="196" t="n">
        <v>113273.4</v>
      </c>
      <c r="C39" s="196" t="n">
        <v>0</v>
      </c>
      <c r="D39" s="196" t="n">
        <v>10941.8</v>
      </c>
      <c r="E39" s="196" t="n">
        <v>44526.6</v>
      </c>
      <c r="F39" s="196" t="n">
        <f aca="false">D39+E39</f>
        <v>55468.4</v>
      </c>
      <c r="G39" s="196" t="n">
        <v>12413.8</v>
      </c>
      <c r="H39" s="196" t="n">
        <v>797858.7</v>
      </c>
      <c r="I39" s="196" t="n">
        <f aca="false">G39+H39</f>
        <v>810272.5</v>
      </c>
      <c r="J39" s="186" t="n">
        <v>167870.4</v>
      </c>
      <c r="K39" s="186" t="n">
        <f aca="false">B39+C39+F39+I39+J39</f>
        <v>1146884.7</v>
      </c>
      <c r="L39" s="293" t="s">
        <v>225</v>
      </c>
    </row>
    <row r="40" customFormat="false" ht="11.45" hidden="false" customHeight="true" outlineLevel="0" collapsed="false">
      <c r="A40" s="219" t="s">
        <v>227</v>
      </c>
      <c r="B40" s="398" t="n">
        <f aca="false">B52</f>
        <v>176148.5</v>
      </c>
      <c r="C40" s="398" t="n">
        <f aca="false">C52</f>
        <v>0</v>
      </c>
      <c r="D40" s="398" t="n">
        <f aca="false">D52</f>
        <v>11420.7</v>
      </c>
      <c r="E40" s="398" t="n">
        <f aca="false">E52</f>
        <v>43383.4</v>
      </c>
      <c r="F40" s="398" t="n">
        <f aca="false">F52</f>
        <v>54804.1</v>
      </c>
      <c r="G40" s="398" t="n">
        <f aca="false">G52</f>
        <v>17794.4</v>
      </c>
      <c r="H40" s="398" t="n">
        <f aca="false">H52</f>
        <v>875826.1</v>
      </c>
      <c r="I40" s="398" t="n">
        <f aca="false">I52</f>
        <v>893620.5</v>
      </c>
      <c r="J40" s="398" t="n">
        <f aca="false">J52</f>
        <v>178061.5</v>
      </c>
      <c r="K40" s="398" t="n">
        <f aca="false">K52</f>
        <v>1302634.6</v>
      </c>
      <c r="L40" s="368" t="s">
        <v>227</v>
      </c>
    </row>
    <row r="41" customFormat="false" ht="11.45" hidden="false" customHeight="true" outlineLevel="0" collapsed="false">
      <c r="A41" s="207" t="s">
        <v>214</v>
      </c>
      <c r="B41" s="196" t="n">
        <v>129962.5</v>
      </c>
      <c r="C41" s="196" t="n">
        <v>0</v>
      </c>
      <c r="D41" s="196" t="n">
        <v>11041.7</v>
      </c>
      <c r="E41" s="196" t="n">
        <v>43836.1</v>
      </c>
      <c r="F41" s="196" t="n">
        <f aca="false">D41+E41</f>
        <v>54877.8</v>
      </c>
      <c r="G41" s="196" t="n">
        <v>13381.5</v>
      </c>
      <c r="H41" s="196" t="n">
        <v>791815.4</v>
      </c>
      <c r="I41" s="196" t="n">
        <f aca="false">G41+H41</f>
        <v>805196.9</v>
      </c>
      <c r="J41" s="186" t="n">
        <v>167314.5</v>
      </c>
      <c r="K41" s="186" t="n">
        <f aca="false">B41+C41+F41+I41+J41</f>
        <v>1157351.7</v>
      </c>
      <c r="L41" s="364" t="s">
        <v>214</v>
      </c>
      <c r="N41" s="401"/>
    </row>
    <row r="42" customFormat="false" ht="11.45" hidden="false" customHeight="true" outlineLevel="0" collapsed="false">
      <c r="A42" s="215" t="s">
        <v>215</v>
      </c>
      <c r="B42" s="190" t="n">
        <v>138377.7</v>
      </c>
      <c r="C42" s="190" t="n">
        <v>0</v>
      </c>
      <c r="D42" s="190" t="n">
        <v>11043.4</v>
      </c>
      <c r="E42" s="190" t="n">
        <v>42300.7</v>
      </c>
      <c r="F42" s="190" t="n">
        <f aca="false">D42+E42</f>
        <v>53344.1</v>
      </c>
      <c r="G42" s="190" t="n">
        <v>13359.2</v>
      </c>
      <c r="H42" s="190" t="n">
        <v>797896.4</v>
      </c>
      <c r="I42" s="190" t="n">
        <f aca="false">G42+H42</f>
        <v>811255.6</v>
      </c>
      <c r="J42" s="192" t="n">
        <v>167200.8</v>
      </c>
      <c r="K42" s="192" t="n">
        <f aca="false">B42+C42+F42+I42+J42</f>
        <v>1170178.2</v>
      </c>
      <c r="L42" s="365" t="s">
        <v>215</v>
      </c>
      <c r="N42" s="401"/>
    </row>
    <row r="43" customFormat="false" ht="11.45" hidden="false" customHeight="true" outlineLevel="0" collapsed="false">
      <c r="A43" s="207" t="s">
        <v>216</v>
      </c>
      <c r="B43" s="196" t="n">
        <v>140781.6</v>
      </c>
      <c r="C43" s="196" t="n">
        <v>0</v>
      </c>
      <c r="D43" s="196" t="n">
        <v>10970.7</v>
      </c>
      <c r="E43" s="196" t="n">
        <v>43034.1</v>
      </c>
      <c r="F43" s="196" t="n">
        <f aca="false">D43+E43</f>
        <v>54004.8</v>
      </c>
      <c r="G43" s="196" t="n">
        <v>14776.3</v>
      </c>
      <c r="H43" s="196" t="n">
        <v>805716.8</v>
      </c>
      <c r="I43" s="196" t="n">
        <f aca="false">G43+H43</f>
        <v>820493.1</v>
      </c>
      <c r="J43" s="186" t="n">
        <v>167945.9</v>
      </c>
      <c r="K43" s="186" t="n">
        <f aca="false">B43+C43+F43+I43+J43</f>
        <v>1183225.4</v>
      </c>
      <c r="L43" s="364" t="s">
        <v>216</v>
      </c>
      <c r="N43" s="401"/>
    </row>
    <row r="44" customFormat="false" ht="11.45" hidden="false" customHeight="true" outlineLevel="0" collapsed="false">
      <c r="A44" s="215" t="s">
        <v>217</v>
      </c>
      <c r="B44" s="190" t="n">
        <v>147657</v>
      </c>
      <c r="C44" s="190" t="n">
        <v>0</v>
      </c>
      <c r="D44" s="190" t="n">
        <v>11396.1</v>
      </c>
      <c r="E44" s="190" t="n">
        <v>43199.9</v>
      </c>
      <c r="F44" s="190" t="n">
        <f aca="false">D44+E44</f>
        <v>54596</v>
      </c>
      <c r="G44" s="190" t="n">
        <v>14452.2</v>
      </c>
      <c r="H44" s="190" t="n">
        <v>813328.1</v>
      </c>
      <c r="I44" s="190" t="n">
        <f aca="false">G44+H44</f>
        <v>827780.3</v>
      </c>
      <c r="J44" s="192" t="n">
        <v>169429.9</v>
      </c>
      <c r="K44" s="192" t="n">
        <f aca="false">B44+C44+F44+I44+J44</f>
        <v>1199463.2</v>
      </c>
      <c r="L44" s="365" t="s">
        <v>217</v>
      </c>
      <c r="N44" s="401"/>
    </row>
    <row r="45" customFormat="false" ht="11.45" hidden="false" customHeight="true" outlineLevel="0" collapsed="false">
      <c r="A45" s="207" t="s">
        <v>218</v>
      </c>
      <c r="B45" s="196" t="n">
        <v>153436.3</v>
      </c>
      <c r="C45" s="196" t="n">
        <v>0</v>
      </c>
      <c r="D45" s="196" t="n">
        <v>11456.3</v>
      </c>
      <c r="E45" s="196" t="n">
        <v>43980.3</v>
      </c>
      <c r="F45" s="196" t="n">
        <f aca="false">D45+E45</f>
        <v>55436.6</v>
      </c>
      <c r="G45" s="196" t="n">
        <v>15491</v>
      </c>
      <c r="H45" s="196" t="n">
        <v>820353.4</v>
      </c>
      <c r="I45" s="196" t="n">
        <f aca="false">G45+H45</f>
        <v>835844.4</v>
      </c>
      <c r="J45" s="186" t="n">
        <v>171485.2</v>
      </c>
      <c r="K45" s="186" t="n">
        <f aca="false">B45+C45+F45+I45+J45</f>
        <v>1216202.5</v>
      </c>
      <c r="L45" s="364" t="s">
        <v>218</v>
      </c>
      <c r="N45" s="401"/>
    </row>
    <row r="46" customFormat="false" ht="11.45" hidden="false" customHeight="true" outlineLevel="0" collapsed="false">
      <c r="A46" s="215" t="s">
        <v>219</v>
      </c>
      <c r="B46" s="190" t="n">
        <v>156860.8</v>
      </c>
      <c r="C46" s="190" t="n">
        <v>0</v>
      </c>
      <c r="D46" s="190" t="n">
        <v>11427.9</v>
      </c>
      <c r="E46" s="190" t="n">
        <v>43133.6</v>
      </c>
      <c r="F46" s="190" t="n">
        <f aca="false">D46+E46</f>
        <v>54561.5</v>
      </c>
      <c r="G46" s="190" t="n">
        <v>19155.9</v>
      </c>
      <c r="H46" s="190" t="n">
        <v>835892.1</v>
      </c>
      <c r="I46" s="190" t="n">
        <f aca="false">G46+H46</f>
        <v>855048</v>
      </c>
      <c r="J46" s="192" t="n">
        <v>174127.8</v>
      </c>
      <c r="K46" s="192" t="n">
        <f aca="false">B46+C46+F46+I46+J46</f>
        <v>1240598.1</v>
      </c>
      <c r="L46" s="365" t="s">
        <v>219</v>
      </c>
      <c r="N46" s="401"/>
    </row>
    <row r="47" customFormat="false" ht="11.45" hidden="false" customHeight="true" outlineLevel="0" collapsed="false">
      <c r="A47" s="207" t="s">
        <v>220</v>
      </c>
      <c r="B47" s="196" t="n">
        <v>163255.1</v>
      </c>
      <c r="C47" s="196" t="n">
        <v>0</v>
      </c>
      <c r="D47" s="196" t="n">
        <v>11367.2</v>
      </c>
      <c r="E47" s="196" t="n">
        <v>43109.7</v>
      </c>
      <c r="F47" s="196" t="n">
        <f aca="false">D47+E47</f>
        <v>54476.9</v>
      </c>
      <c r="G47" s="196" t="n">
        <v>18376.7</v>
      </c>
      <c r="H47" s="196" t="n">
        <v>834488.1</v>
      </c>
      <c r="I47" s="196" t="n">
        <f aca="false">G47+H47</f>
        <v>852864.8</v>
      </c>
      <c r="J47" s="186" t="n">
        <v>174875.2</v>
      </c>
      <c r="K47" s="186" t="n">
        <f aca="false">B47+C47+F47+I47+J47</f>
        <v>1245472</v>
      </c>
      <c r="L47" s="364" t="s">
        <v>220</v>
      </c>
      <c r="N47" s="401"/>
    </row>
    <row r="48" customFormat="false" ht="11.45" hidden="false" customHeight="true" outlineLevel="0" collapsed="false">
      <c r="A48" s="215" t="s">
        <v>221</v>
      </c>
      <c r="B48" s="190" t="n">
        <v>162241.6</v>
      </c>
      <c r="C48" s="190" t="n">
        <v>0</v>
      </c>
      <c r="D48" s="190" t="n">
        <v>11366.1</v>
      </c>
      <c r="E48" s="190" t="n">
        <v>42643.7</v>
      </c>
      <c r="F48" s="190" t="n">
        <f aca="false">D48+E48</f>
        <v>54009.8</v>
      </c>
      <c r="G48" s="190" t="n">
        <v>18664.9</v>
      </c>
      <c r="H48" s="190" t="n">
        <v>839780.5</v>
      </c>
      <c r="I48" s="190" t="n">
        <f aca="false">G48+H48</f>
        <v>858445.4</v>
      </c>
      <c r="J48" s="192" t="n">
        <v>176477.8</v>
      </c>
      <c r="K48" s="192" t="n">
        <f aca="false">B48+C48+F48+I48+J48</f>
        <v>1251174.6</v>
      </c>
      <c r="L48" s="365" t="s">
        <v>221</v>
      </c>
      <c r="N48" s="401"/>
    </row>
    <row r="49" customFormat="false" ht="11.45" hidden="false" customHeight="true" outlineLevel="0" collapsed="false">
      <c r="A49" s="207" t="s">
        <v>222</v>
      </c>
      <c r="B49" s="196" t="n">
        <v>133765.1</v>
      </c>
      <c r="C49" s="196" t="n">
        <v>0</v>
      </c>
      <c r="D49" s="196" t="n">
        <v>11341.8</v>
      </c>
      <c r="E49" s="196" t="n">
        <v>42379.6</v>
      </c>
      <c r="F49" s="196" t="n">
        <f aca="false">D49+E49</f>
        <v>53721.4</v>
      </c>
      <c r="G49" s="196" t="n">
        <v>18799.5</v>
      </c>
      <c r="H49" s="196" t="n">
        <v>848392.4</v>
      </c>
      <c r="I49" s="196" t="n">
        <f aca="false">G49+H49</f>
        <v>867191.9</v>
      </c>
      <c r="J49" s="186" t="n">
        <v>175807.5</v>
      </c>
      <c r="K49" s="186" t="n">
        <f aca="false">B49+C49+F49+I49+J49</f>
        <v>1230485.9</v>
      </c>
      <c r="L49" s="364" t="s">
        <v>222</v>
      </c>
      <c r="N49" s="401"/>
    </row>
    <row r="50" customFormat="false" ht="11.45" hidden="false" customHeight="true" outlineLevel="0" collapsed="false">
      <c r="A50" s="215" t="s">
        <v>223</v>
      </c>
      <c r="B50" s="190" t="n">
        <v>168382</v>
      </c>
      <c r="C50" s="190" t="n">
        <v>0</v>
      </c>
      <c r="D50" s="190" t="n">
        <v>11362.1</v>
      </c>
      <c r="E50" s="190" t="n">
        <v>43322</v>
      </c>
      <c r="F50" s="190" t="n">
        <f aca="false">D50+E50</f>
        <v>54684.1</v>
      </c>
      <c r="G50" s="190" t="n">
        <v>18557.1</v>
      </c>
      <c r="H50" s="190" t="n">
        <v>855928.5</v>
      </c>
      <c r="I50" s="190" t="n">
        <f aca="false">G50+H50</f>
        <v>874485.6</v>
      </c>
      <c r="J50" s="192" t="n">
        <v>175920.1</v>
      </c>
      <c r="K50" s="192" t="n">
        <f aca="false">B50+C50+F50+I50+J50</f>
        <v>1273471.8</v>
      </c>
      <c r="L50" s="365" t="s">
        <v>223</v>
      </c>
      <c r="N50" s="401"/>
    </row>
    <row r="51" customFormat="false" ht="11.45" hidden="false" customHeight="true" outlineLevel="0" collapsed="false">
      <c r="A51" s="207" t="s">
        <v>224</v>
      </c>
      <c r="B51" s="196" t="n">
        <v>162518</v>
      </c>
      <c r="C51" s="196" t="n">
        <v>0</v>
      </c>
      <c r="D51" s="196" t="n">
        <v>11397</v>
      </c>
      <c r="E51" s="196" t="n">
        <v>43354.2</v>
      </c>
      <c r="F51" s="196" t="n">
        <f aca="false">D51+E51</f>
        <v>54751.2</v>
      </c>
      <c r="G51" s="196" t="n">
        <v>18454.6</v>
      </c>
      <c r="H51" s="196" t="n">
        <v>869573.3</v>
      </c>
      <c r="I51" s="196" t="n">
        <f aca="false">G51+H51</f>
        <v>888027.9</v>
      </c>
      <c r="J51" s="186" t="n">
        <v>176630.2</v>
      </c>
      <c r="K51" s="186" t="n">
        <f aca="false">B51+C51+F51+I51+J51</f>
        <v>1281927.3</v>
      </c>
      <c r="L51" s="364" t="s">
        <v>224</v>
      </c>
      <c r="N51" s="401"/>
    </row>
    <row r="52" customFormat="false" ht="11.45" hidden="false" customHeight="true" outlineLevel="0" collapsed="false">
      <c r="A52" s="369" t="s">
        <v>225</v>
      </c>
      <c r="B52" s="402" t="n">
        <v>176148.5</v>
      </c>
      <c r="C52" s="402" t="n">
        <v>0</v>
      </c>
      <c r="D52" s="402" t="n">
        <v>11420.7</v>
      </c>
      <c r="E52" s="402" t="n">
        <v>43383.4</v>
      </c>
      <c r="F52" s="402" t="n">
        <f aca="false">D52+E52</f>
        <v>54804.1</v>
      </c>
      <c r="G52" s="402" t="n">
        <v>17794.4</v>
      </c>
      <c r="H52" s="402" t="n">
        <v>875826.1</v>
      </c>
      <c r="I52" s="402" t="n">
        <f aca="false">G52+H52</f>
        <v>893620.5</v>
      </c>
      <c r="J52" s="310" t="n">
        <v>178061.5</v>
      </c>
      <c r="K52" s="310" t="n">
        <f aca="false">B52+C52+F52+I52+J52</f>
        <v>1302634.6</v>
      </c>
      <c r="L52" s="403" t="s">
        <v>225</v>
      </c>
      <c r="N52" s="401"/>
    </row>
    <row r="53" s="408" customFormat="true" ht="12.75" hidden="false" customHeight="true" outlineLevel="0" collapsed="false">
      <c r="A53" s="404" t="s">
        <v>345</v>
      </c>
      <c r="B53" s="405" t="s">
        <v>346</v>
      </c>
      <c r="C53" s="405"/>
      <c r="D53" s="405"/>
      <c r="E53" s="405"/>
      <c r="F53" s="405"/>
      <c r="G53" s="406" t="s">
        <v>326</v>
      </c>
      <c r="H53" s="407" t="s">
        <v>327</v>
      </c>
      <c r="I53" s="407"/>
      <c r="J53" s="407"/>
      <c r="K53" s="407"/>
      <c r="L53" s="407"/>
    </row>
    <row r="54" customFormat="false" ht="12.75" hidden="false" customHeight="false" outlineLevel="0" collapsed="false">
      <c r="A54" s="400"/>
      <c r="B54" s="405" t="s">
        <v>347</v>
      </c>
      <c r="C54" s="405"/>
      <c r="D54" s="405"/>
      <c r="E54" s="405"/>
      <c r="F54" s="405"/>
      <c r="J54" s="400"/>
      <c r="K54" s="409"/>
      <c r="L54" s="400"/>
    </row>
    <row r="55" customFormat="false" ht="12.75" hidden="false" customHeight="false" outlineLevel="0" collapsed="false">
      <c r="A55" s="408"/>
      <c r="B55" s="408"/>
      <c r="C55" s="408"/>
      <c r="D55" s="408"/>
      <c r="E55" s="408"/>
      <c r="F55" s="408"/>
      <c r="G55" s="408"/>
      <c r="H55" s="408"/>
      <c r="I55" s="408"/>
      <c r="J55" s="408"/>
      <c r="K55" s="408"/>
      <c r="M55" s="401"/>
    </row>
    <row r="56" customFormat="false" ht="12.75" hidden="false" customHeight="false" outlineLevel="0" collapsed="false">
      <c r="C56" s="401"/>
      <c r="J56" s="401"/>
      <c r="K56" s="401"/>
      <c r="M56" s="401"/>
      <c r="N56" s="401"/>
    </row>
    <row r="57" customFormat="false" ht="12.75" hidden="false" customHeight="false" outlineLevel="0" collapsed="false">
      <c r="C57" s="401"/>
      <c r="K57" s="401"/>
      <c r="L57" s="401"/>
      <c r="N57" s="401"/>
    </row>
    <row r="58" customFormat="false" ht="12.75" hidden="false" customHeight="false" outlineLevel="0" collapsed="false">
      <c r="C58" s="401"/>
      <c r="N58" s="401"/>
    </row>
    <row r="59" customFormat="false" ht="12.75" hidden="false" customHeight="false" outlineLevel="0" collapsed="false">
      <c r="C59" s="401"/>
      <c r="N59" s="401"/>
      <c r="O59" s="401"/>
    </row>
    <row r="60" customFormat="false" ht="12.75" hidden="false" customHeight="false" outlineLevel="0" collapsed="false">
      <c r="C60" s="401"/>
      <c r="N60" s="401"/>
      <c r="O60" s="401"/>
    </row>
    <row r="61" customFormat="false" ht="12.75" hidden="false" customHeight="false" outlineLevel="0" collapsed="false">
      <c r="C61" s="401"/>
      <c r="N61" s="401"/>
    </row>
    <row r="62" customFormat="false" ht="12.75" hidden="false" customHeight="false" outlineLevel="0" collapsed="false">
      <c r="D62" s="401"/>
      <c r="E62" s="401"/>
      <c r="F62" s="401"/>
      <c r="G62" s="401"/>
      <c r="H62" s="401"/>
      <c r="I62" s="401"/>
      <c r="J62" s="401"/>
    </row>
    <row r="63" customFormat="false" ht="12.75" hidden="false" customHeight="false" outlineLevel="0" collapsed="false">
      <c r="D63" s="401"/>
      <c r="E63" s="401"/>
      <c r="F63" s="401"/>
      <c r="G63" s="401"/>
      <c r="H63" s="401"/>
      <c r="I63" s="401"/>
      <c r="J63" s="401"/>
    </row>
    <row r="64" customFormat="false" ht="12.75" hidden="false" customHeight="false" outlineLevel="0" collapsed="false">
      <c r="D64" s="401"/>
      <c r="E64" s="401"/>
      <c r="F64" s="401"/>
      <c r="G64" s="401"/>
      <c r="H64" s="401"/>
      <c r="I64" s="401"/>
      <c r="J64" s="401"/>
    </row>
    <row r="65" customFormat="false" ht="12.75" hidden="false" customHeight="false" outlineLevel="0" collapsed="false">
      <c r="D65" s="401"/>
      <c r="E65" s="401"/>
      <c r="F65" s="401"/>
      <c r="G65" s="401"/>
      <c r="H65" s="401"/>
      <c r="I65" s="401"/>
      <c r="J65" s="401"/>
    </row>
    <row r="66" customFormat="false" ht="12.75" hidden="false" customHeight="false" outlineLevel="0" collapsed="false">
      <c r="D66" s="401"/>
      <c r="E66" s="401"/>
      <c r="F66" s="401"/>
      <c r="G66" s="401"/>
      <c r="H66" s="401"/>
      <c r="I66" s="401"/>
      <c r="J66" s="401"/>
    </row>
    <row r="67" customFormat="false" ht="12.75" hidden="false" customHeight="false" outlineLevel="0" collapsed="false">
      <c r="D67" s="401"/>
      <c r="E67" s="401"/>
      <c r="F67" s="401"/>
      <c r="G67" s="401"/>
      <c r="H67" s="401"/>
      <c r="I67" s="401"/>
    </row>
    <row r="68" customFormat="false" ht="12.75" hidden="false" customHeight="false" outlineLevel="0" collapsed="false">
      <c r="D68" s="401"/>
      <c r="E68" s="401"/>
      <c r="F68" s="401"/>
      <c r="G68" s="401"/>
      <c r="H68" s="401"/>
      <c r="I68" s="401"/>
    </row>
  </sheetData>
  <mergeCells count="15">
    <mergeCell ref="D1:F1"/>
    <mergeCell ref="G1:I1"/>
    <mergeCell ref="K1:L1"/>
    <mergeCell ref="K2:L2"/>
    <mergeCell ref="A3:A5"/>
    <mergeCell ref="B3:B4"/>
    <mergeCell ref="C3:C4"/>
    <mergeCell ref="D3:F3"/>
    <mergeCell ref="G3:I3"/>
    <mergeCell ref="J3:J4"/>
    <mergeCell ref="K3:K4"/>
    <mergeCell ref="L3:L5"/>
    <mergeCell ref="B53:F53"/>
    <mergeCell ref="H53:L53"/>
    <mergeCell ref="B54:F54"/>
  </mergeCells>
  <conditionalFormatting sqref="V12:X26 AI12:AK26 AV12:AX26 BI12:BK26 BV12:BX26 CI12:CK26 CV12:CX26 DI12:DK26 DV12:DX26 EI12:EK26 EV12:EX26 FI12:FK26 FV12:FX26 GI12:GK26 GV12:GX26 HI12:HK26 HV12:HX26 L8:L12 B8:K10 A8:A12 A6:L7">
    <cfRule type="expression" priority="2" aboveAverage="0" equalAverage="0" bottom="0" percent="0" rank="0" text="" dxfId="3">
      <formula>MOD(ROW(),2)=0</formula>
    </cfRule>
  </conditionalFormatting>
  <printOptions headings="false" gridLines="false" gridLinesSet="true" horizontalCentered="false" verticalCentered="false"/>
  <pageMargins left="0.629861111111111" right="0.511805555555555" top="0.511805555555555" bottom="0.5125" header="0.511805555555555" footer="0.183333333333333"/>
  <pageSetup paperSize="1" scale="100" firstPageNumber="14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>&amp;C&amp;"Times New Roman,Regular"&amp;8&amp;P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8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7" topLeftCell="B38" activePane="bottomRight" state="frozen"/>
      <selection pane="topLeft" activeCell="A1" activeCellId="0" sqref="A1"/>
      <selection pane="topRight" activeCell="B1" activeCellId="0" sqref="B1"/>
      <selection pane="bottomLeft" activeCell="A38" activeCellId="0" sqref="A38"/>
      <selection pane="bottomRight" activeCell="L54" activeCellId="0" sqref="L54"/>
    </sheetView>
  </sheetViews>
  <sheetFormatPr defaultColWidth="9.15625" defaultRowHeight="11.25" zeroHeight="false" outlineLevelRow="0" outlineLevelCol="0"/>
  <cols>
    <col collapsed="false" customWidth="true" hidden="false" outlineLevel="0" max="1" min="1" style="107" width="9.71"/>
    <col collapsed="false" customWidth="true" hidden="false" outlineLevel="0" max="2" min="2" style="107" width="11.14"/>
    <col collapsed="false" customWidth="true" hidden="false" outlineLevel="0" max="3" min="3" style="107" width="10.71"/>
    <col collapsed="false" customWidth="true" hidden="false" outlineLevel="0" max="4" min="4" style="107" width="10.58"/>
    <col collapsed="false" customWidth="true" hidden="false" outlineLevel="0" max="5" min="5" style="107" width="10.71"/>
    <col collapsed="false" customWidth="true" hidden="false" outlineLevel="0" max="6" min="6" style="107" width="11.14"/>
    <col collapsed="false" customWidth="true" hidden="false" outlineLevel="0" max="7" min="7" style="107" width="14.15"/>
    <col collapsed="false" customWidth="false" hidden="false" outlineLevel="0" max="1024" min="8" style="107" width="9.14"/>
  </cols>
  <sheetData>
    <row r="1" s="108" customFormat="true" ht="15.75" hidden="false" customHeight="true" outlineLevel="0" collapsed="false">
      <c r="A1" s="112" t="s">
        <v>348</v>
      </c>
      <c r="B1" s="112"/>
      <c r="C1" s="112"/>
      <c r="D1" s="112"/>
      <c r="E1" s="112"/>
      <c r="F1" s="112" t="s">
        <v>349</v>
      </c>
      <c r="G1" s="112"/>
    </row>
    <row r="2" s="100" customFormat="true" ht="12" hidden="false" customHeight="true" outlineLevel="0" collapsed="false">
      <c r="F2" s="120" t="s">
        <v>110</v>
      </c>
      <c r="G2" s="120"/>
    </row>
    <row r="3" s="410" customFormat="true" ht="15" hidden="false" customHeight="true" outlineLevel="0" collapsed="false">
      <c r="A3" s="129" t="s">
        <v>350</v>
      </c>
      <c r="B3" s="131" t="s">
        <v>351</v>
      </c>
      <c r="C3" s="131" t="s">
        <v>352</v>
      </c>
      <c r="D3" s="139" t="s">
        <v>353</v>
      </c>
      <c r="E3" s="139"/>
      <c r="F3" s="139"/>
      <c r="G3" s="131" t="s">
        <v>354</v>
      </c>
    </row>
    <row r="4" s="410" customFormat="true" ht="12.75" hidden="false" customHeight="true" outlineLevel="0" collapsed="false">
      <c r="A4" s="129"/>
      <c r="B4" s="131"/>
      <c r="C4" s="131"/>
      <c r="D4" s="411" t="s">
        <v>355</v>
      </c>
      <c r="E4" s="411"/>
      <c r="F4" s="138" t="s">
        <v>356</v>
      </c>
      <c r="G4" s="131"/>
    </row>
    <row r="5" s="270" customFormat="true" ht="19.5" hidden="false" customHeight="true" outlineLevel="0" collapsed="false">
      <c r="A5" s="129"/>
      <c r="B5" s="131"/>
      <c r="C5" s="131"/>
      <c r="D5" s="131" t="s">
        <v>357</v>
      </c>
      <c r="E5" s="131" t="s">
        <v>358</v>
      </c>
      <c r="F5" s="138"/>
      <c r="G5" s="131"/>
    </row>
    <row r="6" s="270" customFormat="true" ht="14.25" hidden="false" customHeight="true" outlineLevel="0" collapsed="false">
      <c r="A6" s="129"/>
      <c r="B6" s="131"/>
      <c r="C6" s="131"/>
      <c r="D6" s="131"/>
      <c r="E6" s="131"/>
      <c r="F6" s="138"/>
      <c r="G6" s="131"/>
    </row>
    <row r="7" s="413" customFormat="true" ht="10.5" hidden="false" customHeight="true" outlineLevel="0" collapsed="false">
      <c r="A7" s="129"/>
      <c r="B7" s="412" t="n">
        <v>1</v>
      </c>
      <c r="C7" s="412" t="n">
        <v>2</v>
      </c>
      <c r="D7" s="412" t="n">
        <v>3</v>
      </c>
      <c r="E7" s="412" t="n">
        <v>4</v>
      </c>
      <c r="F7" s="412" t="n">
        <v>5</v>
      </c>
      <c r="G7" s="412" t="n">
        <v>6</v>
      </c>
    </row>
    <row r="8" customFormat="false" ht="12.6" hidden="false" customHeight="true" outlineLevel="0" collapsed="false">
      <c r="A8" s="221" t="s">
        <v>203</v>
      </c>
      <c r="B8" s="283" t="n">
        <v>46157.1</v>
      </c>
      <c r="C8" s="283" t="n">
        <v>4308.3</v>
      </c>
      <c r="D8" s="283" t="n">
        <v>23468</v>
      </c>
      <c r="E8" s="283" t="n">
        <v>6367.5</v>
      </c>
      <c r="F8" s="283" t="n">
        <v>209.4</v>
      </c>
      <c r="G8" s="283" t="n">
        <f aca="false">B8+C8+D8+F8</f>
        <v>74142.8</v>
      </c>
      <c r="H8" s="257"/>
      <c r="I8" s="257"/>
    </row>
    <row r="9" customFormat="false" ht="12.6" hidden="false" customHeight="true" outlineLevel="0" collapsed="false">
      <c r="A9" s="215" t="s">
        <v>205</v>
      </c>
      <c r="B9" s="192" t="n">
        <v>54795.1</v>
      </c>
      <c r="C9" s="192" t="n">
        <v>5731.8</v>
      </c>
      <c r="D9" s="192" t="n">
        <v>29007.7</v>
      </c>
      <c r="E9" s="192" t="n">
        <v>7766.5</v>
      </c>
      <c r="F9" s="192" t="n">
        <v>199.8</v>
      </c>
      <c r="G9" s="192" t="n">
        <v>89734.4</v>
      </c>
      <c r="H9" s="257"/>
      <c r="I9" s="257"/>
    </row>
    <row r="10" s="222" customFormat="true" ht="12.6" hidden="false" customHeight="true" outlineLevel="0" collapsed="false">
      <c r="A10" s="207" t="s">
        <v>282</v>
      </c>
      <c r="B10" s="186" t="n">
        <v>58417.1</v>
      </c>
      <c r="C10" s="186" t="n">
        <v>6479.4</v>
      </c>
      <c r="D10" s="186" t="n">
        <v>32662.3</v>
      </c>
      <c r="E10" s="186" t="n">
        <v>10289.9</v>
      </c>
      <c r="F10" s="186" t="n">
        <v>243.9</v>
      </c>
      <c r="G10" s="186" t="n">
        <v>97802.7</v>
      </c>
      <c r="H10" s="207"/>
      <c r="I10" s="257"/>
    </row>
    <row r="11" s="222" customFormat="true" ht="10.5" hidden="false" customHeight="true" outlineLevel="0" collapsed="false">
      <c r="A11" s="189" t="s">
        <v>207</v>
      </c>
      <c r="B11" s="192" t="n">
        <v>67552.9</v>
      </c>
      <c r="C11" s="192" t="n">
        <v>7819.4</v>
      </c>
      <c r="D11" s="192" t="n">
        <v>36803.4</v>
      </c>
      <c r="E11" s="192" t="n">
        <v>8422.6</v>
      </c>
      <c r="F11" s="192" t="n">
        <v>313.7</v>
      </c>
      <c r="G11" s="192" t="n">
        <v>112489.4</v>
      </c>
      <c r="H11" s="207"/>
      <c r="I11" s="257"/>
    </row>
    <row r="12" s="416" customFormat="true" ht="11.25" hidden="false" customHeight="true" outlineLevel="0" collapsed="false">
      <c r="A12" s="177" t="s">
        <v>208</v>
      </c>
      <c r="B12" s="186" t="n">
        <v>76908.4</v>
      </c>
      <c r="C12" s="186" t="n">
        <v>8576.8</v>
      </c>
      <c r="D12" s="186" t="n">
        <v>43997.7</v>
      </c>
      <c r="E12" s="186" t="n">
        <v>7480.2</v>
      </c>
      <c r="F12" s="186" t="n">
        <v>392.4</v>
      </c>
      <c r="G12" s="186" t="n">
        <v>129875.3</v>
      </c>
      <c r="H12" s="414"/>
      <c r="I12" s="415"/>
    </row>
    <row r="13" s="416" customFormat="true" ht="10.5" hidden="false" customHeight="true" outlineLevel="0" collapsed="false">
      <c r="A13" s="167" t="s">
        <v>209</v>
      </c>
      <c r="B13" s="190" t="n">
        <v>87940.8</v>
      </c>
      <c r="C13" s="190" t="n">
        <v>10213.1</v>
      </c>
      <c r="D13" s="190" t="n">
        <v>49838.9</v>
      </c>
      <c r="E13" s="190" t="n">
        <v>7889.3</v>
      </c>
      <c r="F13" s="190" t="n">
        <v>489.7</v>
      </c>
      <c r="G13" s="190" t="n">
        <v>148482.5</v>
      </c>
      <c r="H13" s="414"/>
      <c r="I13" s="178"/>
    </row>
    <row r="14" s="417" customFormat="true" ht="10.5" hidden="false" customHeight="true" outlineLevel="0" collapsed="false">
      <c r="A14" s="185" t="s">
        <v>211</v>
      </c>
      <c r="B14" s="196" t="n">
        <v>122074.5</v>
      </c>
      <c r="C14" s="196" t="n">
        <v>10230.7</v>
      </c>
      <c r="D14" s="196" t="n">
        <v>60299</v>
      </c>
      <c r="E14" s="196" t="n">
        <v>7133.4</v>
      </c>
      <c r="F14" s="196" t="n">
        <v>597.1</v>
      </c>
      <c r="G14" s="196" t="n">
        <v>193201.3</v>
      </c>
      <c r="H14" s="217"/>
      <c r="I14" s="186"/>
    </row>
    <row r="15" s="417" customFormat="true" ht="10.5" hidden="false" customHeight="true" outlineLevel="0" collapsed="false">
      <c r="A15" s="200" t="s">
        <v>212</v>
      </c>
      <c r="B15" s="201" t="n">
        <v>137531.8</v>
      </c>
      <c r="C15" s="201" t="n">
        <v>13733.4</v>
      </c>
      <c r="D15" s="201" t="n">
        <v>72732.7</v>
      </c>
      <c r="E15" s="201" t="n">
        <v>8987.9</v>
      </c>
      <c r="F15" s="201" t="n">
        <v>661.5</v>
      </c>
      <c r="G15" s="201" t="n">
        <v>224659.4</v>
      </c>
      <c r="H15" s="217"/>
      <c r="I15" s="186"/>
    </row>
    <row r="16" s="417" customFormat="true" ht="10.5" hidden="false" customHeight="true" outlineLevel="0" collapsed="false">
      <c r="A16" s="418" t="s">
        <v>213</v>
      </c>
      <c r="B16" s="209" t="n">
        <f aca="false">B28</f>
        <v>140917.5</v>
      </c>
      <c r="C16" s="209" t="n">
        <f aca="false">C28</f>
        <v>14023</v>
      </c>
      <c r="D16" s="209" t="n">
        <f aca="false">D28</f>
        <v>78043.4</v>
      </c>
      <c r="E16" s="209" t="n">
        <f aca="false">E28</f>
        <v>10474.5</v>
      </c>
      <c r="F16" s="209" t="n">
        <f aca="false">F28</f>
        <v>759.1</v>
      </c>
      <c r="G16" s="209" t="n">
        <f aca="false">G28</f>
        <v>233743</v>
      </c>
      <c r="H16" s="217"/>
      <c r="I16" s="186"/>
    </row>
    <row r="17" s="417" customFormat="true" ht="10.5" hidden="false" customHeight="true" outlineLevel="0" collapsed="false">
      <c r="A17" s="287" t="s">
        <v>214</v>
      </c>
      <c r="B17" s="190" t="n">
        <v>126258.4</v>
      </c>
      <c r="C17" s="190" t="n">
        <v>12238.1</v>
      </c>
      <c r="D17" s="190" t="n">
        <v>71127.1</v>
      </c>
      <c r="E17" s="190" t="n">
        <v>7306.6</v>
      </c>
      <c r="F17" s="190" t="n">
        <v>664.2</v>
      </c>
      <c r="G17" s="190" t="n">
        <f aca="false">B17+C17+D17+F17</f>
        <v>210287.8</v>
      </c>
      <c r="H17" s="217"/>
      <c r="I17" s="186"/>
    </row>
    <row r="18" s="417" customFormat="true" ht="11.25" hidden="false" customHeight="true" outlineLevel="0" collapsed="false">
      <c r="A18" s="291" t="s">
        <v>215</v>
      </c>
      <c r="B18" s="196" t="n">
        <v>147823.4</v>
      </c>
      <c r="C18" s="196" t="n">
        <v>11375.9</v>
      </c>
      <c r="D18" s="196" t="n">
        <v>70323.4</v>
      </c>
      <c r="E18" s="196" t="n">
        <v>7226.9</v>
      </c>
      <c r="F18" s="196" t="n">
        <v>672.9</v>
      </c>
      <c r="G18" s="196" t="n">
        <f aca="false">B18+C18+D18+F18</f>
        <v>230195.6</v>
      </c>
      <c r="H18" s="217"/>
      <c r="I18" s="186"/>
    </row>
    <row r="19" s="417" customFormat="true" ht="12.6" hidden="false" customHeight="true" outlineLevel="0" collapsed="false">
      <c r="A19" s="287" t="s">
        <v>216</v>
      </c>
      <c r="B19" s="190" t="n">
        <v>132823.2</v>
      </c>
      <c r="C19" s="190" t="n">
        <v>11307.9</v>
      </c>
      <c r="D19" s="190" t="n">
        <v>70441.7</v>
      </c>
      <c r="E19" s="190" t="n">
        <v>6525</v>
      </c>
      <c r="F19" s="190" t="n">
        <v>687.4</v>
      </c>
      <c r="G19" s="190" t="n">
        <f aca="false">B19+C19+D19+F19</f>
        <v>215260.2</v>
      </c>
      <c r="H19" s="217"/>
      <c r="I19" s="186"/>
    </row>
    <row r="20" s="417" customFormat="true" ht="10.5" hidden="false" customHeight="true" outlineLevel="0" collapsed="false">
      <c r="A20" s="291" t="s">
        <v>217</v>
      </c>
      <c r="B20" s="196" t="n">
        <v>126764.6</v>
      </c>
      <c r="C20" s="196" t="n">
        <v>12310.7</v>
      </c>
      <c r="D20" s="196" t="n">
        <v>70523.1</v>
      </c>
      <c r="E20" s="196" t="n">
        <v>6573.2</v>
      </c>
      <c r="F20" s="196" t="n">
        <v>678.6</v>
      </c>
      <c r="G20" s="196" t="n">
        <f aca="false">B20+C20+D20+F20</f>
        <v>210277</v>
      </c>
      <c r="H20" s="217"/>
      <c r="I20" s="186"/>
    </row>
    <row r="21" s="417" customFormat="true" ht="10.5" hidden="false" customHeight="true" outlineLevel="0" collapsed="false">
      <c r="A21" s="287" t="s">
        <v>218</v>
      </c>
      <c r="B21" s="190" t="n">
        <v>126883.2</v>
      </c>
      <c r="C21" s="190" t="n">
        <v>11357.5</v>
      </c>
      <c r="D21" s="190" t="n">
        <v>70096.5</v>
      </c>
      <c r="E21" s="190" t="n">
        <v>7146.7</v>
      </c>
      <c r="F21" s="190" t="n">
        <v>682.1</v>
      </c>
      <c r="G21" s="190" t="n">
        <f aca="false">B21+C21+D21+F21</f>
        <v>209019.3</v>
      </c>
      <c r="H21" s="217"/>
      <c r="I21" s="186"/>
    </row>
    <row r="22" s="417" customFormat="true" ht="10.5" hidden="false" customHeight="true" outlineLevel="0" collapsed="false">
      <c r="A22" s="291" t="s">
        <v>219</v>
      </c>
      <c r="B22" s="196" t="n">
        <v>129149.2</v>
      </c>
      <c r="C22" s="196" t="n">
        <v>11537.3</v>
      </c>
      <c r="D22" s="196" t="n">
        <v>75626.9</v>
      </c>
      <c r="E22" s="196" t="n">
        <v>7059.3</v>
      </c>
      <c r="F22" s="196" t="n">
        <v>670.4</v>
      </c>
      <c r="G22" s="196" t="n">
        <f aca="false">B22+C22+D22+F22</f>
        <v>216983.8</v>
      </c>
      <c r="H22" s="217"/>
      <c r="I22" s="186"/>
    </row>
    <row r="23" s="417" customFormat="true" ht="11.25" hidden="false" customHeight="true" outlineLevel="0" collapsed="false">
      <c r="A23" s="287" t="s">
        <v>220</v>
      </c>
      <c r="B23" s="190" t="n">
        <v>128248.3</v>
      </c>
      <c r="C23" s="190" t="n">
        <v>12043.1</v>
      </c>
      <c r="D23" s="190" t="n">
        <v>69361.7</v>
      </c>
      <c r="E23" s="190" t="n">
        <v>6541.3</v>
      </c>
      <c r="F23" s="190" t="n">
        <v>667.5</v>
      </c>
      <c r="G23" s="190" t="n">
        <f aca="false">B23+C23+D23+F23</f>
        <v>210320.6</v>
      </c>
      <c r="H23" s="217"/>
      <c r="I23" s="186"/>
    </row>
    <row r="24" s="417" customFormat="true" ht="11.25" hidden="false" customHeight="true" outlineLevel="0" collapsed="false">
      <c r="A24" s="291" t="s">
        <v>221</v>
      </c>
      <c r="B24" s="196" t="n">
        <v>128338.1</v>
      </c>
      <c r="C24" s="196" t="n">
        <v>12783.3</v>
      </c>
      <c r="D24" s="196" t="n">
        <v>68679.6</v>
      </c>
      <c r="E24" s="196" t="n">
        <v>7975.9</v>
      </c>
      <c r="F24" s="196" t="n">
        <v>748.4</v>
      </c>
      <c r="G24" s="196" t="n">
        <f aca="false">B24+C24+D24+F24</f>
        <v>210549.4</v>
      </c>
      <c r="H24" s="217"/>
      <c r="I24" s="186"/>
    </row>
    <row r="25" s="417" customFormat="true" ht="9" hidden="false" customHeight="true" outlineLevel="0" collapsed="false">
      <c r="A25" s="287" t="s">
        <v>222</v>
      </c>
      <c r="B25" s="190" t="n">
        <v>128133.1</v>
      </c>
      <c r="C25" s="190" t="n">
        <v>12042.8</v>
      </c>
      <c r="D25" s="190" t="n">
        <v>71374.1</v>
      </c>
      <c r="E25" s="190" t="n">
        <v>8152</v>
      </c>
      <c r="F25" s="190" t="n">
        <v>700.4</v>
      </c>
      <c r="G25" s="190" t="n">
        <f aca="false">B25+C25+D25+F25</f>
        <v>212250.4</v>
      </c>
      <c r="H25" s="217"/>
      <c r="I25" s="186"/>
    </row>
    <row r="26" s="417" customFormat="true" ht="11.25" hidden="false" customHeight="true" outlineLevel="0" collapsed="false">
      <c r="A26" s="291" t="s">
        <v>223</v>
      </c>
      <c r="B26" s="196" t="n">
        <v>128346.7</v>
      </c>
      <c r="C26" s="196" t="n">
        <v>12550.3</v>
      </c>
      <c r="D26" s="196" t="n">
        <v>70643.7</v>
      </c>
      <c r="E26" s="196" t="n">
        <v>7619</v>
      </c>
      <c r="F26" s="196" t="n">
        <v>840.3</v>
      </c>
      <c r="G26" s="196" t="n">
        <f aca="false">B26+C26+D26+F26</f>
        <v>212381</v>
      </c>
      <c r="H26" s="217"/>
      <c r="I26" s="186"/>
    </row>
    <row r="27" s="417" customFormat="true" ht="10.5" hidden="false" customHeight="true" outlineLevel="0" collapsed="false">
      <c r="A27" s="287" t="s">
        <v>224</v>
      </c>
      <c r="B27" s="190" t="n">
        <v>133443.9</v>
      </c>
      <c r="C27" s="190" t="n">
        <v>13183.7</v>
      </c>
      <c r="D27" s="190" t="n">
        <v>63761.6</v>
      </c>
      <c r="E27" s="190" t="n">
        <v>9088.8</v>
      </c>
      <c r="F27" s="190" t="n">
        <v>652.4</v>
      </c>
      <c r="G27" s="190" t="n">
        <f aca="false">B27+C27+D27+F27</f>
        <v>211041.6</v>
      </c>
      <c r="H27" s="217"/>
      <c r="I27" s="186"/>
    </row>
    <row r="28" s="417" customFormat="true" ht="12.6" hidden="false" customHeight="true" outlineLevel="0" collapsed="false">
      <c r="A28" s="291" t="s">
        <v>225</v>
      </c>
      <c r="B28" s="196" t="n">
        <v>140917.5</v>
      </c>
      <c r="C28" s="196" t="n">
        <v>14023</v>
      </c>
      <c r="D28" s="196" t="n">
        <v>78043.4</v>
      </c>
      <c r="E28" s="196" t="n">
        <v>10474.5</v>
      </c>
      <c r="F28" s="196" t="n">
        <v>759.1</v>
      </c>
      <c r="G28" s="196" t="n">
        <f aca="false">B28+C28+D28+F28</f>
        <v>233743</v>
      </c>
      <c r="H28" s="217"/>
      <c r="I28" s="186"/>
    </row>
    <row r="29" s="207" customFormat="true" ht="12.6" hidden="false" customHeight="true" outlineLevel="0" collapsed="false">
      <c r="A29" s="298" t="s">
        <v>226</v>
      </c>
      <c r="B29" s="201" t="n">
        <f aca="false">B41</f>
        <v>154287</v>
      </c>
      <c r="C29" s="201" t="n">
        <f aca="false">C41</f>
        <v>16100.1</v>
      </c>
      <c r="D29" s="201" t="n">
        <f aca="false">D41</f>
        <v>75012.1</v>
      </c>
      <c r="E29" s="201" t="n">
        <f aca="false">E41</f>
        <v>11315.3</v>
      </c>
      <c r="F29" s="201" t="n">
        <f aca="false">F41</f>
        <v>788.5</v>
      </c>
      <c r="G29" s="201" t="n">
        <f aca="false">G41</f>
        <v>246187.7</v>
      </c>
    </row>
    <row r="30" s="221" customFormat="true" ht="11.25" hidden="false" customHeight="true" outlineLevel="0" collapsed="false">
      <c r="A30" s="291" t="s">
        <v>214</v>
      </c>
      <c r="B30" s="196" t="n">
        <v>137702.3</v>
      </c>
      <c r="C30" s="196" t="n">
        <v>13317.5</v>
      </c>
      <c r="D30" s="196" t="n">
        <v>69416.6</v>
      </c>
      <c r="E30" s="196" t="n">
        <v>9843.1</v>
      </c>
      <c r="F30" s="196" t="n">
        <v>831.5</v>
      </c>
      <c r="G30" s="196" t="n">
        <f aca="false">B30+C30+D30+F30</f>
        <v>221267.9</v>
      </c>
    </row>
    <row r="31" s="221" customFormat="true" ht="10.5" hidden="false" customHeight="true" outlineLevel="0" collapsed="false">
      <c r="A31" s="287" t="s">
        <v>215</v>
      </c>
      <c r="B31" s="190" t="n">
        <v>153394.6</v>
      </c>
      <c r="C31" s="190" t="n">
        <v>14192.1</v>
      </c>
      <c r="D31" s="190" t="n">
        <v>66040.5</v>
      </c>
      <c r="E31" s="190" t="n">
        <v>11830.2</v>
      </c>
      <c r="F31" s="190" t="n">
        <v>743.6</v>
      </c>
      <c r="G31" s="190" t="n">
        <f aca="false">B31+C31+D31+F31</f>
        <v>234370.8</v>
      </c>
    </row>
    <row r="32" s="221" customFormat="true" ht="12.6" hidden="false" customHeight="true" outlineLevel="0" collapsed="false">
      <c r="A32" s="291" t="s">
        <v>216</v>
      </c>
      <c r="B32" s="196" t="n">
        <v>141018.9</v>
      </c>
      <c r="C32" s="196" t="n">
        <v>14502.5</v>
      </c>
      <c r="D32" s="196" t="n">
        <v>72210.8</v>
      </c>
      <c r="E32" s="196" t="n">
        <v>9259.9</v>
      </c>
      <c r="F32" s="196" t="n">
        <v>755</v>
      </c>
      <c r="G32" s="196" t="n">
        <f aca="false">B32+C32+D32+F32</f>
        <v>228487.2</v>
      </c>
    </row>
    <row r="33" s="221" customFormat="true" ht="10.5" hidden="false" customHeight="true" outlineLevel="0" collapsed="false">
      <c r="A33" s="287" t="s">
        <v>217</v>
      </c>
      <c r="B33" s="190" t="n">
        <v>139078.1</v>
      </c>
      <c r="C33" s="190" t="n">
        <v>13346.1</v>
      </c>
      <c r="D33" s="190" t="n">
        <v>74979.7</v>
      </c>
      <c r="E33" s="190" t="n">
        <v>7573.2</v>
      </c>
      <c r="F33" s="190" t="n">
        <v>714.3</v>
      </c>
      <c r="G33" s="190" t="n">
        <f aca="false">B33+C33+D33+F33</f>
        <v>228118.2</v>
      </c>
    </row>
    <row r="34" s="221" customFormat="true" ht="12.6" hidden="false" customHeight="true" outlineLevel="0" collapsed="false">
      <c r="A34" s="291" t="s">
        <v>218</v>
      </c>
      <c r="B34" s="196" t="n">
        <v>139109.2</v>
      </c>
      <c r="C34" s="196" t="n">
        <v>13162.8</v>
      </c>
      <c r="D34" s="196" t="n">
        <v>72352</v>
      </c>
      <c r="E34" s="196" t="n">
        <v>7863.8</v>
      </c>
      <c r="F34" s="196" t="n">
        <v>703.6</v>
      </c>
      <c r="G34" s="196" t="n">
        <f aca="false">B34+C34+D34+F34</f>
        <v>225327.6</v>
      </c>
    </row>
    <row r="35" s="221" customFormat="true" ht="12.6" hidden="false" customHeight="true" outlineLevel="0" collapsed="false">
      <c r="A35" s="287" t="s">
        <v>219</v>
      </c>
      <c r="B35" s="190" t="n">
        <v>144679.1</v>
      </c>
      <c r="C35" s="190" t="n">
        <v>13681.9</v>
      </c>
      <c r="D35" s="190" t="n">
        <v>75596.3</v>
      </c>
      <c r="E35" s="190" t="n">
        <v>9413.4</v>
      </c>
      <c r="F35" s="190" t="n">
        <v>700.6</v>
      </c>
      <c r="G35" s="190" t="n">
        <f aca="false">B35+C35+D35+F35</f>
        <v>234657.9</v>
      </c>
    </row>
    <row r="36" s="221" customFormat="true" ht="12.6" hidden="false" customHeight="true" outlineLevel="0" collapsed="false">
      <c r="A36" s="291" t="s">
        <v>220</v>
      </c>
      <c r="B36" s="196" t="n">
        <v>144681.7</v>
      </c>
      <c r="C36" s="196" t="n">
        <v>12674.1</v>
      </c>
      <c r="D36" s="196" t="n">
        <v>69935.2</v>
      </c>
      <c r="E36" s="196" t="n">
        <v>7923.8</v>
      </c>
      <c r="F36" s="196" t="n">
        <v>736.6</v>
      </c>
      <c r="G36" s="196" t="n">
        <f aca="false">B36+C36+D36+F36</f>
        <v>228027.6</v>
      </c>
    </row>
    <row r="37" s="221" customFormat="true" ht="12.6" hidden="false" customHeight="true" outlineLevel="0" collapsed="false">
      <c r="A37" s="287" t="s">
        <v>221</v>
      </c>
      <c r="B37" s="190" t="n">
        <v>145963</v>
      </c>
      <c r="C37" s="190" t="n">
        <v>12972.6</v>
      </c>
      <c r="D37" s="190" t="n">
        <v>67134</v>
      </c>
      <c r="E37" s="190" t="n">
        <v>9931.4</v>
      </c>
      <c r="F37" s="190" t="n">
        <v>673</v>
      </c>
      <c r="G37" s="190" t="n">
        <f aca="false">B37+C37+D37+F37</f>
        <v>226742.6</v>
      </c>
    </row>
    <row r="38" s="221" customFormat="true" ht="10.5" hidden="false" customHeight="true" outlineLevel="0" collapsed="false">
      <c r="A38" s="291" t="s">
        <v>222</v>
      </c>
      <c r="B38" s="196" t="n">
        <v>144646.5</v>
      </c>
      <c r="C38" s="196" t="n">
        <v>14853.8</v>
      </c>
      <c r="D38" s="196" t="n">
        <v>64863.3</v>
      </c>
      <c r="E38" s="196" t="n">
        <v>12151.1</v>
      </c>
      <c r="F38" s="196" t="n">
        <v>726.7</v>
      </c>
      <c r="G38" s="196" t="n">
        <f aca="false">B38+C38+D38+F38</f>
        <v>225090.3</v>
      </c>
    </row>
    <row r="39" s="221" customFormat="true" ht="10.5" hidden="false" customHeight="true" outlineLevel="0" collapsed="false">
      <c r="A39" s="287" t="s">
        <v>223</v>
      </c>
      <c r="B39" s="190" t="n">
        <v>144759</v>
      </c>
      <c r="C39" s="190" t="n">
        <v>14032</v>
      </c>
      <c r="D39" s="190" t="n">
        <v>67496.6</v>
      </c>
      <c r="E39" s="190" t="n">
        <v>10726.7</v>
      </c>
      <c r="F39" s="190" t="n">
        <v>703.7</v>
      </c>
      <c r="G39" s="190" t="n">
        <f aca="false">B39+C39+D39+F39</f>
        <v>226991.3</v>
      </c>
    </row>
    <row r="40" s="207" customFormat="true" ht="10.5" hidden="false" customHeight="true" outlineLevel="0" collapsed="false">
      <c r="A40" s="291" t="s">
        <v>224</v>
      </c>
      <c r="B40" s="196" t="n">
        <v>164604.3</v>
      </c>
      <c r="C40" s="196" t="n">
        <v>15161.7</v>
      </c>
      <c r="D40" s="196" t="n">
        <v>65190</v>
      </c>
      <c r="E40" s="196" t="n">
        <v>10206.2</v>
      </c>
      <c r="F40" s="196" t="n">
        <v>716.2</v>
      </c>
      <c r="G40" s="196" t="n">
        <f aca="false">B40+C40+D40+F40</f>
        <v>245672.2</v>
      </c>
    </row>
    <row r="41" s="207" customFormat="true" ht="12.6" hidden="false" customHeight="true" outlineLevel="0" collapsed="false">
      <c r="A41" s="287" t="s">
        <v>225</v>
      </c>
      <c r="B41" s="190" t="n">
        <v>154287</v>
      </c>
      <c r="C41" s="190" t="n">
        <v>16100.1</v>
      </c>
      <c r="D41" s="190" t="n">
        <v>75012.1</v>
      </c>
      <c r="E41" s="190" t="n">
        <v>11315.3</v>
      </c>
      <c r="F41" s="190" t="n">
        <v>788.5</v>
      </c>
      <c r="G41" s="190" t="n">
        <f aca="false">B41+C41+D41+F41</f>
        <v>246187.7</v>
      </c>
      <c r="J41" s="184"/>
    </row>
    <row r="42" s="207" customFormat="true" ht="11.25" hidden="false" customHeight="true" outlineLevel="0" collapsed="false">
      <c r="A42" s="223" t="s">
        <v>227</v>
      </c>
      <c r="B42" s="209" t="n">
        <f aca="false">B54</f>
        <v>192114.5</v>
      </c>
      <c r="C42" s="209" t="n">
        <f aca="false">C54</f>
        <v>15979.6</v>
      </c>
      <c r="D42" s="209" t="n">
        <f aca="false">D54</f>
        <v>75768.3</v>
      </c>
      <c r="E42" s="209" t="n">
        <f aca="false">E54</f>
        <v>16308.3</v>
      </c>
      <c r="F42" s="209" t="n">
        <f aca="false">F54</f>
        <v>621</v>
      </c>
      <c r="G42" s="209" t="n">
        <f aca="false">G54</f>
        <v>284483.4</v>
      </c>
    </row>
    <row r="43" s="207" customFormat="true" ht="10.5" hidden="false" customHeight="true" outlineLevel="0" collapsed="false">
      <c r="A43" s="215" t="s">
        <v>214</v>
      </c>
      <c r="B43" s="190" t="n">
        <v>157831.1</v>
      </c>
      <c r="C43" s="190" t="n">
        <v>14597.1</v>
      </c>
      <c r="D43" s="190" t="n">
        <v>70408.7</v>
      </c>
      <c r="E43" s="190" t="n">
        <v>10931.9</v>
      </c>
      <c r="F43" s="190" t="n">
        <v>716.7</v>
      </c>
      <c r="G43" s="190" t="n">
        <f aca="false">B43+C43+D43+F43</f>
        <v>243553.6</v>
      </c>
      <c r="K43" s="419"/>
    </row>
    <row r="44" s="207" customFormat="true" ht="12.6" hidden="false" customHeight="true" outlineLevel="0" collapsed="false">
      <c r="A44" s="207" t="s">
        <v>215</v>
      </c>
      <c r="B44" s="196" t="n">
        <v>165170.6</v>
      </c>
      <c r="C44" s="196" t="n">
        <v>14990.9</v>
      </c>
      <c r="D44" s="196" t="n">
        <v>70511.7</v>
      </c>
      <c r="E44" s="196" t="n">
        <v>12501.9</v>
      </c>
      <c r="F44" s="196" t="n">
        <v>714.8</v>
      </c>
      <c r="G44" s="196" t="n">
        <f aca="false">B44+C44+D44+F44</f>
        <v>251388</v>
      </c>
    </row>
    <row r="45" s="207" customFormat="true" ht="12.6" hidden="false" customHeight="true" outlineLevel="0" collapsed="false">
      <c r="A45" s="215" t="s">
        <v>216</v>
      </c>
      <c r="B45" s="190" t="n">
        <v>157907.7</v>
      </c>
      <c r="C45" s="190" t="n">
        <v>16039.1</v>
      </c>
      <c r="D45" s="190" t="n">
        <v>72508.3</v>
      </c>
      <c r="E45" s="190" t="n">
        <v>10441.3</v>
      </c>
      <c r="F45" s="190" t="n">
        <v>732.9</v>
      </c>
      <c r="G45" s="190" t="n">
        <f aca="false">B45+C45+D45+F45</f>
        <v>247188</v>
      </c>
    </row>
    <row r="46" s="207" customFormat="true" ht="10.5" hidden="false" customHeight="true" outlineLevel="0" collapsed="false">
      <c r="A46" s="207" t="s">
        <v>217</v>
      </c>
      <c r="B46" s="196" t="n">
        <v>154827.7</v>
      </c>
      <c r="C46" s="196" t="n">
        <v>13917.4</v>
      </c>
      <c r="D46" s="196" t="n">
        <v>81567.7</v>
      </c>
      <c r="E46" s="196" t="n">
        <v>10081.5</v>
      </c>
      <c r="F46" s="196" t="n">
        <v>725.1</v>
      </c>
      <c r="G46" s="196" t="n">
        <f aca="false">B46+C46+D46+F46</f>
        <v>251037.9</v>
      </c>
    </row>
    <row r="47" s="207" customFormat="true" ht="10.5" hidden="false" customHeight="true" outlineLevel="0" collapsed="false">
      <c r="A47" s="215" t="s">
        <v>218</v>
      </c>
      <c r="B47" s="190" t="n">
        <v>155253.6</v>
      </c>
      <c r="C47" s="190" t="n">
        <v>13746.7</v>
      </c>
      <c r="D47" s="190" t="n">
        <v>76451.1</v>
      </c>
      <c r="E47" s="190" t="n">
        <v>10123.2</v>
      </c>
      <c r="F47" s="190" t="n">
        <v>735.5</v>
      </c>
      <c r="G47" s="190" t="n">
        <f aca="false">B47+C47+D47+F47</f>
        <v>246186.9</v>
      </c>
    </row>
    <row r="48" s="207" customFormat="true" ht="10.5" hidden="false" customHeight="true" outlineLevel="0" collapsed="false">
      <c r="A48" s="207" t="s">
        <v>219</v>
      </c>
      <c r="B48" s="196" t="n">
        <v>156583</v>
      </c>
      <c r="C48" s="196" t="n">
        <v>15348.5</v>
      </c>
      <c r="D48" s="196" t="n">
        <v>78107.9</v>
      </c>
      <c r="E48" s="196" t="n">
        <v>11637.1</v>
      </c>
      <c r="F48" s="196" t="n">
        <v>872.5</v>
      </c>
      <c r="G48" s="196" t="n">
        <f aca="false">B48+C48+D48+F48</f>
        <v>250911.9</v>
      </c>
    </row>
    <row r="49" s="207" customFormat="true" ht="10.5" hidden="false" customHeight="true" outlineLevel="0" collapsed="false">
      <c r="A49" s="215" t="s">
        <v>220</v>
      </c>
      <c r="B49" s="190" t="n">
        <v>158917.6</v>
      </c>
      <c r="C49" s="190" t="n">
        <v>14434.7</v>
      </c>
      <c r="D49" s="190" t="n">
        <v>75102.6</v>
      </c>
      <c r="E49" s="190" t="n">
        <v>12254.8</v>
      </c>
      <c r="F49" s="190" t="n">
        <v>746.7</v>
      </c>
      <c r="G49" s="190" t="n">
        <f aca="false">B49+C49+D49+F49</f>
        <v>249201.6</v>
      </c>
      <c r="I49" s="419"/>
      <c r="K49" s="419"/>
    </row>
    <row r="50" s="207" customFormat="true" ht="10.5" hidden="false" customHeight="true" outlineLevel="0" collapsed="false">
      <c r="A50" s="207" t="s">
        <v>221</v>
      </c>
      <c r="B50" s="196" t="n">
        <v>161820.5</v>
      </c>
      <c r="C50" s="196" t="n">
        <v>13402.1</v>
      </c>
      <c r="D50" s="196" t="n">
        <v>74986.5</v>
      </c>
      <c r="E50" s="196" t="n">
        <v>12539.4</v>
      </c>
      <c r="F50" s="196" t="n">
        <v>779.5</v>
      </c>
      <c r="G50" s="196" t="n">
        <f aca="false">B50+C50+D50+F50</f>
        <v>250988.6</v>
      </c>
      <c r="I50" s="419"/>
    </row>
    <row r="51" s="207" customFormat="true" ht="10.5" hidden="false" customHeight="true" outlineLevel="0" collapsed="false">
      <c r="A51" s="215" t="s">
        <v>222</v>
      </c>
      <c r="B51" s="190" t="n">
        <v>173347.6</v>
      </c>
      <c r="C51" s="190" t="n">
        <v>18559.2</v>
      </c>
      <c r="D51" s="190" t="n">
        <v>80106.9</v>
      </c>
      <c r="E51" s="190" t="n">
        <v>13401.4</v>
      </c>
      <c r="F51" s="190" t="n">
        <v>903.8</v>
      </c>
      <c r="G51" s="190" t="n">
        <f aca="false">B51+C51+D51+F51</f>
        <v>272917.5</v>
      </c>
      <c r="I51" s="419"/>
    </row>
    <row r="52" s="207" customFormat="true" ht="10.5" hidden="false" customHeight="true" outlineLevel="0" collapsed="false">
      <c r="A52" s="207" t="s">
        <v>223</v>
      </c>
      <c r="B52" s="196" t="n">
        <v>177621.5</v>
      </c>
      <c r="C52" s="196" t="n">
        <v>16085</v>
      </c>
      <c r="D52" s="196" t="n">
        <v>61727.8</v>
      </c>
      <c r="E52" s="196" t="n">
        <v>15165.5</v>
      </c>
      <c r="F52" s="196" t="n">
        <v>897.7</v>
      </c>
      <c r="G52" s="196" t="n">
        <f aca="false">B52+C52+D52+F52</f>
        <v>256332</v>
      </c>
      <c r="I52" s="419"/>
    </row>
    <row r="53" s="207" customFormat="true" ht="10.5" hidden="false" customHeight="true" outlineLevel="0" collapsed="false">
      <c r="A53" s="215" t="s">
        <v>224</v>
      </c>
      <c r="B53" s="190" t="n">
        <v>193750.8</v>
      </c>
      <c r="C53" s="190" t="n">
        <v>17356.8</v>
      </c>
      <c r="D53" s="190" t="n">
        <v>58346.1</v>
      </c>
      <c r="E53" s="190" t="n">
        <v>16579.9</v>
      </c>
      <c r="F53" s="190" t="n">
        <v>784.8</v>
      </c>
      <c r="G53" s="190" t="n">
        <f aca="false">B53+C53+D53+F53</f>
        <v>270238.5</v>
      </c>
      <c r="I53" s="419"/>
    </row>
    <row r="54" s="207" customFormat="true" ht="10.5" hidden="false" customHeight="true" outlineLevel="0" collapsed="false">
      <c r="A54" s="225" t="s">
        <v>225</v>
      </c>
      <c r="B54" s="226" t="n">
        <v>192114.5</v>
      </c>
      <c r="C54" s="226" t="n">
        <v>15979.6</v>
      </c>
      <c r="D54" s="226" t="n">
        <v>75768.3</v>
      </c>
      <c r="E54" s="226" t="n">
        <v>16308.3</v>
      </c>
      <c r="F54" s="226" t="n">
        <v>621</v>
      </c>
      <c r="G54" s="226" t="n">
        <f aca="false">B54+C54+D54+F54</f>
        <v>284483.4</v>
      </c>
      <c r="I54" s="419"/>
    </row>
    <row r="55" s="221" customFormat="true" ht="11.25" hidden="false" customHeight="true" outlineLevel="0" collapsed="false">
      <c r="A55" s="420"/>
      <c r="B55" s="421" t="s">
        <v>359</v>
      </c>
      <c r="C55" s="421"/>
      <c r="D55" s="421"/>
      <c r="E55" s="421"/>
      <c r="F55" s="421"/>
      <c r="G55" s="421"/>
      <c r="I55" s="253"/>
    </row>
    <row r="56" s="221" customFormat="true" ht="11.25" hidden="false" customHeight="true" outlineLevel="0" collapsed="false">
      <c r="A56" s="422" t="s">
        <v>360</v>
      </c>
      <c r="B56" s="373" t="s">
        <v>361</v>
      </c>
      <c r="C56" s="373"/>
      <c r="D56" s="373"/>
      <c r="E56" s="374"/>
      <c r="F56" s="374"/>
      <c r="G56" s="374"/>
      <c r="I56" s="253"/>
    </row>
    <row r="57" customFormat="false" ht="11.25" hidden="false" customHeight="false" outlineLevel="0" collapsed="false">
      <c r="A57" s="221"/>
      <c r="B57" s="421"/>
      <c r="C57" s="421"/>
      <c r="D57" s="421"/>
      <c r="E57" s="421"/>
      <c r="F57" s="421"/>
      <c r="G57" s="421"/>
    </row>
    <row r="58" customFormat="false" ht="11.25" hidden="false" customHeight="false" outlineLevel="0" collapsed="false">
      <c r="A58" s="221"/>
      <c r="B58" s="221"/>
      <c r="C58" s="221"/>
      <c r="D58" s="221"/>
      <c r="E58" s="221"/>
      <c r="F58" s="221"/>
      <c r="G58" s="253"/>
    </row>
    <row r="59" customFormat="false" ht="11.25" hidden="false" customHeight="false" outlineLevel="0" collapsed="false">
      <c r="A59" s="221"/>
      <c r="B59" s="423"/>
      <c r="C59" s="221"/>
      <c r="D59" s="221"/>
      <c r="E59" s="221"/>
      <c r="F59" s="221"/>
      <c r="G59" s="253"/>
    </row>
    <row r="61" customFormat="false" ht="11.25" hidden="false" customHeight="false" outlineLevel="0" collapsed="false">
      <c r="G61" s="257"/>
    </row>
    <row r="62" customFormat="false" ht="11.25" hidden="false" customHeight="false" outlineLevel="0" collapsed="false">
      <c r="G62" s="257"/>
    </row>
    <row r="72" customFormat="false" ht="11.25" hidden="false" customHeight="false" outlineLevel="0" collapsed="false">
      <c r="B72" s="257"/>
      <c r="C72" s="257"/>
      <c r="D72" s="257"/>
      <c r="E72" s="257"/>
      <c r="F72" s="257"/>
      <c r="G72" s="257"/>
    </row>
    <row r="73" customFormat="false" ht="11.25" hidden="false" customHeight="false" outlineLevel="0" collapsed="false">
      <c r="B73" s="257"/>
      <c r="C73" s="257"/>
      <c r="D73" s="257"/>
      <c r="E73" s="257"/>
      <c r="F73" s="257"/>
      <c r="G73" s="257"/>
    </row>
    <row r="74" customFormat="false" ht="11.25" hidden="false" customHeight="false" outlineLevel="0" collapsed="false">
      <c r="B74" s="257"/>
      <c r="C74" s="257"/>
      <c r="D74" s="257"/>
      <c r="E74" s="257"/>
      <c r="F74" s="257"/>
      <c r="G74" s="257"/>
    </row>
    <row r="75" customFormat="false" ht="11.25" hidden="false" customHeight="false" outlineLevel="0" collapsed="false">
      <c r="B75" s="257"/>
      <c r="C75" s="257"/>
      <c r="D75" s="257"/>
      <c r="E75" s="257"/>
      <c r="F75" s="257"/>
      <c r="G75" s="257"/>
    </row>
    <row r="76" customFormat="false" ht="11.25" hidden="false" customHeight="false" outlineLevel="0" collapsed="false">
      <c r="B76" s="257"/>
      <c r="C76" s="257"/>
      <c r="D76" s="257"/>
      <c r="E76" s="257"/>
      <c r="F76" s="257"/>
      <c r="G76" s="257"/>
    </row>
    <row r="77" customFormat="false" ht="11.25" hidden="false" customHeight="false" outlineLevel="0" collapsed="false">
      <c r="B77" s="257"/>
      <c r="C77" s="257"/>
      <c r="D77" s="257"/>
      <c r="E77" s="257"/>
      <c r="F77" s="257"/>
      <c r="G77" s="257"/>
    </row>
    <row r="78" customFormat="false" ht="11.25" hidden="false" customHeight="false" outlineLevel="0" collapsed="false">
      <c r="B78" s="257"/>
      <c r="C78" s="257"/>
      <c r="D78" s="257"/>
      <c r="E78" s="257"/>
      <c r="F78" s="257"/>
      <c r="G78" s="257"/>
    </row>
    <row r="79" customFormat="false" ht="11.25" hidden="false" customHeight="false" outlineLevel="0" collapsed="false">
      <c r="B79" s="257"/>
      <c r="C79" s="257"/>
      <c r="D79" s="257"/>
      <c r="E79" s="257"/>
      <c r="F79" s="257"/>
      <c r="G79" s="257"/>
    </row>
    <row r="80" customFormat="false" ht="11.25" hidden="false" customHeight="false" outlineLevel="0" collapsed="false">
      <c r="B80" s="257"/>
      <c r="C80" s="257"/>
      <c r="D80" s="257"/>
      <c r="E80" s="257"/>
      <c r="F80" s="257"/>
      <c r="G80" s="257"/>
    </row>
    <row r="81" customFormat="false" ht="11.25" hidden="false" customHeight="false" outlineLevel="0" collapsed="false">
      <c r="B81" s="257"/>
      <c r="C81" s="257"/>
      <c r="D81" s="257"/>
      <c r="E81" s="257"/>
      <c r="F81" s="257"/>
      <c r="G81" s="257"/>
    </row>
    <row r="82" customFormat="false" ht="11.25" hidden="false" customHeight="false" outlineLevel="0" collapsed="false">
      <c r="B82" s="257"/>
      <c r="C82" s="257"/>
      <c r="D82" s="257"/>
      <c r="E82" s="257"/>
      <c r="F82" s="257"/>
      <c r="G82" s="257"/>
    </row>
  </sheetData>
  <mergeCells count="13">
    <mergeCell ref="A1:E1"/>
    <mergeCell ref="F1:G1"/>
    <mergeCell ref="F2:G2"/>
    <mergeCell ref="A3:A7"/>
    <mergeCell ref="B3:B6"/>
    <mergeCell ref="C3:C6"/>
    <mergeCell ref="D3:F3"/>
    <mergeCell ref="G3:G6"/>
    <mergeCell ref="D4:E4"/>
    <mergeCell ref="F4:F6"/>
    <mergeCell ref="D5:D6"/>
    <mergeCell ref="E5:E6"/>
    <mergeCell ref="B56:D56"/>
  </mergeCells>
  <printOptions headings="false" gridLines="false" gridLinesSet="true" horizontalCentered="false" verticalCentered="false"/>
  <pageMargins left="0.629861111111111" right="0.511805555555555" top="0.511805555555555" bottom="0.511805555555555" header="0.511805555555555" footer="0.39375"/>
  <pageSetup paperSize="1" scale="100" firstPageNumber="16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>&amp;C&amp;"Times New Roman,Regular"&amp;8&amp;P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8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1" ySplit="7" topLeftCell="B35" activePane="bottomRight" state="frozen"/>
      <selection pane="topLeft" activeCell="A1" activeCellId="0" sqref="A1"/>
      <selection pane="topRight" activeCell="B1" activeCellId="0" sqref="B1"/>
      <selection pane="bottomLeft" activeCell="A35" activeCellId="0" sqref="A35"/>
      <selection pane="bottomRight" activeCell="L12" activeCellId="0" sqref="L12"/>
    </sheetView>
  </sheetViews>
  <sheetFormatPr defaultColWidth="9.15625" defaultRowHeight="11.25" zeroHeight="false" outlineLevelRow="0" outlineLevelCol="0"/>
  <cols>
    <col collapsed="false" customWidth="true" hidden="false" outlineLevel="0" max="1" min="1" style="222" width="10.14"/>
    <col collapsed="false" customWidth="true" hidden="false" outlineLevel="0" max="2" min="2" style="222" width="7.42"/>
    <col collapsed="false" customWidth="true" hidden="false" outlineLevel="0" max="3" min="3" style="222" width="7.15"/>
    <col collapsed="false" customWidth="true" hidden="false" outlineLevel="0" max="4" min="4" style="222" width="7"/>
    <col collapsed="false" customWidth="true" hidden="false" outlineLevel="0" max="5" min="5" style="222" width="6.42"/>
    <col collapsed="false" customWidth="true" hidden="false" outlineLevel="0" max="6" min="6" style="222" width="7.42"/>
    <col collapsed="false" customWidth="true" hidden="false" outlineLevel="0" max="7" min="7" style="222" width="8.29"/>
    <col collapsed="false" customWidth="true" hidden="false" outlineLevel="0" max="8" min="8" style="222" width="7.29"/>
    <col collapsed="false" customWidth="true" hidden="false" outlineLevel="0" max="9" min="9" style="222" width="8"/>
    <col collapsed="false" customWidth="true" hidden="false" outlineLevel="0" max="10" min="10" style="222" width="7.57"/>
    <col collapsed="false" customWidth="false" hidden="false" outlineLevel="0" max="1024" min="11" style="222" width="9.14"/>
  </cols>
  <sheetData>
    <row r="1" s="380" customFormat="true" ht="13.5" hidden="false" customHeight="true" outlineLevel="0" collapsed="false">
      <c r="A1" s="424" t="s">
        <v>362</v>
      </c>
      <c r="B1" s="424"/>
      <c r="C1" s="424"/>
      <c r="D1" s="424"/>
      <c r="E1" s="424"/>
      <c r="F1" s="424"/>
      <c r="G1" s="424"/>
      <c r="H1" s="424"/>
      <c r="I1" s="381" t="s">
        <v>363</v>
      </c>
      <c r="J1" s="381"/>
    </row>
    <row r="2" s="349" customFormat="true" ht="12" hidden="false" customHeight="false" outlineLevel="0" collapsed="false">
      <c r="I2" s="425" t="s">
        <v>110</v>
      </c>
      <c r="J2" s="425"/>
    </row>
    <row r="3" s="410" customFormat="true" ht="15" hidden="false" customHeight="true" outlineLevel="0" collapsed="false">
      <c r="A3" s="385" t="s">
        <v>364</v>
      </c>
      <c r="B3" s="386" t="s">
        <v>365</v>
      </c>
      <c r="C3" s="268" t="s">
        <v>366</v>
      </c>
      <c r="D3" s="268"/>
      <c r="E3" s="268"/>
      <c r="F3" s="268"/>
      <c r="G3" s="268"/>
      <c r="H3" s="131" t="s">
        <v>367</v>
      </c>
      <c r="I3" s="131" t="s">
        <v>368</v>
      </c>
      <c r="J3" s="131" t="s">
        <v>369</v>
      </c>
    </row>
    <row r="4" s="410" customFormat="true" ht="12.75" hidden="false" customHeight="true" outlineLevel="0" collapsed="false">
      <c r="A4" s="385"/>
      <c r="B4" s="386"/>
      <c r="C4" s="131" t="s">
        <v>370</v>
      </c>
      <c r="D4" s="131" t="s">
        <v>371</v>
      </c>
      <c r="E4" s="131" t="s">
        <v>372</v>
      </c>
      <c r="F4" s="131" t="s">
        <v>373</v>
      </c>
      <c r="G4" s="131" t="s">
        <v>374</v>
      </c>
      <c r="H4" s="131"/>
      <c r="I4" s="131"/>
      <c r="J4" s="131"/>
    </row>
    <row r="5" s="270" customFormat="true" ht="19.5" hidden="false" customHeight="true" outlineLevel="0" collapsed="false">
      <c r="A5" s="385"/>
      <c r="B5" s="386"/>
      <c r="C5" s="131"/>
      <c r="D5" s="131"/>
      <c r="E5" s="131"/>
      <c r="F5" s="131"/>
      <c r="G5" s="131"/>
      <c r="H5" s="131"/>
      <c r="I5" s="131"/>
      <c r="J5" s="131"/>
    </row>
    <row r="6" s="270" customFormat="true" ht="14.25" hidden="false" customHeight="true" outlineLevel="0" collapsed="false">
      <c r="A6" s="385"/>
      <c r="B6" s="386"/>
      <c r="C6" s="131"/>
      <c r="D6" s="131"/>
      <c r="E6" s="131"/>
      <c r="F6" s="131"/>
      <c r="G6" s="131"/>
      <c r="H6" s="131"/>
      <c r="I6" s="131"/>
      <c r="J6" s="131"/>
    </row>
    <row r="7" s="428" customFormat="true" ht="10.5" hidden="false" customHeight="true" outlineLevel="0" collapsed="false">
      <c r="A7" s="385"/>
      <c r="B7" s="426" t="n">
        <v>1</v>
      </c>
      <c r="C7" s="427" t="n">
        <v>2</v>
      </c>
      <c r="D7" s="427" t="n">
        <v>3</v>
      </c>
      <c r="E7" s="427" t="n">
        <v>4</v>
      </c>
      <c r="F7" s="427" t="n">
        <v>5</v>
      </c>
      <c r="G7" s="427" t="n">
        <v>6</v>
      </c>
      <c r="H7" s="427" t="n">
        <v>7</v>
      </c>
      <c r="I7" s="427" t="n">
        <v>8</v>
      </c>
      <c r="J7" s="427" t="n">
        <v>9</v>
      </c>
    </row>
    <row r="8" s="429" customFormat="true" ht="11.1" hidden="false" customHeight="true" outlineLevel="0" collapsed="false">
      <c r="A8" s="429" t="s">
        <v>203</v>
      </c>
      <c r="B8" s="196" t="n">
        <v>61181</v>
      </c>
      <c r="C8" s="196" t="n">
        <v>21471.2</v>
      </c>
      <c r="D8" s="184" t="n">
        <v>830.7</v>
      </c>
      <c r="E8" s="184" t="n">
        <v>2588.7</v>
      </c>
      <c r="F8" s="184" t="n">
        <v>6613.9</v>
      </c>
      <c r="G8" s="184" t="n">
        <f aca="false">C8+D8+E8+F8</f>
        <v>31504.5</v>
      </c>
      <c r="H8" s="196" t="n">
        <v>-18542.7</v>
      </c>
      <c r="I8" s="186" t="n">
        <f aca="false">G8+H8</f>
        <v>12961.8</v>
      </c>
      <c r="J8" s="186" t="n">
        <f aca="false">B8+I8</f>
        <v>74142.8</v>
      </c>
      <c r="K8" s="430"/>
    </row>
    <row r="9" s="429" customFormat="true" ht="11.1" hidden="false" customHeight="true" outlineLevel="0" collapsed="false">
      <c r="A9" s="431" t="s">
        <v>205</v>
      </c>
      <c r="B9" s="190" t="n">
        <v>61342.1</v>
      </c>
      <c r="C9" s="190" t="n">
        <v>31710.5</v>
      </c>
      <c r="D9" s="288" t="n">
        <v>776.7</v>
      </c>
      <c r="E9" s="288" t="n">
        <v>3143.7</v>
      </c>
      <c r="F9" s="288" t="n">
        <v>18608.8</v>
      </c>
      <c r="G9" s="288" t="n">
        <f aca="false">C9+D9+E9+F9</f>
        <v>54239.7</v>
      </c>
      <c r="H9" s="190" t="n">
        <v>-25847.4</v>
      </c>
      <c r="I9" s="192" t="n">
        <f aca="false">G9+H9</f>
        <v>28392.3</v>
      </c>
      <c r="J9" s="192" t="n">
        <f aca="false">B9+I9</f>
        <v>89734.4</v>
      </c>
      <c r="K9" s="430"/>
    </row>
    <row r="10" s="429" customFormat="true" ht="11.1" hidden="false" customHeight="true" outlineLevel="0" collapsed="false">
      <c r="A10" s="429" t="s">
        <v>282</v>
      </c>
      <c r="B10" s="196" t="n">
        <v>68930.1</v>
      </c>
      <c r="C10" s="196" t="n">
        <v>37854.9</v>
      </c>
      <c r="D10" s="184" t="n">
        <v>1181.9</v>
      </c>
      <c r="E10" s="184" t="n">
        <v>3598.7</v>
      </c>
      <c r="F10" s="184" t="n">
        <v>22627.4</v>
      </c>
      <c r="G10" s="184" t="n">
        <f aca="false">C10+D10+E10+F10</f>
        <v>65262.9</v>
      </c>
      <c r="H10" s="196" t="n">
        <v>-36390.3</v>
      </c>
      <c r="I10" s="186" t="n">
        <f aca="false">G10+H10</f>
        <v>28872.6</v>
      </c>
      <c r="J10" s="186" t="n">
        <f aca="false">B10+I10</f>
        <v>97802.7</v>
      </c>
      <c r="K10" s="430"/>
    </row>
    <row r="11" s="429" customFormat="true" ht="11.1" hidden="false" customHeight="true" outlineLevel="0" collapsed="false">
      <c r="A11" s="431" t="s">
        <v>207</v>
      </c>
      <c r="B11" s="190" t="n">
        <v>103246</v>
      </c>
      <c r="C11" s="190" t="n">
        <v>27069</v>
      </c>
      <c r="D11" s="288" t="n">
        <v>1354.5</v>
      </c>
      <c r="E11" s="288" t="n">
        <v>4180.2</v>
      </c>
      <c r="F11" s="288" t="n">
        <v>10219</v>
      </c>
      <c r="G11" s="288" t="n">
        <v>42822.7</v>
      </c>
      <c r="H11" s="190" t="n">
        <v>-33579.3</v>
      </c>
      <c r="I11" s="192" t="n">
        <v>9243.39999999999</v>
      </c>
      <c r="J11" s="192" t="n">
        <v>112489.4</v>
      </c>
      <c r="K11" s="430"/>
    </row>
    <row r="12" s="416" customFormat="true" ht="11.1" hidden="false" customHeight="true" outlineLevel="0" collapsed="false">
      <c r="A12" s="177" t="s">
        <v>208</v>
      </c>
      <c r="B12" s="186" t="n">
        <v>147496.6</v>
      </c>
      <c r="C12" s="196" t="n">
        <v>3840.6</v>
      </c>
      <c r="D12" s="196" t="n">
        <v>1202.7</v>
      </c>
      <c r="E12" s="196" t="n">
        <v>4272.7</v>
      </c>
      <c r="F12" s="196" t="n">
        <v>6279.2</v>
      </c>
      <c r="G12" s="196" t="n">
        <v>15595.2</v>
      </c>
      <c r="H12" s="196" t="n">
        <v>-33216.5</v>
      </c>
      <c r="I12" s="196" t="n">
        <v>-17621.3</v>
      </c>
      <c r="J12" s="196" t="n">
        <v>129875.3</v>
      </c>
    </row>
    <row r="13" s="432" customFormat="true" ht="11.1" hidden="false" customHeight="true" outlineLevel="0" collapsed="false">
      <c r="A13" s="167" t="s">
        <v>209</v>
      </c>
      <c r="B13" s="190" t="n">
        <v>177401.3</v>
      </c>
      <c r="C13" s="190" t="n">
        <v>810.5</v>
      </c>
      <c r="D13" s="190" t="n">
        <v>2160.8</v>
      </c>
      <c r="E13" s="190" t="n">
        <v>4645.6</v>
      </c>
      <c r="F13" s="190" t="n">
        <v>5659.2</v>
      </c>
      <c r="G13" s="190" t="n">
        <v>13276.1</v>
      </c>
      <c r="H13" s="190" t="n">
        <v>-42194.9</v>
      </c>
      <c r="I13" s="190" t="n">
        <v>-28918.8</v>
      </c>
      <c r="J13" s="190" t="n">
        <v>148482.5</v>
      </c>
      <c r="L13" s="433"/>
    </row>
    <row r="14" s="417" customFormat="true" ht="11.1" hidden="false" customHeight="true" outlineLevel="0" collapsed="false">
      <c r="A14" s="185" t="s">
        <v>211</v>
      </c>
      <c r="B14" s="196" t="n">
        <v>218904.1</v>
      </c>
      <c r="C14" s="196" t="n">
        <v>13373.7</v>
      </c>
      <c r="D14" s="196" t="n">
        <v>2015.5</v>
      </c>
      <c r="E14" s="196" t="n">
        <v>4966.9</v>
      </c>
      <c r="F14" s="196" t="n">
        <v>6024.4</v>
      </c>
      <c r="G14" s="196" t="n">
        <v>26380.5</v>
      </c>
      <c r="H14" s="196" t="n">
        <v>-52083.3</v>
      </c>
      <c r="I14" s="196" t="n">
        <v>-25702.8</v>
      </c>
      <c r="J14" s="196" t="n">
        <v>193201.3</v>
      </c>
      <c r="L14" s="217"/>
    </row>
    <row r="15" s="417" customFormat="true" ht="11.1" hidden="false" customHeight="true" outlineLevel="0" collapsed="false">
      <c r="A15" s="200" t="s">
        <v>212</v>
      </c>
      <c r="B15" s="201" t="n">
        <v>252027</v>
      </c>
      <c r="C15" s="201" t="n">
        <v>12977.7</v>
      </c>
      <c r="D15" s="201" t="n">
        <v>2157.8</v>
      </c>
      <c r="E15" s="201" t="n">
        <v>4976.6</v>
      </c>
      <c r="F15" s="201" t="n">
        <v>5054.4</v>
      </c>
      <c r="G15" s="201" t="n">
        <v>25166.5</v>
      </c>
      <c r="H15" s="201" t="n">
        <v>-52534.1</v>
      </c>
      <c r="I15" s="201" t="n">
        <v>-27367.6</v>
      </c>
      <c r="J15" s="201" t="n">
        <v>224659.4</v>
      </c>
      <c r="L15" s="217"/>
    </row>
    <row r="16" s="417" customFormat="true" ht="11.1" hidden="false" customHeight="true" outlineLevel="0" collapsed="false">
      <c r="A16" s="418" t="s">
        <v>213</v>
      </c>
      <c r="B16" s="209" t="n">
        <f aca="false">B28</f>
        <v>253509.8</v>
      </c>
      <c r="C16" s="209" t="n">
        <f aca="false">C28</f>
        <v>22572.2</v>
      </c>
      <c r="D16" s="209" t="n">
        <f aca="false">D28</f>
        <v>2367.8</v>
      </c>
      <c r="E16" s="209" t="n">
        <f aca="false">E28</f>
        <v>5146.2</v>
      </c>
      <c r="F16" s="209" t="n">
        <f aca="false">F28</f>
        <v>5582.5</v>
      </c>
      <c r="G16" s="209" t="n">
        <f aca="false">G28</f>
        <v>35668.7</v>
      </c>
      <c r="H16" s="209" t="n">
        <f aca="false">H28</f>
        <v>-55435.5</v>
      </c>
      <c r="I16" s="209" t="n">
        <f aca="false">I28</f>
        <v>-19766.8</v>
      </c>
      <c r="J16" s="209" t="n">
        <f aca="false">J28</f>
        <v>233743</v>
      </c>
      <c r="L16" s="217"/>
    </row>
    <row r="17" s="417" customFormat="true" ht="11.1" hidden="false" customHeight="true" outlineLevel="0" collapsed="false">
      <c r="A17" s="287" t="s">
        <v>214</v>
      </c>
      <c r="B17" s="190" t="n">
        <v>251647.8</v>
      </c>
      <c r="C17" s="190" t="n">
        <v>3564.5</v>
      </c>
      <c r="D17" s="190" t="n">
        <v>2147.5</v>
      </c>
      <c r="E17" s="190" t="n">
        <v>4920.2</v>
      </c>
      <c r="F17" s="190" t="n">
        <v>4809.8</v>
      </c>
      <c r="G17" s="190" t="n">
        <f aca="false">C17+D17+E17+F17</f>
        <v>15442</v>
      </c>
      <c r="H17" s="190" t="n">
        <v>-56802</v>
      </c>
      <c r="I17" s="192" t="n">
        <f aca="false">G17+H17</f>
        <v>-41360</v>
      </c>
      <c r="J17" s="192" t="n">
        <f aca="false">B17+I17</f>
        <v>210287.8</v>
      </c>
      <c r="L17" s="217"/>
    </row>
    <row r="18" s="417" customFormat="true" ht="11.1" hidden="false" customHeight="true" outlineLevel="0" collapsed="false">
      <c r="A18" s="291" t="s">
        <v>215</v>
      </c>
      <c r="B18" s="196" t="n">
        <v>251630.1</v>
      </c>
      <c r="C18" s="196" t="n">
        <v>14699.8</v>
      </c>
      <c r="D18" s="196" t="n">
        <v>2150.2</v>
      </c>
      <c r="E18" s="196" t="n">
        <v>4833.9</v>
      </c>
      <c r="F18" s="196" t="n">
        <v>4986.5</v>
      </c>
      <c r="G18" s="196" t="n">
        <f aca="false">C18+D18+E18+F18</f>
        <v>26670.4</v>
      </c>
      <c r="H18" s="196" t="n">
        <v>-48104.9</v>
      </c>
      <c r="I18" s="186" t="n">
        <f aca="false">G18+H18</f>
        <v>-21434.5</v>
      </c>
      <c r="J18" s="186" t="n">
        <f aca="false">B18+I18</f>
        <v>230195.6</v>
      </c>
      <c r="L18" s="217"/>
    </row>
    <row r="19" s="417" customFormat="true" ht="11.1" hidden="false" customHeight="true" outlineLevel="0" collapsed="false">
      <c r="A19" s="287" t="s">
        <v>216</v>
      </c>
      <c r="B19" s="190" t="n">
        <v>250809.7</v>
      </c>
      <c r="C19" s="190" t="n">
        <v>6694.8</v>
      </c>
      <c r="D19" s="190" t="n">
        <v>2152.6</v>
      </c>
      <c r="E19" s="190" t="n">
        <v>4844.2</v>
      </c>
      <c r="F19" s="190" t="n">
        <v>5276.5</v>
      </c>
      <c r="G19" s="190" t="n">
        <f aca="false">C19+D19+E19+F19</f>
        <v>18968.1</v>
      </c>
      <c r="H19" s="190" t="n">
        <v>-54517.6</v>
      </c>
      <c r="I19" s="192" t="n">
        <f aca="false">G19+H19</f>
        <v>-35549.5</v>
      </c>
      <c r="J19" s="192" t="n">
        <f aca="false">B19+I19</f>
        <v>215260.2</v>
      </c>
      <c r="L19" s="217"/>
    </row>
    <row r="20" s="417" customFormat="true" ht="11.1" hidden="false" customHeight="true" outlineLevel="0" collapsed="false">
      <c r="A20" s="291" t="s">
        <v>217</v>
      </c>
      <c r="B20" s="196" t="n">
        <v>251637.5</v>
      </c>
      <c r="C20" s="196" t="n">
        <v>8497.3</v>
      </c>
      <c r="D20" s="196" t="n">
        <v>2154.9</v>
      </c>
      <c r="E20" s="196" t="n">
        <v>4848.8</v>
      </c>
      <c r="F20" s="196" t="n">
        <v>5566.5</v>
      </c>
      <c r="G20" s="196" t="n">
        <f aca="false">C20+D20+E20+F20</f>
        <v>21067.5</v>
      </c>
      <c r="H20" s="196" t="n">
        <v>-62428</v>
      </c>
      <c r="I20" s="186" t="n">
        <f aca="false">G20+H20</f>
        <v>-41360.5</v>
      </c>
      <c r="J20" s="186" t="n">
        <f aca="false">B20+I20</f>
        <v>210277</v>
      </c>
      <c r="L20" s="217"/>
    </row>
    <row r="21" s="417" customFormat="true" ht="11.1" hidden="false" customHeight="true" outlineLevel="0" collapsed="false">
      <c r="A21" s="287" t="s">
        <v>218</v>
      </c>
      <c r="B21" s="190" t="n">
        <v>252830</v>
      </c>
      <c r="C21" s="190" t="n">
        <v>8979.1</v>
      </c>
      <c r="D21" s="190" t="n">
        <v>2157.4</v>
      </c>
      <c r="E21" s="190" t="n">
        <v>4885.6</v>
      </c>
      <c r="F21" s="190" t="n">
        <v>5450.6</v>
      </c>
      <c r="G21" s="190" t="n">
        <f aca="false">C21+D21+E21+F21</f>
        <v>21472.7</v>
      </c>
      <c r="H21" s="190" t="n">
        <v>-65283.4</v>
      </c>
      <c r="I21" s="192" t="n">
        <f aca="false">G21+H21</f>
        <v>-43810.7</v>
      </c>
      <c r="J21" s="192" t="n">
        <f aca="false">B21+I21</f>
        <v>209019.3</v>
      </c>
      <c r="L21" s="217"/>
    </row>
    <row r="22" s="417" customFormat="true" ht="11.1" hidden="false" customHeight="true" outlineLevel="0" collapsed="false">
      <c r="A22" s="291" t="s">
        <v>219</v>
      </c>
      <c r="B22" s="196" t="n">
        <v>253497.7</v>
      </c>
      <c r="C22" s="196" t="n">
        <v>9238.6</v>
      </c>
      <c r="D22" s="196" t="n">
        <v>2160</v>
      </c>
      <c r="E22" s="196" t="n">
        <v>4986.5</v>
      </c>
      <c r="F22" s="196" t="n">
        <v>4920.4</v>
      </c>
      <c r="G22" s="196" t="n">
        <f aca="false">C22+D22+E22+F22</f>
        <v>21305.5</v>
      </c>
      <c r="H22" s="196" t="n">
        <v>-57819.4</v>
      </c>
      <c r="I22" s="186" t="n">
        <f aca="false">G22+H22</f>
        <v>-36513.9</v>
      </c>
      <c r="J22" s="186" t="n">
        <f aca="false">B22+I22</f>
        <v>216983.8</v>
      </c>
      <c r="L22" s="217"/>
    </row>
    <row r="23" s="417" customFormat="true" ht="11.1" hidden="false" customHeight="true" outlineLevel="0" collapsed="false">
      <c r="A23" s="287" t="s">
        <v>220</v>
      </c>
      <c r="B23" s="190" t="n">
        <v>253560.4</v>
      </c>
      <c r="C23" s="190" t="n">
        <v>7367.2</v>
      </c>
      <c r="D23" s="190" t="n">
        <v>2208.4</v>
      </c>
      <c r="E23" s="190" t="n">
        <v>4993.1</v>
      </c>
      <c r="F23" s="190" t="n">
        <v>5010.5</v>
      </c>
      <c r="G23" s="190" t="n">
        <f aca="false">C23+D23+E23+F23</f>
        <v>19579.2</v>
      </c>
      <c r="H23" s="190" t="n">
        <v>-62819</v>
      </c>
      <c r="I23" s="192" t="n">
        <f aca="false">G23+H23</f>
        <v>-43239.8</v>
      </c>
      <c r="J23" s="192" t="n">
        <f aca="false">B23+I23</f>
        <v>210320.6</v>
      </c>
      <c r="L23" s="217"/>
    </row>
    <row r="24" s="417" customFormat="true" ht="11.1" hidden="false" customHeight="true" outlineLevel="0" collapsed="false">
      <c r="A24" s="291" t="s">
        <v>221</v>
      </c>
      <c r="B24" s="196" t="n">
        <v>253570.9</v>
      </c>
      <c r="C24" s="196" t="n">
        <v>7078.4</v>
      </c>
      <c r="D24" s="196" t="n">
        <v>2211.1</v>
      </c>
      <c r="E24" s="196" t="n">
        <v>4920.7</v>
      </c>
      <c r="F24" s="196" t="n">
        <v>4992.4</v>
      </c>
      <c r="G24" s="196" t="n">
        <f aca="false">C24+D24+E24+F24</f>
        <v>19202.6</v>
      </c>
      <c r="H24" s="196" t="n">
        <v>-62224.1</v>
      </c>
      <c r="I24" s="186" t="n">
        <f aca="false">G24+H24</f>
        <v>-43021.5</v>
      </c>
      <c r="J24" s="186" t="n">
        <f aca="false">B24+I24</f>
        <v>210549.4</v>
      </c>
      <c r="L24" s="217"/>
    </row>
    <row r="25" s="417" customFormat="true" ht="11.1" hidden="false" customHeight="true" outlineLevel="0" collapsed="false">
      <c r="A25" s="287" t="s">
        <v>222</v>
      </c>
      <c r="B25" s="190" t="n">
        <v>252905.8</v>
      </c>
      <c r="C25" s="190" t="n">
        <v>10068.4</v>
      </c>
      <c r="D25" s="190" t="n">
        <v>2213.9</v>
      </c>
      <c r="E25" s="190" t="n">
        <v>4958.9</v>
      </c>
      <c r="F25" s="190" t="n">
        <v>5064.9</v>
      </c>
      <c r="G25" s="190" t="n">
        <f aca="false">C25+D25+E25+F25</f>
        <v>22306.1</v>
      </c>
      <c r="H25" s="190" t="n">
        <v>-62961.5</v>
      </c>
      <c r="I25" s="192" t="n">
        <f aca="false">G25+H25</f>
        <v>-40655.4</v>
      </c>
      <c r="J25" s="192" t="n">
        <f aca="false">B25+I25</f>
        <v>212250.4</v>
      </c>
      <c r="L25" s="217"/>
    </row>
    <row r="26" s="417" customFormat="true" ht="11.1" hidden="false" customHeight="true" outlineLevel="0" collapsed="false">
      <c r="A26" s="291" t="s">
        <v>223</v>
      </c>
      <c r="B26" s="196" t="n">
        <v>251317</v>
      </c>
      <c r="C26" s="196" t="n">
        <v>10370.6</v>
      </c>
      <c r="D26" s="196" t="n">
        <v>2342</v>
      </c>
      <c r="E26" s="196" t="n">
        <v>5037.6</v>
      </c>
      <c r="F26" s="196" t="n">
        <v>5588.5</v>
      </c>
      <c r="G26" s="196" t="n">
        <f aca="false">C26+D26+E26+F26</f>
        <v>23338.7</v>
      </c>
      <c r="H26" s="196" t="n">
        <v>-62274.7</v>
      </c>
      <c r="I26" s="186" t="n">
        <f aca="false">G26+H26</f>
        <v>-38936</v>
      </c>
      <c r="J26" s="186" t="n">
        <f aca="false">B26+I26</f>
        <v>212381</v>
      </c>
      <c r="L26" s="217"/>
    </row>
    <row r="27" s="417" customFormat="true" ht="11.1" hidden="false" customHeight="true" outlineLevel="0" collapsed="false">
      <c r="A27" s="287" t="s">
        <v>224</v>
      </c>
      <c r="B27" s="190" t="n">
        <v>252375.2</v>
      </c>
      <c r="C27" s="190" t="n">
        <v>10663.6</v>
      </c>
      <c r="D27" s="190" t="n">
        <v>2385.4</v>
      </c>
      <c r="E27" s="190" t="n">
        <v>5071.1</v>
      </c>
      <c r="F27" s="190" t="n">
        <v>5458.2</v>
      </c>
      <c r="G27" s="190" t="n">
        <f aca="false">C27+D27+E27+F27</f>
        <v>23578.3</v>
      </c>
      <c r="H27" s="190" t="n">
        <v>-64911.9</v>
      </c>
      <c r="I27" s="192" t="n">
        <f aca="false">G27+H27</f>
        <v>-41333.6</v>
      </c>
      <c r="J27" s="192" t="n">
        <f aca="false">B27+I27</f>
        <v>211041.6</v>
      </c>
      <c r="L27" s="217"/>
    </row>
    <row r="28" s="417" customFormat="true" ht="11.1" hidden="false" customHeight="true" outlineLevel="0" collapsed="false">
      <c r="A28" s="291" t="s">
        <v>225</v>
      </c>
      <c r="B28" s="196" t="n">
        <v>253509.8</v>
      </c>
      <c r="C28" s="196" t="n">
        <v>22572.2</v>
      </c>
      <c r="D28" s="196" t="n">
        <v>2367.8</v>
      </c>
      <c r="E28" s="196" t="n">
        <v>5146.2</v>
      </c>
      <c r="F28" s="196" t="n">
        <v>5582.5</v>
      </c>
      <c r="G28" s="196" t="n">
        <f aca="false">C28+D28+E28+F28</f>
        <v>35668.7</v>
      </c>
      <c r="H28" s="196" t="n">
        <v>-55435.5</v>
      </c>
      <c r="I28" s="196" t="n">
        <f aca="false">G28+H28</f>
        <v>-19766.8</v>
      </c>
      <c r="J28" s="196" t="n">
        <f aca="false">B28+I28</f>
        <v>233743</v>
      </c>
      <c r="L28" s="217"/>
    </row>
    <row r="29" s="400" customFormat="true" ht="11.1" hidden="false" customHeight="true" outlineLevel="0" collapsed="false">
      <c r="A29" s="298" t="s">
        <v>226</v>
      </c>
      <c r="B29" s="201" t="n">
        <f aca="false">B41</f>
        <v>257195.4</v>
      </c>
      <c r="C29" s="201" t="n">
        <f aca="false">C41</f>
        <v>31189</v>
      </c>
      <c r="D29" s="201" t="n">
        <f aca="false">D41</f>
        <v>2380.4</v>
      </c>
      <c r="E29" s="201" t="n">
        <f aca="false">E41</f>
        <v>4789.5</v>
      </c>
      <c r="F29" s="201" t="n">
        <f aca="false">F41</f>
        <v>5386.9</v>
      </c>
      <c r="G29" s="201" t="n">
        <f aca="false">G41</f>
        <v>43745.8</v>
      </c>
      <c r="H29" s="201" t="n">
        <f aca="false">H41</f>
        <v>-54753.5</v>
      </c>
      <c r="I29" s="201" t="n">
        <f aca="false">I41</f>
        <v>-11007.7</v>
      </c>
      <c r="J29" s="201" t="n">
        <f aca="false">J41</f>
        <v>246187.7</v>
      </c>
      <c r="K29" s="409"/>
    </row>
    <row r="30" s="400" customFormat="true" ht="11.1" hidden="false" customHeight="true" outlineLevel="0" collapsed="false">
      <c r="A30" s="291" t="s">
        <v>214</v>
      </c>
      <c r="B30" s="196" t="n">
        <v>251973.1</v>
      </c>
      <c r="C30" s="196" t="n">
        <v>12131.7</v>
      </c>
      <c r="D30" s="196" t="n">
        <v>2356.5</v>
      </c>
      <c r="E30" s="196" t="n">
        <v>5096.9</v>
      </c>
      <c r="F30" s="196" t="n">
        <v>4998.2</v>
      </c>
      <c r="G30" s="196" t="n">
        <f aca="false">C30+D30+E30+F30</f>
        <v>24583.3</v>
      </c>
      <c r="H30" s="196" t="n">
        <v>-55288.5</v>
      </c>
      <c r="I30" s="196" t="n">
        <f aca="false">G30+H30</f>
        <v>-30705.2</v>
      </c>
      <c r="J30" s="196" t="n">
        <f aca="false">B30+I30</f>
        <v>221267.9</v>
      </c>
    </row>
    <row r="31" customFormat="false" ht="11.1" hidden="false" customHeight="true" outlineLevel="0" collapsed="false">
      <c r="A31" s="287" t="s">
        <v>215</v>
      </c>
      <c r="B31" s="190" t="n">
        <v>254675.2</v>
      </c>
      <c r="C31" s="190" t="n">
        <v>17116.9</v>
      </c>
      <c r="D31" s="190" t="n">
        <v>2359.9</v>
      </c>
      <c r="E31" s="190" t="n">
        <v>5051.1</v>
      </c>
      <c r="F31" s="190" t="n">
        <v>4959.7</v>
      </c>
      <c r="G31" s="190" t="n">
        <f aca="false">C31+D31+E31+F31</f>
        <v>29487.6</v>
      </c>
      <c r="H31" s="190" t="n">
        <v>-49792</v>
      </c>
      <c r="I31" s="190" t="n">
        <f aca="false">G31+H31</f>
        <v>-20304.4</v>
      </c>
      <c r="J31" s="190" t="n">
        <f aca="false">B31+I31</f>
        <v>234370.8</v>
      </c>
    </row>
    <row r="32" customFormat="false" ht="11.1" hidden="false" customHeight="true" outlineLevel="0" collapsed="false">
      <c r="A32" s="291" t="s">
        <v>216</v>
      </c>
      <c r="B32" s="196" t="n">
        <v>251729.4</v>
      </c>
      <c r="C32" s="196" t="n">
        <v>10446.5</v>
      </c>
      <c r="D32" s="196" t="n">
        <v>2363.2</v>
      </c>
      <c r="E32" s="196" t="n">
        <v>5003.2</v>
      </c>
      <c r="F32" s="196" t="n">
        <v>5009.9</v>
      </c>
      <c r="G32" s="196" t="n">
        <f aca="false">C32+D32+E32+F32</f>
        <v>22822.8</v>
      </c>
      <c r="H32" s="196" t="n">
        <v>-46065</v>
      </c>
      <c r="I32" s="196" t="n">
        <f aca="false">G32+H32</f>
        <v>-23242.2</v>
      </c>
      <c r="J32" s="196" t="n">
        <f aca="false">B32+I32</f>
        <v>228487.2</v>
      </c>
    </row>
    <row r="33" customFormat="false" ht="11.1" hidden="false" customHeight="true" outlineLevel="0" collapsed="false">
      <c r="A33" s="287" t="s">
        <v>217</v>
      </c>
      <c r="B33" s="190" t="n">
        <v>248150.4</v>
      </c>
      <c r="C33" s="190" t="n">
        <v>14507.2</v>
      </c>
      <c r="D33" s="190" t="n">
        <v>2366.7</v>
      </c>
      <c r="E33" s="190" t="n">
        <v>4969</v>
      </c>
      <c r="F33" s="190" t="n">
        <v>4984.8</v>
      </c>
      <c r="G33" s="190" t="n">
        <f aca="false">C33+D33+E33+F33</f>
        <v>26827.7</v>
      </c>
      <c r="H33" s="190" t="n">
        <v>-46859.9</v>
      </c>
      <c r="I33" s="190" t="n">
        <f aca="false">G33+H33</f>
        <v>-20032.2</v>
      </c>
      <c r="J33" s="190" t="n">
        <f aca="false">B33+I33</f>
        <v>228118.2</v>
      </c>
    </row>
    <row r="34" customFormat="false" ht="11.1" hidden="false" customHeight="true" outlineLevel="0" collapsed="false">
      <c r="A34" s="291" t="s">
        <v>218</v>
      </c>
      <c r="B34" s="196" t="n">
        <v>245304.3</v>
      </c>
      <c r="C34" s="196" t="n">
        <v>15583.1</v>
      </c>
      <c r="D34" s="196" t="n">
        <v>2370.1</v>
      </c>
      <c r="E34" s="196" t="n">
        <v>4945</v>
      </c>
      <c r="F34" s="196" t="n">
        <v>5195.3</v>
      </c>
      <c r="G34" s="196" t="n">
        <f aca="false">C34+D34+E34+F34</f>
        <v>28093.5</v>
      </c>
      <c r="H34" s="196" t="n">
        <v>-48070.2</v>
      </c>
      <c r="I34" s="196" t="n">
        <f aca="false">G34+H34</f>
        <v>-19976.7</v>
      </c>
      <c r="J34" s="196" t="n">
        <f aca="false">B34+I34</f>
        <v>225327.6</v>
      </c>
    </row>
    <row r="35" customFormat="false" ht="11.1" hidden="false" customHeight="true" outlineLevel="0" collapsed="false">
      <c r="A35" s="287" t="s">
        <v>219</v>
      </c>
      <c r="B35" s="190" t="n">
        <v>247691.7</v>
      </c>
      <c r="C35" s="190" t="n">
        <v>21067.4</v>
      </c>
      <c r="D35" s="190" t="n">
        <v>2373.5</v>
      </c>
      <c r="E35" s="190" t="n">
        <v>4979</v>
      </c>
      <c r="F35" s="190" t="n">
        <v>5857.6</v>
      </c>
      <c r="G35" s="190" t="n">
        <f aca="false">C35+D35+E35+F35</f>
        <v>34277.5</v>
      </c>
      <c r="H35" s="190" t="n">
        <v>-47311.3</v>
      </c>
      <c r="I35" s="190" t="n">
        <f aca="false">G35+H35</f>
        <v>-13033.8</v>
      </c>
      <c r="J35" s="190" t="n">
        <f aca="false">B35+I35</f>
        <v>234657.9</v>
      </c>
    </row>
    <row r="36" customFormat="false" ht="11.1" hidden="false" customHeight="true" outlineLevel="0" collapsed="false">
      <c r="A36" s="291" t="s">
        <v>220</v>
      </c>
      <c r="B36" s="196" t="n">
        <v>245563.2</v>
      </c>
      <c r="C36" s="196" t="n">
        <v>17669.8</v>
      </c>
      <c r="D36" s="196" t="n">
        <v>2347.6</v>
      </c>
      <c r="E36" s="196" t="n">
        <v>4910.9</v>
      </c>
      <c r="F36" s="196" t="n">
        <v>5208</v>
      </c>
      <c r="G36" s="196" t="n">
        <f aca="false">C36+D36+E36+F36</f>
        <v>30136.3</v>
      </c>
      <c r="H36" s="196" t="n">
        <v>-47671.9</v>
      </c>
      <c r="I36" s="196" t="n">
        <f aca="false">G36+H36</f>
        <v>-17535.6</v>
      </c>
      <c r="J36" s="196" t="n">
        <f aca="false">B36+I36</f>
        <v>228027.6</v>
      </c>
    </row>
    <row r="37" customFormat="false" ht="11.1" hidden="false" customHeight="true" outlineLevel="0" collapsed="false">
      <c r="A37" s="287" t="s">
        <v>221</v>
      </c>
      <c r="B37" s="190" t="n">
        <v>250320.8</v>
      </c>
      <c r="C37" s="190" t="n">
        <v>13370.8</v>
      </c>
      <c r="D37" s="190" t="n">
        <v>2352.6</v>
      </c>
      <c r="E37" s="190" t="n">
        <v>4783.6</v>
      </c>
      <c r="F37" s="190" t="n">
        <v>6300.3</v>
      </c>
      <c r="G37" s="190" t="n">
        <f aca="false">C37+D37+E37+F37</f>
        <v>26807.3</v>
      </c>
      <c r="H37" s="190" t="n">
        <v>-50385.5</v>
      </c>
      <c r="I37" s="190" t="n">
        <f aca="false">G37+H37</f>
        <v>-23578.2</v>
      </c>
      <c r="J37" s="190" t="n">
        <f aca="false">B37+I37</f>
        <v>226742.6</v>
      </c>
    </row>
    <row r="38" customFormat="false" ht="11.1" hidden="false" customHeight="true" outlineLevel="0" collapsed="false">
      <c r="A38" s="291" t="s">
        <v>222</v>
      </c>
      <c r="B38" s="196" t="n">
        <v>251391.3</v>
      </c>
      <c r="C38" s="196" t="n">
        <v>11760.6</v>
      </c>
      <c r="D38" s="196" t="n">
        <v>2354.3</v>
      </c>
      <c r="E38" s="196" t="n">
        <v>4815</v>
      </c>
      <c r="F38" s="196" t="n">
        <v>6937.1</v>
      </c>
      <c r="G38" s="196" t="n">
        <f aca="false">C38+D38+E38+F38</f>
        <v>25867</v>
      </c>
      <c r="H38" s="196" t="n">
        <v>-52168</v>
      </c>
      <c r="I38" s="196" t="n">
        <f aca="false">G38+H38</f>
        <v>-26301</v>
      </c>
      <c r="J38" s="196" t="n">
        <f aca="false">B38+I38</f>
        <v>225090.3</v>
      </c>
    </row>
    <row r="39" customFormat="false" ht="11.1" hidden="false" customHeight="true" outlineLevel="0" collapsed="false">
      <c r="A39" s="287" t="s">
        <v>223</v>
      </c>
      <c r="B39" s="190" t="n">
        <v>249633.4</v>
      </c>
      <c r="C39" s="190" t="n">
        <v>16694.9</v>
      </c>
      <c r="D39" s="190" t="n">
        <v>2328</v>
      </c>
      <c r="E39" s="190" t="n">
        <v>4776.5</v>
      </c>
      <c r="F39" s="190" t="n">
        <v>5714.6</v>
      </c>
      <c r="G39" s="190" t="n">
        <f aca="false">C39+D39+E39+F39</f>
        <v>29514</v>
      </c>
      <c r="H39" s="190" t="n">
        <v>-52156.1</v>
      </c>
      <c r="I39" s="190" t="n">
        <f aca="false">G39+H39</f>
        <v>-22642.1</v>
      </c>
      <c r="J39" s="190" t="n">
        <f aca="false">B39+I39</f>
        <v>226991.3</v>
      </c>
    </row>
    <row r="40" customFormat="false" ht="11.1" hidden="false" customHeight="true" outlineLevel="0" collapsed="false">
      <c r="A40" s="291" t="s">
        <v>224</v>
      </c>
      <c r="B40" s="196" t="n">
        <v>248731</v>
      </c>
      <c r="C40" s="196" t="n">
        <v>33722.6</v>
      </c>
      <c r="D40" s="196" t="n">
        <v>2382.3</v>
      </c>
      <c r="E40" s="196" t="n">
        <v>4776.7</v>
      </c>
      <c r="F40" s="196" t="n">
        <v>7716.8</v>
      </c>
      <c r="G40" s="196" t="n">
        <f aca="false">C40+D40+E40+F40</f>
        <v>48598.4</v>
      </c>
      <c r="H40" s="196" t="n">
        <v>-51657.2</v>
      </c>
      <c r="I40" s="196" t="n">
        <f aca="false">G40+H40</f>
        <v>-3058.8</v>
      </c>
      <c r="J40" s="196" t="n">
        <f aca="false">B40+I40</f>
        <v>245672.2</v>
      </c>
    </row>
    <row r="41" customFormat="false" ht="11.1" hidden="false" customHeight="true" outlineLevel="0" collapsed="false">
      <c r="A41" s="287" t="s">
        <v>225</v>
      </c>
      <c r="B41" s="190" t="n">
        <v>257195.4</v>
      </c>
      <c r="C41" s="190" t="n">
        <v>31189</v>
      </c>
      <c r="D41" s="190" t="n">
        <v>2380.4</v>
      </c>
      <c r="E41" s="190" t="n">
        <v>4789.5</v>
      </c>
      <c r="F41" s="190" t="n">
        <v>5386.9</v>
      </c>
      <c r="G41" s="190" t="n">
        <f aca="false">C41+D41+E41+F41</f>
        <v>43745.8</v>
      </c>
      <c r="H41" s="190" t="n">
        <v>-54753.5</v>
      </c>
      <c r="I41" s="190" t="n">
        <f aca="false">G41+H41</f>
        <v>-11007.7</v>
      </c>
      <c r="J41" s="190" t="n">
        <f aca="false">B41+I41</f>
        <v>246187.7</v>
      </c>
    </row>
    <row r="42" customFormat="false" ht="11.1" hidden="false" customHeight="true" outlineLevel="0" collapsed="false">
      <c r="A42" s="223" t="s">
        <v>227</v>
      </c>
      <c r="B42" s="209" t="n">
        <f aca="false">B54</f>
        <v>290174.9</v>
      </c>
      <c r="C42" s="209" t="n">
        <f aca="false">C54</f>
        <v>37114.9</v>
      </c>
      <c r="D42" s="209" t="n">
        <f aca="false">D54</f>
        <v>2551.9</v>
      </c>
      <c r="E42" s="209" t="n">
        <f aca="false">E54</f>
        <v>5345.6</v>
      </c>
      <c r="F42" s="209" t="n">
        <f aca="false">F54</f>
        <v>13761.9</v>
      </c>
      <c r="G42" s="209" t="n">
        <f aca="false">G54</f>
        <v>58774.3</v>
      </c>
      <c r="H42" s="209" t="n">
        <f aca="false">H54</f>
        <v>-64465.8</v>
      </c>
      <c r="I42" s="209" t="n">
        <f aca="false">I54</f>
        <v>-5691.5</v>
      </c>
      <c r="J42" s="209" t="n">
        <f aca="false">J54</f>
        <v>284483.4</v>
      </c>
    </row>
    <row r="43" customFormat="false" ht="11.1" hidden="false" customHeight="true" outlineLevel="0" collapsed="false">
      <c r="A43" s="215" t="s">
        <v>214</v>
      </c>
      <c r="B43" s="190" t="n">
        <v>255492.4</v>
      </c>
      <c r="C43" s="190" t="n">
        <v>29485.4</v>
      </c>
      <c r="D43" s="190" t="n">
        <v>2471.3</v>
      </c>
      <c r="E43" s="190" t="n">
        <v>4805.1</v>
      </c>
      <c r="F43" s="190" t="n">
        <v>5287.8</v>
      </c>
      <c r="G43" s="190" t="n">
        <f aca="false">C43+D43+E43+F43</f>
        <v>42049.6</v>
      </c>
      <c r="H43" s="190" t="n">
        <v>-53988.4</v>
      </c>
      <c r="I43" s="190" t="n">
        <f aca="false">G43+H43</f>
        <v>-11938.8</v>
      </c>
      <c r="J43" s="190" t="n">
        <f aca="false">B43+I43</f>
        <v>243553.6</v>
      </c>
    </row>
    <row r="44" customFormat="false" ht="11.1" hidden="false" customHeight="true" outlineLevel="0" collapsed="false">
      <c r="A44" s="207" t="s">
        <v>215</v>
      </c>
      <c r="B44" s="196" t="n">
        <v>257546.7</v>
      </c>
      <c r="C44" s="196" t="n">
        <v>29929</v>
      </c>
      <c r="D44" s="196" t="n">
        <v>2475.2</v>
      </c>
      <c r="E44" s="196" t="n">
        <v>4801.2</v>
      </c>
      <c r="F44" s="196" t="n">
        <v>8344.7</v>
      </c>
      <c r="G44" s="196" t="n">
        <f aca="false">C44+D44+E44+F44</f>
        <v>45550.1</v>
      </c>
      <c r="H44" s="196" t="n">
        <v>-51708.8</v>
      </c>
      <c r="I44" s="196" t="n">
        <f aca="false">G44+H44</f>
        <v>-6158.7</v>
      </c>
      <c r="J44" s="196" t="n">
        <f aca="false">B44+I44</f>
        <v>251388</v>
      </c>
    </row>
    <row r="45" customFormat="false" ht="11.1" hidden="false" customHeight="true" outlineLevel="0" collapsed="false">
      <c r="A45" s="215" t="s">
        <v>216</v>
      </c>
      <c r="B45" s="190" t="n">
        <v>254607.6</v>
      </c>
      <c r="C45" s="190" t="n">
        <v>28908.2</v>
      </c>
      <c r="D45" s="190" t="n">
        <v>2480.8</v>
      </c>
      <c r="E45" s="190" t="n">
        <v>4817.5</v>
      </c>
      <c r="F45" s="190" t="n">
        <v>6295.6</v>
      </c>
      <c r="G45" s="190" t="n">
        <f aca="false">C45+D45+E45+F45</f>
        <v>42502.1</v>
      </c>
      <c r="H45" s="190" t="n">
        <v>-49921.7</v>
      </c>
      <c r="I45" s="190" t="n">
        <f aca="false">G45+H45</f>
        <v>-7419.6</v>
      </c>
      <c r="J45" s="190" t="n">
        <f aca="false">B45+I45</f>
        <v>247188</v>
      </c>
    </row>
    <row r="46" customFormat="false" ht="11.1" hidden="false" customHeight="true" outlineLevel="0" collapsed="false">
      <c r="A46" s="207" t="s">
        <v>217</v>
      </c>
      <c r="B46" s="196" t="n">
        <v>256007.2</v>
      </c>
      <c r="C46" s="196" t="n">
        <v>33824.6</v>
      </c>
      <c r="D46" s="196" t="n">
        <v>2483</v>
      </c>
      <c r="E46" s="196" t="n">
        <v>4815.3</v>
      </c>
      <c r="F46" s="196" t="n">
        <v>5685.8</v>
      </c>
      <c r="G46" s="196" t="n">
        <f aca="false">C46+D46+E46+F46</f>
        <v>46808.7</v>
      </c>
      <c r="H46" s="196" t="n">
        <v>-51778</v>
      </c>
      <c r="I46" s="196" t="n">
        <f aca="false">G46+H46</f>
        <v>-4969.3</v>
      </c>
      <c r="J46" s="196" t="n">
        <f aca="false">B46+I46</f>
        <v>251037.9</v>
      </c>
    </row>
    <row r="47" customFormat="false" ht="11.1" hidden="false" customHeight="true" outlineLevel="0" collapsed="false">
      <c r="A47" s="215" t="s">
        <v>218</v>
      </c>
      <c r="B47" s="190" t="n">
        <v>255448.9</v>
      </c>
      <c r="C47" s="190" t="n">
        <v>30168.5</v>
      </c>
      <c r="D47" s="190" t="n">
        <v>2587.2</v>
      </c>
      <c r="E47" s="190" t="n">
        <v>4804.9</v>
      </c>
      <c r="F47" s="190" t="n">
        <v>5669</v>
      </c>
      <c r="G47" s="190" t="n">
        <f aca="false">C47+D47+E47+F47</f>
        <v>43229.6</v>
      </c>
      <c r="H47" s="190" t="n">
        <v>-52491.6</v>
      </c>
      <c r="I47" s="190" t="n">
        <f aca="false">G47+H47</f>
        <v>-9262</v>
      </c>
      <c r="J47" s="190" t="n">
        <f aca="false">B47+I47</f>
        <v>246186.9</v>
      </c>
    </row>
    <row r="48" customFormat="false" ht="11.1" hidden="false" customHeight="true" outlineLevel="0" collapsed="false">
      <c r="A48" s="207" t="s">
        <v>219</v>
      </c>
      <c r="B48" s="196" t="n">
        <v>259113.4</v>
      </c>
      <c r="C48" s="196" t="n">
        <v>34438.2</v>
      </c>
      <c r="D48" s="196" t="n">
        <v>2593</v>
      </c>
      <c r="E48" s="196" t="n">
        <v>4868.2</v>
      </c>
      <c r="F48" s="196" t="n">
        <v>5850.2</v>
      </c>
      <c r="G48" s="196" t="n">
        <f aca="false">C48+D48+E48+F48</f>
        <v>47749.6</v>
      </c>
      <c r="H48" s="196" t="n">
        <v>-55951.1</v>
      </c>
      <c r="I48" s="196" t="n">
        <f aca="false">G48+H48</f>
        <v>-8201.50000000001</v>
      </c>
      <c r="J48" s="196" t="n">
        <f aca="false">B48+I48</f>
        <v>250911.9</v>
      </c>
    </row>
    <row r="49" customFormat="false" ht="11.1" hidden="false" customHeight="true" outlineLevel="0" collapsed="false">
      <c r="A49" s="215" t="s">
        <v>220</v>
      </c>
      <c r="B49" s="190" t="n">
        <v>259738.6</v>
      </c>
      <c r="C49" s="190" t="n">
        <v>32763.8</v>
      </c>
      <c r="D49" s="190" t="n">
        <v>2569</v>
      </c>
      <c r="E49" s="190" t="n">
        <v>4846.5</v>
      </c>
      <c r="F49" s="190" t="n">
        <v>6050.6</v>
      </c>
      <c r="G49" s="190" t="n">
        <f aca="false">C49+D49+E49+F49</f>
        <v>46229.9</v>
      </c>
      <c r="H49" s="190" t="n">
        <v>-56766.9</v>
      </c>
      <c r="I49" s="190" t="n">
        <f aca="false">G49+H49</f>
        <v>-10537</v>
      </c>
      <c r="J49" s="190" t="n">
        <f aca="false">B49+I49</f>
        <v>249201.6</v>
      </c>
    </row>
    <row r="50" customFormat="false" ht="11.1" hidden="false" customHeight="true" outlineLevel="0" collapsed="false">
      <c r="A50" s="207" t="s">
        <v>221</v>
      </c>
      <c r="B50" s="196" t="n">
        <v>260343.4</v>
      </c>
      <c r="C50" s="196" t="n">
        <v>26329.1</v>
      </c>
      <c r="D50" s="196" t="n">
        <v>2574.9</v>
      </c>
      <c r="E50" s="196" t="n">
        <v>4879.3</v>
      </c>
      <c r="F50" s="196" t="n">
        <v>14440.3</v>
      </c>
      <c r="G50" s="196" t="n">
        <f aca="false">C50+D50+E50+F50</f>
        <v>48223.6</v>
      </c>
      <c r="H50" s="196" t="n">
        <v>-57578.4</v>
      </c>
      <c r="I50" s="196" t="n">
        <f aca="false">G50+H50</f>
        <v>-9354.8</v>
      </c>
      <c r="J50" s="196" t="n">
        <f aca="false">B50+I50</f>
        <v>250988.6</v>
      </c>
    </row>
    <row r="51" customFormat="false" ht="11.1" hidden="false" customHeight="true" outlineLevel="0" collapsed="false">
      <c r="A51" s="215" t="s">
        <v>222</v>
      </c>
      <c r="B51" s="190" t="n">
        <v>263114.5</v>
      </c>
      <c r="C51" s="190" t="n">
        <v>22201</v>
      </c>
      <c r="D51" s="190" t="n">
        <v>2577.5</v>
      </c>
      <c r="E51" s="190" t="n">
        <v>4992.8</v>
      </c>
      <c r="F51" s="190" t="n">
        <v>37077.2</v>
      </c>
      <c r="G51" s="190" t="n">
        <f aca="false">C51+D51+E51+F51</f>
        <v>66848.5</v>
      </c>
      <c r="H51" s="190" t="n">
        <v>-57045.5</v>
      </c>
      <c r="I51" s="190" t="n">
        <f aca="false">G51+H51</f>
        <v>9803</v>
      </c>
      <c r="J51" s="190" t="n">
        <f aca="false">B51+I51</f>
        <v>272917.5</v>
      </c>
    </row>
    <row r="52" customFormat="false" ht="11.1" hidden="false" customHeight="true" outlineLevel="0" collapsed="false">
      <c r="A52" s="207" t="s">
        <v>223</v>
      </c>
      <c r="B52" s="196" t="n">
        <v>265600.7</v>
      </c>
      <c r="C52" s="196" t="n">
        <v>34797.8</v>
      </c>
      <c r="D52" s="196" t="n">
        <v>2577.5</v>
      </c>
      <c r="E52" s="196" t="n">
        <v>5016.5</v>
      </c>
      <c r="F52" s="196" t="n">
        <v>10366.9</v>
      </c>
      <c r="G52" s="196" t="n">
        <f aca="false">C52+D52+E52+F52</f>
        <v>52758.7</v>
      </c>
      <c r="H52" s="196" t="n">
        <v>-62027.4</v>
      </c>
      <c r="I52" s="196" t="n">
        <f aca="false">G52+H52</f>
        <v>-9268.7</v>
      </c>
      <c r="J52" s="196" t="n">
        <f aca="false">B52+I52</f>
        <v>256332</v>
      </c>
      <c r="L52" s="259"/>
    </row>
    <row r="53" customFormat="false" ht="11.1" hidden="false" customHeight="true" outlineLevel="0" collapsed="false">
      <c r="A53" s="215" t="s">
        <v>224</v>
      </c>
      <c r="B53" s="190" t="n">
        <v>271808</v>
      </c>
      <c r="C53" s="190" t="n">
        <v>31707.4</v>
      </c>
      <c r="D53" s="190" t="n">
        <v>2566.3</v>
      </c>
      <c r="E53" s="190" t="n">
        <v>5271.6</v>
      </c>
      <c r="F53" s="190" t="n">
        <v>23658.9</v>
      </c>
      <c r="G53" s="190" t="n">
        <f aca="false">C53+D53+E53+F53</f>
        <v>63204.2</v>
      </c>
      <c r="H53" s="190" t="n">
        <v>-64773.7</v>
      </c>
      <c r="I53" s="190" t="n">
        <f aca="false">G53+H53</f>
        <v>-1569.49999999999</v>
      </c>
      <c r="J53" s="190" t="n">
        <f aca="false">B53+I53</f>
        <v>270238.5</v>
      </c>
      <c r="L53" s="259"/>
    </row>
    <row r="54" customFormat="false" ht="11.1" hidden="false" customHeight="true" outlineLevel="0" collapsed="false">
      <c r="A54" s="225" t="s">
        <v>225</v>
      </c>
      <c r="B54" s="226" t="n">
        <v>290174.9</v>
      </c>
      <c r="C54" s="226" t="n">
        <v>37114.9</v>
      </c>
      <c r="D54" s="226" t="n">
        <v>2551.9</v>
      </c>
      <c r="E54" s="226" t="n">
        <v>5345.6</v>
      </c>
      <c r="F54" s="226" t="n">
        <v>13761.9</v>
      </c>
      <c r="G54" s="226" t="n">
        <f aca="false">C54+D54+E54+F54</f>
        <v>58774.3</v>
      </c>
      <c r="H54" s="226" t="n">
        <v>-64465.8</v>
      </c>
      <c r="I54" s="226" t="n">
        <f aca="false">G54+H54</f>
        <v>-5691.5</v>
      </c>
      <c r="J54" s="226" t="n">
        <f aca="false">B54+I54</f>
        <v>284483.4</v>
      </c>
      <c r="L54" s="259"/>
    </row>
    <row r="55" customFormat="false" ht="11.25" hidden="false" customHeight="false" outlineLevel="0" collapsed="false">
      <c r="A55" s="434" t="s">
        <v>375</v>
      </c>
      <c r="B55" s="435" t="s">
        <v>361</v>
      </c>
      <c r="C55" s="435"/>
      <c r="D55" s="435"/>
      <c r="E55" s="435"/>
      <c r="F55" s="435"/>
      <c r="G55" s="435"/>
      <c r="H55" s="435"/>
      <c r="I55" s="435"/>
      <c r="J55" s="435"/>
      <c r="L55" s="259"/>
    </row>
    <row r="56" customFormat="false" ht="11.25" hidden="false" customHeight="false" outlineLevel="0" collapsed="false">
      <c r="A56" s="400"/>
      <c r="B56" s="400"/>
      <c r="C56" s="400"/>
      <c r="D56" s="400"/>
      <c r="E56" s="400"/>
      <c r="F56" s="400"/>
      <c r="G56" s="400"/>
      <c r="H56" s="400"/>
      <c r="I56" s="400"/>
      <c r="J56" s="409"/>
      <c r="K56" s="259"/>
    </row>
    <row r="57" customFormat="false" ht="11.25" hidden="false" customHeight="false" outlineLevel="0" collapsed="false">
      <c r="B57" s="400"/>
    </row>
    <row r="60" customFormat="false" ht="11.25" hidden="false" customHeight="false" outlineLevel="0" collapsed="false">
      <c r="B60" s="259"/>
      <c r="C60" s="259"/>
      <c r="D60" s="259"/>
      <c r="E60" s="259"/>
      <c r="F60" s="259"/>
      <c r="G60" s="259"/>
      <c r="H60" s="259"/>
      <c r="I60" s="259"/>
      <c r="J60" s="259"/>
    </row>
    <row r="70" customFormat="false" ht="11.25" hidden="false" customHeight="false" outlineLevel="0" collapsed="false">
      <c r="B70" s="259"/>
      <c r="C70" s="259"/>
      <c r="D70" s="259"/>
      <c r="E70" s="259"/>
      <c r="F70" s="259"/>
      <c r="G70" s="259"/>
      <c r="H70" s="259"/>
      <c r="I70" s="259"/>
      <c r="J70" s="259"/>
    </row>
    <row r="71" customFormat="false" ht="11.25" hidden="false" customHeight="false" outlineLevel="0" collapsed="false">
      <c r="B71" s="259"/>
      <c r="C71" s="259"/>
      <c r="D71" s="259"/>
      <c r="E71" s="259"/>
      <c r="F71" s="259"/>
      <c r="G71" s="259"/>
      <c r="H71" s="259"/>
      <c r="I71" s="259"/>
      <c r="J71" s="259"/>
    </row>
    <row r="72" customFormat="false" ht="11.25" hidden="false" customHeight="false" outlineLevel="0" collapsed="false">
      <c r="B72" s="259"/>
      <c r="C72" s="259"/>
      <c r="D72" s="259"/>
      <c r="E72" s="259"/>
      <c r="F72" s="259"/>
      <c r="G72" s="259"/>
      <c r="H72" s="259"/>
      <c r="I72" s="259"/>
      <c r="J72" s="259"/>
    </row>
    <row r="73" customFormat="false" ht="11.25" hidden="false" customHeight="false" outlineLevel="0" collapsed="false">
      <c r="B73" s="259"/>
      <c r="C73" s="259"/>
      <c r="D73" s="259"/>
      <c r="E73" s="259"/>
      <c r="F73" s="259"/>
      <c r="G73" s="259"/>
      <c r="H73" s="259"/>
      <c r="I73" s="259"/>
      <c r="J73" s="259"/>
    </row>
    <row r="74" customFormat="false" ht="11.25" hidden="false" customHeight="false" outlineLevel="0" collapsed="false">
      <c r="B74" s="259"/>
      <c r="C74" s="259"/>
      <c r="D74" s="259"/>
      <c r="E74" s="259"/>
      <c r="F74" s="259"/>
      <c r="G74" s="259"/>
      <c r="H74" s="259"/>
      <c r="I74" s="259"/>
      <c r="J74" s="259"/>
    </row>
    <row r="75" customFormat="false" ht="11.25" hidden="false" customHeight="false" outlineLevel="0" collapsed="false">
      <c r="B75" s="259"/>
      <c r="C75" s="259"/>
      <c r="D75" s="259"/>
      <c r="E75" s="259"/>
      <c r="F75" s="259"/>
      <c r="G75" s="259"/>
      <c r="H75" s="259"/>
      <c r="I75" s="259"/>
      <c r="J75" s="259"/>
    </row>
    <row r="76" customFormat="false" ht="11.25" hidden="false" customHeight="false" outlineLevel="0" collapsed="false">
      <c r="B76" s="259"/>
      <c r="C76" s="259"/>
      <c r="D76" s="259"/>
      <c r="E76" s="259"/>
      <c r="F76" s="259"/>
      <c r="G76" s="259"/>
      <c r="H76" s="259"/>
      <c r="I76" s="259"/>
      <c r="J76" s="259"/>
    </row>
    <row r="77" customFormat="false" ht="11.25" hidden="false" customHeight="false" outlineLevel="0" collapsed="false">
      <c r="B77" s="259"/>
      <c r="C77" s="259"/>
      <c r="D77" s="259"/>
      <c r="E77" s="259"/>
      <c r="F77" s="259"/>
      <c r="G77" s="259"/>
      <c r="H77" s="259"/>
      <c r="I77" s="259"/>
      <c r="J77" s="259"/>
    </row>
    <row r="78" customFormat="false" ht="11.25" hidden="false" customHeight="false" outlineLevel="0" collapsed="false">
      <c r="B78" s="259"/>
      <c r="C78" s="259"/>
      <c r="D78" s="259"/>
      <c r="E78" s="259"/>
      <c r="F78" s="259"/>
      <c r="G78" s="259"/>
      <c r="H78" s="259"/>
      <c r="I78" s="259"/>
      <c r="J78" s="259"/>
    </row>
    <row r="79" customFormat="false" ht="11.25" hidden="false" customHeight="false" outlineLevel="0" collapsed="false">
      <c r="B79" s="259"/>
      <c r="C79" s="259"/>
      <c r="D79" s="259"/>
      <c r="E79" s="259"/>
      <c r="F79" s="259"/>
      <c r="G79" s="259"/>
      <c r="H79" s="259"/>
      <c r="I79" s="259"/>
      <c r="J79" s="259"/>
    </row>
    <row r="80" customFormat="false" ht="11.25" hidden="false" customHeight="false" outlineLevel="0" collapsed="false">
      <c r="B80" s="259"/>
      <c r="C80" s="259"/>
      <c r="D80" s="259"/>
      <c r="E80" s="259"/>
      <c r="F80" s="259"/>
      <c r="G80" s="259"/>
      <c r="H80" s="259"/>
      <c r="I80" s="259"/>
      <c r="J80" s="259"/>
    </row>
  </sheetData>
  <mergeCells count="14">
    <mergeCell ref="A1:H1"/>
    <mergeCell ref="I1:J1"/>
    <mergeCell ref="I2:J2"/>
    <mergeCell ref="A3:A7"/>
    <mergeCell ref="B3:B6"/>
    <mergeCell ref="C3:G3"/>
    <mergeCell ref="H3:H6"/>
    <mergeCell ref="I3:I6"/>
    <mergeCell ref="J3:J6"/>
    <mergeCell ref="C4:C6"/>
    <mergeCell ref="D4:D6"/>
    <mergeCell ref="E4:E6"/>
    <mergeCell ref="F4:F6"/>
    <mergeCell ref="G4:G6"/>
  </mergeCells>
  <conditionalFormatting sqref="G17:G27 B8:J12 A8:A16">
    <cfRule type="expression" priority="2" aboveAverage="0" equalAverage="0" bottom="0" percent="0" rank="0" text="" dxfId="4">
      <formula>MOD(ROW(),2)=1</formula>
    </cfRule>
    <cfRule type="expression" priority="3" aboveAverage="0" equalAverage="0" bottom="0" percent="0" rank="0" text="" dxfId="0">
      <formula>MOD(ROW(),2)=1</formula>
    </cfRule>
  </conditionalFormatting>
  <conditionalFormatting sqref="A14:A16">
    <cfRule type="expression" priority="4" aboveAverage="0" equalAverage="0" bottom="0" percent="0" rank="0" text="" dxfId="0">
      <formula>MOD(row,0)=0</formula>
    </cfRule>
  </conditionalFormatting>
  <conditionalFormatting sqref="A14:A16">
    <cfRule type="expression" priority="5" aboveAverage="0" equalAverage="0" bottom="0" percent="0" rank="0" text="" dxfId="0">
      <formula>MOD((((#ref!))),0)=0</formula>
    </cfRule>
  </conditionalFormatting>
  <conditionalFormatting sqref="A15:A16">
    <cfRule type="expression" priority="6" aboveAverage="0" equalAverage="0" bottom="0" percent="0" rank="0" text="" dxfId="5">
      <formula>MOD(ROW(),2)=1</formula>
    </cfRule>
  </conditionalFormatting>
  <conditionalFormatting sqref="A15:A16">
    <cfRule type="expression" priority="7" aboveAverage="0" equalAverage="0" bottom="0" percent="0" rank="0" text="" dxfId="0">
      <formula>MOD((((#ref!))),0)=0</formula>
    </cfRule>
  </conditionalFormatting>
  <printOptions headings="false" gridLines="false" gridLinesSet="true" horizontalCentered="false" verticalCentered="false"/>
  <pageMargins left="0.590277777777778" right="0.511805555555555" top="0.511805555555555" bottom="0.511805555555556" header="0.511805555555555" footer="0.354166666666667"/>
  <pageSetup paperSize="1" scale="100" firstPageNumber="17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>&amp;C&amp;"Times New Roman,Regular"&amp;8&amp;P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8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1" ySplit="7" topLeftCell="E27" activePane="bottomRight" state="frozen"/>
      <selection pane="topLeft" activeCell="A1" activeCellId="0" sqref="A1"/>
      <selection pane="topRight" activeCell="E1" activeCellId="0" sqref="E1"/>
      <selection pane="bottomLeft" activeCell="A27" activeCellId="0" sqref="A27"/>
      <selection pane="bottomRight" activeCell="V57" activeCellId="0" sqref="V57"/>
    </sheetView>
  </sheetViews>
  <sheetFormatPr defaultColWidth="9.15625" defaultRowHeight="11.25" zeroHeight="false" outlineLevelRow="0" outlineLevelCol="0"/>
  <cols>
    <col collapsed="false" customWidth="true" hidden="false" outlineLevel="0" max="1" min="1" style="436" width="8.42"/>
    <col collapsed="false" customWidth="true" hidden="false" outlineLevel="0" max="2" min="2" style="222" width="6.71"/>
    <col collapsed="false" customWidth="true" hidden="false" outlineLevel="0" max="3" min="3" style="222" width="5.86"/>
    <col collapsed="false" customWidth="true" hidden="false" outlineLevel="0" max="4" min="4" style="222" width="6.86"/>
    <col collapsed="false" customWidth="true" hidden="false" outlineLevel="0" max="5" min="5" style="222" width="7.29"/>
    <col collapsed="false" customWidth="true" hidden="false" outlineLevel="0" max="6" min="6" style="222" width="6.86"/>
    <col collapsed="false" customWidth="true" hidden="false" outlineLevel="0" max="7" min="7" style="222" width="5.7"/>
    <col collapsed="false" customWidth="true" hidden="false" outlineLevel="0" max="8" min="8" style="222" width="7.57"/>
    <col collapsed="false" customWidth="true" hidden="false" outlineLevel="0" max="9" min="9" style="148" width="7"/>
    <col collapsed="false" customWidth="true" hidden="false" outlineLevel="0" max="10" min="10" style="222" width="6.57"/>
    <col collapsed="false" customWidth="true" hidden="false" outlineLevel="0" max="11" min="11" style="222" width="5.43"/>
    <col collapsed="false" customWidth="true" hidden="false" outlineLevel="0" max="12" min="12" style="222" width="6.28"/>
    <col collapsed="false" customWidth="true" hidden="false" outlineLevel="0" max="13" min="13" style="222" width="8.42"/>
    <col collapsed="false" customWidth="true" hidden="false" outlineLevel="0" max="14" min="14" style="222" width="8.29"/>
    <col collapsed="false" customWidth="true" hidden="false" outlineLevel="0" max="15" min="15" style="222" width="8.86"/>
    <col collapsed="false" customWidth="true" hidden="false" outlineLevel="0" max="16" min="16" style="222" width="9.58"/>
    <col collapsed="false" customWidth="true" hidden="false" outlineLevel="0" max="17" min="17" style="222" width="9.85"/>
    <col collapsed="false" customWidth="true" hidden="false" outlineLevel="0" max="18" min="18" style="222" width="10.29"/>
    <col collapsed="false" customWidth="true" hidden="false" outlineLevel="0" max="19" min="19" style="222" width="9.85"/>
    <col collapsed="false" customWidth="false" hidden="false" outlineLevel="0" max="20" min="20" style="436" width="9.14"/>
    <col collapsed="false" customWidth="true" hidden="false" outlineLevel="0" max="21" min="21" style="222" width="9.71"/>
    <col collapsed="false" customWidth="false" hidden="false" outlineLevel="0" max="1024" min="22" style="222" width="9.14"/>
  </cols>
  <sheetData>
    <row r="1" s="437" customFormat="true" ht="16.5" hidden="false" customHeight="true" outlineLevel="0" collapsed="false">
      <c r="B1" s="438"/>
      <c r="C1" s="438"/>
      <c r="D1" s="438"/>
      <c r="E1" s="438"/>
      <c r="F1" s="438"/>
      <c r="G1" s="438"/>
      <c r="H1" s="438"/>
      <c r="I1" s="439"/>
      <c r="J1" s="440" t="s">
        <v>376</v>
      </c>
      <c r="K1" s="440"/>
      <c r="L1" s="440"/>
      <c r="M1" s="441" t="s">
        <v>377</v>
      </c>
      <c r="N1" s="441"/>
      <c r="O1" s="442"/>
      <c r="P1" s="442"/>
      <c r="Q1" s="442"/>
      <c r="R1" s="442"/>
      <c r="S1" s="440" t="s">
        <v>378</v>
      </c>
      <c r="T1" s="440"/>
    </row>
    <row r="2" customFormat="false" ht="12" hidden="false" customHeight="true" outlineLevel="0" collapsed="false">
      <c r="B2" s="443"/>
      <c r="C2" s="443"/>
      <c r="D2" s="443"/>
      <c r="E2" s="443"/>
      <c r="F2" s="443"/>
      <c r="G2" s="443"/>
      <c r="L2" s="443"/>
      <c r="M2" s="443"/>
      <c r="N2" s="444"/>
      <c r="O2" s="443"/>
      <c r="P2" s="443"/>
      <c r="Q2" s="443"/>
      <c r="R2" s="443"/>
      <c r="S2" s="445" t="s">
        <v>110</v>
      </c>
      <c r="T2" s="445"/>
    </row>
    <row r="3" s="452" customFormat="true" ht="12.75" hidden="false" customHeight="true" outlineLevel="0" collapsed="false">
      <c r="A3" s="446" t="s">
        <v>379</v>
      </c>
      <c r="B3" s="447" t="s">
        <v>307</v>
      </c>
      <c r="C3" s="447"/>
      <c r="D3" s="447"/>
      <c r="E3" s="447"/>
      <c r="F3" s="448" t="s">
        <v>380</v>
      </c>
      <c r="G3" s="448"/>
      <c r="H3" s="448"/>
      <c r="I3" s="448"/>
      <c r="J3" s="448"/>
      <c r="K3" s="448"/>
      <c r="L3" s="448"/>
      <c r="M3" s="449" t="s">
        <v>309</v>
      </c>
      <c r="N3" s="449"/>
      <c r="O3" s="449"/>
      <c r="P3" s="450"/>
      <c r="Q3" s="451" t="s">
        <v>381</v>
      </c>
      <c r="R3" s="451" t="s">
        <v>382</v>
      </c>
      <c r="S3" s="446" t="s">
        <v>383</v>
      </c>
      <c r="T3" s="451" t="s">
        <v>384</v>
      </c>
    </row>
    <row r="4" s="455" customFormat="true" ht="15" hidden="false" customHeight="true" outlineLevel="0" collapsed="false">
      <c r="A4" s="446"/>
      <c r="B4" s="451" t="s">
        <v>385</v>
      </c>
      <c r="C4" s="453" t="s">
        <v>386</v>
      </c>
      <c r="D4" s="451" t="s">
        <v>387</v>
      </c>
      <c r="E4" s="451" t="s">
        <v>388</v>
      </c>
      <c r="F4" s="454" t="s">
        <v>389</v>
      </c>
      <c r="G4" s="454"/>
      <c r="H4" s="454"/>
      <c r="I4" s="454"/>
      <c r="J4" s="454"/>
      <c r="K4" s="454"/>
      <c r="L4" s="454"/>
      <c r="M4" s="447" t="s">
        <v>372</v>
      </c>
      <c r="N4" s="447"/>
      <c r="O4" s="447"/>
      <c r="P4" s="451" t="s">
        <v>390</v>
      </c>
      <c r="Q4" s="451"/>
      <c r="R4" s="451"/>
      <c r="S4" s="446"/>
      <c r="T4" s="451"/>
    </row>
    <row r="5" s="455" customFormat="true" ht="15" hidden="false" customHeight="true" outlineLevel="0" collapsed="false">
      <c r="A5" s="446"/>
      <c r="B5" s="451"/>
      <c r="C5" s="453"/>
      <c r="D5" s="451"/>
      <c r="E5" s="451"/>
      <c r="F5" s="447" t="s">
        <v>391</v>
      </c>
      <c r="G5" s="447"/>
      <c r="H5" s="447"/>
      <c r="I5" s="447"/>
      <c r="J5" s="447" t="s">
        <v>371</v>
      </c>
      <c r="K5" s="447"/>
      <c r="L5" s="447"/>
      <c r="M5" s="451" t="s">
        <v>392</v>
      </c>
      <c r="N5" s="451" t="s">
        <v>386</v>
      </c>
      <c r="O5" s="451" t="s">
        <v>393</v>
      </c>
      <c r="P5" s="451"/>
      <c r="Q5" s="451"/>
      <c r="R5" s="451"/>
      <c r="S5" s="446"/>
      <c r="T5" s="451"/>
    </row>
    <row r="6" s="455" customFormat="true" ht="34.5" hidden="false" customHeight="true" outlineLevel="0" collapsed="false">
      <c r="A6" s="446"/>
      <c r="B6" s="451"/>
      <c r="C6" s="453"/>
      <c r="D6" s="451"/>
      <c r="E6" s="451"/>
      <c r="F6" s="451" t="s">
        <v>394</v>
      </c>
      <c r="G6" s="456" t="s">
        <v>386</v>
      </c>
      <c r="H6" s="451" t="s">
        <v>395</v>
      </c>
      <c r="I6" s="451" t="s">
        <v>396</v>
      </c>
      <c r="J6" s="451" t="s">
        <v>394</v>
      </c>
      <c r="K6" s="457" t="s">
        <v>386</v>
      </c>
      <c r="L6" s="451" t="s">
        <v>397</v>
      </c>
      <c r="M6" s="451"/>
      <c r="N6" s="451"/>
      <c r="O6" s="451"/>
      <c r="P6" s="451"/>
      <c r="Q6" s="451"/>
      <c r="R6" s="451"/>
      <c r="S6" s="446"/>
      <c r="T6" s="451"/>
    </row>
    <row r="7" s="460" customFormat="true" ht="10.5" hidden="false" customHeight="false" outlineLevel="0" collapsed="false">
      <c r="A7" s="446"/>
      <c r="B7" s="458" t="n">
        <v>1</v>
      </c>
      <c r="C7" s="458" t="n">
        <v>2</v>
      </c>
      <c r="D7" s="458" t="n">
        <v>3</v>
      </c>
      <c r="E7" s="458" t="n">
        <v>4</v>
      </c>
      <c r="F7" s="458" t="n">
        <v>5</v>
      </c>
      <c r="G7" s="458" t="n">
        <v>6</v>
      </c>
      <c r="H7" s="458" t="n">
        <v>7</v>
      </c>
      <c r="I7" s="458" t="n">
        <v>8</v>
      </c>
      <c r="J7" s="458" t="n">
        <v>9</v>
      </c>
      <c r="K7" s="458" t="n">
        <v>10</v>
      </c>
      <c r="L7" s="458" t="n">
        <v>11</v>
      </c>
      <c r="M7" s="458" t="n">
        <v>12</v>
      </c>
      <c r="N7" s="458" t="n">
        <v>13</v>
      </c>
      <c r="O7" s="458" t="n">
        <v>14</v>
      </c>
      <c r="P7" s="458" t="n">
        <v>15</v>
      </c>
      <c r="Q7" s="458" t="n">
        <v>16</v>
      </c>
      <c r="R7" s="458" t="n">
        <v>17</v>
      </c>
      <c r="S7" s="459" t="n">
        <v>18</v>
      </c>
      <c r="T7" s="451"/>
    </row>
    <row r="8" customFormat="false" ht="10.35" hidden="false" customHeight="true" outlineLevel="0" collapsed="false">
      <c r="A8" s="461" t="s">
        <v>203</v>
      </c>
      <c r="B8" s="358" t="n">
        <v>67049.8</v>
      </c>
      <c r="C8" s="358" t="n">
        <v>-221.7</v>
      </c>
      <c r="D8" s="358" t="n">
        <v>-5768.2</v>
      </c>
      <c r="E8" s="358" t="n">
        <v>61059.9</v>
      </c>
      <c r="F8" s="462" t="n">
        <v>54225</v>
      </c>
      <c r="G8" s="358" t="n">
        <v>175.5</v>
      </c>
      <c r="H8" s="358" t="n">
        <v>61381.4</v>
      </c>
      <c r="I8" s="358" t="n">
        <f aca="false">F8+G8+H8</f>
        <v>115781.9</v>
      </c>
      <c r="J8" s="462" t="n">
        <v>12762.9</v>
      </c>
      <c r="K8" s="358" t="n">
        <v>93.8</v>
      </c>
      <c r="L8" s="358" t="n">
        <f aca="false">J8+K8</f>
        <v>12856.7</v>
      </c>
      <c r="M8" s="358" t="n">
        <v>261852</v>
      </c>
      <c r="N8" s="358" t="n">
        <v>23541.3</v>
      </c>
      <c r="O8" s="358" t="n">
        <v>285393.3</v>
      </c>
      <c r="P8" s="358" t="n">
        <f aca="false">I8+L8+O8</f>
        <v>414031.9</v>
      </c>
      <c r="Q8" s="392" t="n">
        <v>-45754.6</v>
      </c>
      <c r="R8" s="358" t="n">
        <f aca="false">P8+Q8</f>
        <v>368277.3</v>
      </c>
      <c r="S8" s="358" t="n">
        <f aca="false">E8+R8</f>
        <v>429337.2</v>
      </c>
      <c r="T8" s="463" t="s">
        <v>203</v>
      </c>
      <c r="U8" s="259"/>
      <c r="V8" s="259"/>
      <c r="W8" s="259"/>
      <c r="X8" s="259"/>
    </row>
    <row r="9" customFormat="false" ht="10.35" hidden="false" customHeight="true" outlineLevel="0" collapsed="false">
      <c r="A9" s="464" t="s">
        <v>205</v>
      </c>
      <c r="B9" s="355" t="n">
        <v>70573.4</v>
      </c>
      <c r="C9" s="355" t="n">
        <v>-404.7</v>
      </c>
      <c r="D9" s="355" t="n">
        <v>-6049.4</v>
      </c>
      <c r="E9" s="355" t="n">
        <v>64119.3</v>
      </c>
      <c r="F9" s="465" t="n">
        <v>73200.6</v>
      </c>
      <c r="G9" s="355" t="n">
        <v>372.6</v>
      </c>
      <c r="H9" s="355" t="n">
        <v>63438.3</v>
      </c>
      <c r="I9" s="355" t="n">
        <f aca="false">F9+G9+H9</f>
        <v>137011.5</v>
      </c>
      <c r="J9" s="465" t="n">
        <v>16901.4</v>
      </c>
      <c r="K9" s="355" t="n">
        <v>108</v>
      </c>
      <c r="L9" s="355" t="n">
        <f aca="false">J9+K9</f>
        <v>17009.4</v>
      </c>
      <c r="M9" s="355" t="n">
        <v>332161.3</v>
      </c>
      <c r="N9" s="355" t="n">
        <v>27348.5</v>
      </c>
      <c r="O9" s="355" t="n">
        <v>359509.8</v>
      </c>
      <c r="P9" s="355" t="n">
        <f aca="false">I9+L9+O9</f>
        <v>513530.7</v>
      </c>
      <c r="Q9" s="390" t="n">
        <v>-67193.6</v>
      </c>
      <c r="R9" s="355" t="n">
        <f aca="false">P9+Q9</f>
        <v>446337.1</v>
      </c>
      <c r="S9" s="355" t="n">
        <f aca="false">E9+R9</f>
        <v>510456.4</v>
      </c>
      <c r="T9" s="466" t="s">
        <v>205</v>
      </c>
      <c r="U9" s="259"/>
      <c r="V9" s="259"/>
      <c r="W9" s="259"/>
      <c r="X9" s="259"/>
    </row>
    <row r="10" customFormat="false" ht="10.35" hidden="false" customHeight="true" outlineLevel="0" collapsed="false">
      <c r="A10" s="461" t="s">
        <v>282</v>
      </c>
      <c r="B10" s="358" t="n">
        <v>78818.7</v>
      </c>
      <c r="C10" s="358" t="n">
        <v>-378.5</v>
      </c>
      <c r="D10" s="358" t="n">
        <v>-6273.8</v>
      </c>
      <c r="E10" s="358" t="n">
        <v>72166.4</v>
      </c>
      <c r="F10" s="467" t="n">
        <v>91700.5</v>
      </c>
      <c r="G10" s="358" t="n">
        <v>261.9</v>
      </c>
      <c r="H10" s="358" t="n">
        <v>63861.3</v>
      </c>
      <c r="I10" s="358" t="n">
        <f aca="false">F10+G10+H10</f>
        <v>155823.7</v>
      </c>
      <c r="J10" s="467" t="n">
        <v>15284.1</v>
      </c>
      <c r="K10" s="358" t="n">
        <v>46</v>
      </c>
      <c r="L10" s="358" t="n">
        <f aca="false">J10+K10</f>
        <v>15330.1</v>
      </c>
      <c r="M10" s="358" t="n">
        <v>398311.5</v>
      </c>
      <c r="N10" s="358" t="n">
        <v>31174.9</v>
      </c>
      <c r="O10" s="358" t="n">
        <v>429486.4</v>
      </c>
      <c r="P10" s="358" t="n">
        <f aca="false">I10+L10+O10</f>
        <v>600640.2</v>
      </c>
      <c r="Q10" s="392" t="n">
        <v>-82966.2000000001</v>
      </c>
      <c r="R10" s="358" t="n">
        <f aca="false">P10+Q10</f>
        <v>517674</v>
      </c>
      <c r="S10" s="358" t="n">
        <f aca="false">E10+R10</f>
        <v>589840.4</v>
      </c>
      <c r="T10" s="463" t="s">
        <v>282</v>
      </c>
      <c r="U10" s="259"/>
      <c r="V10" s="259"/>
      <c r="W10" s="259"/>
      <c r="X10" s="259"/>
    </row>
    <row r="11" customFormat="false" ht="10.35" hidden="false" customHeight="true" outlineLevel="0" collapsed="false">
      <c r="A11" s="464" t="s">
        <v>207</v>
      </c>
      <c r="B11" s="355" t="n">
        <v>113250.1</v>
      </c>
      <c r="C11" s="355" t="n">
        <v>-344.5</v>
      </c>
      <c r="D11" s="355" t="n">
        <v>-6493.8</v>
      </c>
      <c r="E11" s="355" t="n">
        <v>106411.8</v>
      </c>
      <c r="F11" s="468" t="n">
        <v>110094.5</v>
      </c>
      <c r="G11" s="355" t="n">
        <v>249.7</v>
      </c>
      <c r="H11" s="355" t="n">
        <v>64634.2</v>
      </c>
      <c r="I11" s="355" t="n">
        <v>174978.4</v>
      </c>
      <c r="J11" s="468" t="n">
        <v>9376.8</v>
      </c>
      <c r="K11" s="355" t="n">
        <v>43.7</v>
      </c>
      <c r="L11" s="355" t="n">
        <v>9420.5</v>
      </c>
      <c r="M11" s="355" t="n">
        <v>440915.1</v>
      </c>
      <c r="N11" s="355" t="n">
        <v>36526.8</v>
      </c>
      <c r="O11" s="355" t="n">
        <v>477441.9</v>
      </c>
      <c r="P11" s="355" t="n">
        <v>661840.8</v>
      </c>
      <c r="Q11" s="390" t="n">
        <v>-88069.7</v>
      </c>
      <c r="R11" s="355" t="n">
        <v>573771.1</v>
      </c>
      <c r="S11" s="355" t="n">
        <v>680182.9</v>
      </c>
      <c r="T11" s="466" t="s">
        <v>207</v>
      </c>
      <c r="U11" s="259"/>
      <c r="V11" s="259"/>
      <c r="W11" s="259"/>
      <c r="X11" s="259"/>
    </row>
    <row r="12" s="207" customFormat="true" ht="10.35" hidden="false" customHeight="true" outlineLevel="0" collapsed="false">
      <c r="A12" s="469" t="s">
        <v>208</v>
      </c>
      <c r="B12" s="178" t="n">
        <v>160056.6</v>
      </c>
      <c r="C12" s="178" t="n">
        <v>-318.9</v>
      </c>
      <c r="D12" s="178" t="n">
        <v>-6695</v>
      </c>
      <c r="E12" s="178" t="n">
        <v>153042.7</v>
      </c>
      <c r="F12" s="178" t="n">
        <v>117498.3</v>
      </c>
      <c r="G12" s="178" t="n">
        <v>266.9</v>
      </c>
      <c r="H12" s="178" t="n">
        <v>76341.3</v>
      </c>
      <c r="I12" s="178" t="n">
        <v>194106.5</v>
      </c>
      <c r="J12" s="178" t="n">
        <v>12612.9</v>
      </c>
      <c r="K12" s="178" t="n">
        <v>40.6</v>
      </c>
      <c r="L12" s="178" t="n">
        <v>12653.5</v>
      </c>
      <c r="M12" s="178" t="n">
        <v>493936.5</v>
      </c>
      <c r="N12" s="178" t="n">
        <v>43834.8</v>
      </c>
      <c r="O12" s="178" t="n">
        <v>537771.3</v>
      </c>
      <c r="P12" s="178" t="n">
        <v>744531.3</v>
      </c>
      <c r="Q12" s="392" t="n">
        <v>-105128.7</v>
      </c>
      <c r="R12" s="178" t="n">
        <v>639402.6</v>
      </c>
      <c r="S12" s="178" t="n">
        <v>792445.3</v>
      </c>
      <c r="T12" s="470" t="s">
        <v>208</v>
      </c>
    </row>
    <row r="13" s="184" customFormat="true" ht="10.35" hidden="false" customHeight="true" outlineLevel="0" collapsed="false">
      <c r="A13" s="471" t="s">
        <v>209</v>
      </c>
      <c r="B13" s="216" t="n">
        <v>189228.8</v>
      </c>
      <c r="C13" s="216" t="n">
        <v>-274.1</v>
      </c>
      <c r="D13" s="216" t="n">
        <v>-7257.5</v>
      </c>
      <c r="E13" s="216" t="n">
        <v>181697.2</v>
      </c>
      <c r="F13" s="216" t="n">
        <v>110224.8</v>
      </c>
      <c r="G13" s="216" t="n">
        <v>183.4</v>
      </c>
      <c r="H13" s="216" t="n">
        <v>105074</v>
      </c>
      <c r="I13" s="216" t="n">
        <v>215482.2</v>
      </c>
      <c r="J13" s="216" t="n">
        <v>16448.8</v>
      </c>
      <c r="K13" s="216" t="n">
        <v>80.3</v>
      </c>
      <c r="L13" s="216" t="n">
        <v>16529.1</v>
      </c>
      <c r="M13" s="216" t="n">
        <v>557021.8</v>
      </c>
      <c r="N13" s="216" t="n">
        <v>50121.5</v>
      </c>
      <c r="O13" s="216" t="n">
        <v>607143.3</v>
      </c>
      <c r="P13" s="216" t="n">
        <v>839154.6</v>
      </c>
      <c r="Q13" s="216" t="n">
        <v>-110802.8</v>
      </c>
      <c r="R13" s="216" t="n">
        <v>728351.8</v>
      </c>
      <c r="S13" s="216" t="n">
        <v>910049</v>
      </c>
      <c r="T13" s="472" t="s">
        <v>209</v>
      </c>
      <c r="U13" s="186"/>
    </row>
    <row r="14" s="184" customFormat="true" ht="10.35" hidden="false" customHeight="true" outlineLevel="0" collapsed="false">
      <c r="A14" s="473" t="s">
        <v>211</v>
      </c>
      <c r="B14" s="217" t="n">
        <v>233135.6</v>
      </c>
      <c r="C14" s="217" t="n">
        <v>-83</v>
      </c>
      <c r="D14" s="217" t="n">
        <v>-8475.2</v>
      </c>
      <c r="E14" s="217" t="n">
        <v>224577.4</v>
      </c>
      <c r="F14" s="217" t="n">
        <v>114189.1</v>
      </c>
      <c r="G14" s="217" t="n">
        <v>-89.1</v>
      </c>
      <c r="H14" s="217" t="n">
        <v>138762.6</v>
      </c>
      <c r="I14" s="217" t="n">
        <v>252862.6</v>
      </c>
      <c r="J14" s="217" t="n">
        <v>15573</v>
      </c>
      <c r="K14" s="217" t="n">
        <v>108.3</v>
      </c>
      <c r="L14" s="217" t="n">
        <v>15681.3</v>
      </c>
      <c r="M14" s="217" t="n">
        <v>650644</v>
      </c>
      <c r="N14" s="217" t="n">
        <v>60778.8</v>
      </c>
      <c r="O14" s="217" t="n">
        <v>711422.8</v>
      </c>
      <c r="P14" s="217" t="n">
        <v>979966.7</v>
      </c>
      <c r="Q14" s="217" t="n">
        <v>-127800.9</v>
      </c>
      <c r="R14" s="217" t="n">
        <v>852165.8</v>
      </c>
      <c r="S14" s="217" t="n">
        <v>1076743.2</v>
      </c>
      <c r="T14" s="474" t="s">
        <v>211</v>
      </c>
      <c r="U14" s="186"/>
    </row>
    <row r="15" s="184" customFormat="true" ht="10.35" hidden="false" customHeight="true" outlineLevel="0" collapsed="false">
      <c r="A15" s="475" t="s">
        <v>212</v>
      </c>
      <c r="B15" s="476" t="n">
        <v>266697</v>
      </c>
      <c r="C15" s="476" t="n">
        <v>-46.6</v>
      </c>
      <c r="D15" s="476" t="n">
        <v>-9534.1</v>
      </c>
      <c r="E15" s="476" t="n">
        <v>257116.3</v>
      </c>
      <c r="F15" s="476" t="n">
        <v>97307.6</v>
      </c>
      <c r="G15" s="476" t="n">
        <v>-108.6</v>
      </c>
      <c r="H15" s="476" t="n">
        <v>191178.6</v>
      </c>
      <c r="I15" s="476" t="n">
        <v>288377.6</v>
      </c>
      <c r="J15" s="476" t="n">
        <v>16744.2</v>
      </c>
      <c r="K15" s="476" t="n">
        <v>142.6</v>
      </c>
      <c r="L15" s="476" t="n">
        <v>16886.8</v>
      </c>
      <c r="M15" s="476" t="n">
        <v>752988.8</v>
      </c>
      <c r="N15" s="476" t="n">
        <v>71394.7</v>
      </c>
      <c r="O15" s="476" t="n">
        <v>824383.5</v>
      </c>
      <c r="P15" s="476" t="n">
        <v>1129647.9</v>
      </c>
      <c r="Q15" s="476" t="n">
        <v>-153298.7</v>
      </c>
      <c r="R15" s="476" t="n">
        <v>976349.2</v>
      </c>
      <c r="S15" s="476" t="n">
        <v>1233465.5</v>
      </c>
      <c r="T15" s="477" t="s">
        <v>212</v>
      </c>
      <c r="U15" s="186"/>
    </row>
    <row r="16" s="184" customFormat="true" ht="10.35" hidden="false" customHeight="true" outlineLevel="0" collapsed="false">
      <c r="A16" s="478" t="s">
        <v>213</v>
      </c>
      <c r="B16" s="479" t="n">
        <f aca="false">B28</f>
        <v>264674.5</v>
      </c>
      <c r="C16" s="479" t="n">
        <f aca="false">C28</f>
        <v>-20.5</v>
      </c>
      <c r="D16" s="479" t="n">
        <f aca="false">D28</f>
        <v>-11436.5</v>
      </c>
      <c r="E16" s="479" t="n">
        <f aca="false">E28</f>
        <v>253217.5</v>
      </c>
      <c r="F16" s="479" t="n">
        <f aca="false">F28</f>
        <v>94869.6</v>
      </c>
      <c r="G16" s="479" t="n">
        <f aca="false">G28</f>
        <v>-3111.6</v>
      </c>
      <c r="H16" s="479" t="n">
        <f aca="false">H28</f>
        <v>237765</v>
      </c>
      <c r="I16" s="479" t="n">
        <f aca="false">I28</f>
        <v>329523</v>
      </c>
      <c r="J16" s="479" t="n">
        <f aca="false">J28</f>
        <v>11337.8</v>
      </c>
      <c r="K16" s="479" t="n">
        <f aca="false">K28</f>
        <v>787.8</v>
      </c>
      <c r="L16" s="479" t="n">
        <f aca="false">L28</f>
        <v>12125.6</v>
      </c>
      <c r="M16" s="479" t="n">
        <f aca="false">M28</f>
        <v>880749.5</v>
      </c>
      <c r="N16" s="479" t="n">
        <f aca="false">N28</f>
        <v>89467</v>
      </c>
      <c r="O16" s="479" t="n">
        <f aca="false">O28</f>
        <v>970216.5</v>
      </c>
      <c r="P16" s="479" t="n">
        <f aca="false">P28</f>
        <v>1311865.1</v>
      </c>
      <c r="Q16" s="479" t="n">
        <f aca="false">Q28</f>
        <v>-191334.1</v>
      </c>
      <c r="R16" s="479" t="n">
        <f aca="false">R28</f>
        <v>1120531</v>
      </c>
      <c r="S16" s="479" t="n">
        <f aca="false">S28</f>
        <v>1373748.5</v>
      </c>
      <c r="T16" s="480" t="s">
        <v>213</v>
      </c>
      <c r="U16" s="186"/>
    </row>
    <row r="17" s="184" customFormat="true" ht="10.35" hidden="false" customHeight="true" outlineLevel="0" collapsed="false">
      <c r="A17" s="287" t="s">
        <v>214</v>
      </c>
      <c r="B17" s="216" t="n">
        <f aca="false">251647.8+13105.2</f>
        <v>264753</v>
      </c>
      <c r="C17" s="216" t="n">
        <v>-46.6</v>
      </c>
      <c r="D17" s="192" t="n">
        <v>-9696.6</v>
      </c>
      <c r="E17" s="192" t="n">
        <f aca="false">D17+C17+B17</f>
        <v>255009.8</v>
      </c>
      <c r="F17" s="216" t="n">
        <f aca="false">3564.5+91185.5</f>
        <v>94750</v>
      </c>
      <c r="G17" s="216" t="n">
        <v>-3639.4</v>
      </c>
      <c r="H17" s="192" t="n">
        <v>196288.2</v>
      </c>
      <c r="I17" s="192" t="n">
        <f aca="false">H17+G17+F17</f>
        <v>287398.8</v>
      </c>
      <c r="J17" s="216" t="n">
        <f aca="false">1896.1+10824.6</f>
        <v>12720.7</v>
      </c>
      <c r="K17" s="216" t="n">
        <v>2750.5</v>
      </c>
      <c r="L17" s="216" t="n">
        <f aca="false">J17+K17</f>
        <v>15471.2</v>
      </c>
      <c r="M17" s="216" t="n">
        <f aca="false">3779.9+750500.2</f>
        <v>754280.1</v>
      </c>
      <c r="N17" s="216" t="n">
        <v>81145.9</v>
      </c>
      <c r="O17" s="216" t="n">
        <f aca="false">M17+N17</f>
        <v>835426</v>
      </c>
      <c r="P17" s="216" t="n">
        <f aca="false">I17+L17+O17</f>
        <v>1138296</v>
      </c>
      <c r="Q17" s="216" t="n">
        <v>-160761.3</v>
      </c>
      <c r="R17" s="216" t="n">
        <f aca="false">P17+Q17</f>
        <v>977534.7</v>
      </c>
      <c r="S17" s="216" t="n">
        <f aca="false">E17+R17</f>
        <v>1232544.5</v>
      </c>
      <c r="T17" s="290" t="s">
        <v>214</v>
      </c>
      <c r="U17" s="186"/>
    </row>
    <row r="18" s="184" customFormat="true" ht="10.35" hidden="false" customHeight="true" outlineLevel="0" collapsed="false">
      <c r="A18" s="291" t="s">
        <v>215</v>
      </c>
      <c r="B18" s="217" t="n">
        <f aca="false">251630.1+14305.2</f>
        <v>265935.3</v>
      </c>
      <c r="C18" s="217" t="n">
        <v>-46.6</v>
      </c>
      <c r="D18" s="186" t="n">
        <v>-9897.9</v>
      </c>
      <c r="E18" s="186" t="n">
        <f aca="false">D18+C18+B18</f>
        <v>255990.8</v>
      </c>
      <c r="F18" s="217" t="n">
        <f aca="false">14699.8+86562.5</f>
        <v>101262.3</v>
      </c>
      <c r="G18" s="217" t="n">
        <v>-3621.7</v>
      </c>
      <c r="H18" s="186" t="n">
        <v>200263.3</v>
      </c>
      <c r="I18" s="186" t="n">
        <f aca="false">H18+G18+F18</f>
        <v>297903.9</v>
      </c>
      <c r="J18" s="217" t="n">
        <f aca="false">1597.8+8651.9</f>
        <v>10249.7</v>
      </c>
      <c r="K18" s="217" t="n">
        <v>2750.4</v>
      </c>
      <c r="L18" s="217" t="n">
        <f aca="false">J18+K18</f>
        <v>13000.1</v>
      </c>
      <c r="M18" s="217" t="n">
        <f aca="false">3710.4+763670.1</f>
        <v>767380.5</v>
      </c>
      <c r="N18" s="217" t="n">
        <v>82397.2</v>
      </c>
      <c r="O18" s="217" t="n">
        <f aca="false">M18+N18</f>
        <v>849777.7</v>
      </c>
      <c r="P18" s="217" t="n">
        <f aca="false">I18+L18+O18</f>
        <v>1160681.7</v>
      </c>
      <c r="Q18" s="217" t="n">
        <v>-159571.9</v>
      </c>
      <c r="R18" s="217" t="n">
        <f aca="false">P18+Q18</f>
        <v>1001109.8</v>
      </c>
      <c r="S18" s="217" t="n">
        <f aca="false">E18+R18</f>
        <v>1257100.6</v>
      </c>
      <c r="T18" s="293" t="s">
        <v>215</v>
      </c>
      <c r="U18" s="186"/>
    </row>
    <row r="19" s="184" customFormat="true" ht="10.35" hidden="false" customHeight="true" outlineLevel="0" collapsed="false">
      <c r="A19" s="287" t="s">
        <v>216</v>
      </c>
      <c r="B19" s="216" t="n">
        <f aca="false">250809.7+12244.6</f>
        <v>263054.3</v>
      </c>
      <c r="C19" s="216" t="n">
        <v>-46.6</v>
      </c>
      <c r="D19" s="192" t="n">
        <v>-10073.6</v>
      </c>
      <c r="E19" s="192" t="n">
        <f aca="false">D19+C19+B19</f>
        <v>252934.1</v>
      </c>
      <c r="F19" s="216" t="n">
        <f aca="false">6694.8+87720.5</f>
        <v>94415.3</v>
      </c>
      <c r="G19" s="216" t="n">
        <v>-3317.9</v>
      </c>
      <c r="H19" s="192" t="n">
        <v>203929</v>
      </c>
      <c r="I19" s="192" t="n">
        <f aca="false">H19+G19+F19</f>
        <v>295026.4</v>
      </c>
      <c r="J19" s="216" t="n">
        <f aca="false">1599.3+8874.7</f>
        <v>10474</v>
      </c>
      <c r="K19" s="216" t="n">
        <v>817.5</v>
      </c>
      <c r="L19" s="216" t="n">
        <f aca="false">J19+K19</f>
        <v>11291.5</v>
      </c>
      <c r="M19" s="216" t="n">
        <f aca="false">3757.3+772927.3</f>
        <v>776684.6</v>
      </c>
      <c r="N19" s="216" t="n">
        <v>83969.7</v>
      </c>
      <c r="O19" s="216" t="n">
        <f aca="false">M19+N19</f>
        <v>860654.3</v>
      </c>
      <c r="P19" s="216" t="n">
        <f aca="false">I19+L19+O19</f>
        <v>1166972.2</v>
      </c>
      <c r="Q19" s="216" t="n">
        <v>-162271.4</v>
      </c>
      <c r="R19" s="216" t="n">
        <f aca="false">P19+Q19</f>
        <v>1004700.8</v>
      </c>
      <c r="S19" s="216" t="n">
        <f aca="false">E19+R19</f>
        <v>1257634.9</v>
      </c>
      <c r="T19" s="290" t="s">
        <v>216</v>
      </c>
      <c r="U19" s="186"/>
    </row>
    <row r="20" s="184" customFormat="true" ht="10.35" hidden="false" customHeight="true" outlineLevel="0" collapsed="false">
      <c r="A20" s="291" t="s">
        <v>217</v>
      </c>
      <c r="B20" s="217" t="n">
        <f aca="false">251637.5+11537.9</f>
        <v>263175.4</v>
      </c>
      <c r="C20" s="217" t="n">
        <v>-46.5</v>
      </c>
      <c r="D20" s="186" t="n">
        <v>-10206.6</v>
      </c>
      <c r="E20" s="186" t="n">
        <f aca="false">D20+C20+B20</f>
        <v>252922.3</v>
      </c>
      <c r="F20" s="217" t="n">
        <f aca="false">8497.3+83676.6</f>
        <v>92173.9</v>
      </c>
      <c r="G20" s="217" t="n">
        <v>-3336.5</v>
      </c>
      <c r="H20" s="186" t="n">
        <v>208549.3</v>
      </c>
      <c r="I20" s="186" t="n">
        <f aca="false">H20+G20+F20</f>
        <v>297386.7</v>
      </c>
      <c r="J20" s="217" t="n">
        <f aca="false">1600.7+8752.2</f>
        <v>10352.9</v>
      </c>
      <c r="K20" s="217" t="n">
        <v>810.8</v>
      </c>
      <c r="L20" s="217" t="n">
        <f aca="false">J20+K20</f>
        <v>11163.7</v>
      </c>
      <c r="M20" s="217" t="n">
        <f aca="false">3781.8+784055.8</f>
        <v>787837.6</v>
      </c>
      <c r="N20" s="217" t="n">
        <v>84920.9</v>
      </c>
      <c r="O20" s="217" t="n">
        <f aca="false">M20+N20</f>
        <v>872758.5</v>
      </c>
      <c r="P20" s="217" t="n">
        <f aca="false">I20+L20+O20</f>
        <v>1181308.9</v>
      </c>
      <c r="Q20" s="217" t="n">
        <v>-168000.7</v>
      </c>
      <c r="R20" s="217" t="n">
        <f aca="false">P20+Q20</f>
        <v>1013308.2</v>
      </c>
      <c r="S20" s="217" t="n">
        <f aca="false">E20+R20</f>
        <v>1266230.5</v>
      </c>
      <c r="T20" s="293" t="s">
        <v>217</v>
      </c>
      <c r="U20" s="186"/>
    </row>
    <row r="21" s="184" customFormat="true" ht="10.35" hidden="false" customHeight="true" outlineLevel="0" collapsed="false">
      <c r="A21" s="287" t="s">
        <v>218</v>
      </c>
      <c r="B21" s="216" t="n">
        <f aca="false">252830+9708.5</f>
        <v>262538.5</v>
      </c>
      <c r="C21" s="216" t="n">
        <v>-46.6</v>
      </c>
      <c r="D21" s="192" t="n">
        <v>-10838.1</v>
      </c>
      <c r="E21" s="192" t="n">
        <f aca="false">D21+C21+B21</f>
        <v>251653.8</v>
      </c>
      <c r="F21" s="216" t="n">
        <f aca="false">8979.1+83600.7</f>
        <v>92579.8</v>
      </c>
      <c r="G21" s="216" t="n">
        <v>-3339.7</v>
      </c>
      <c r="H21" s="192" t="n">
        <v>220197.9</v>
      </c>
      <c r="I21" s="192" t="n">
        <f aca="false">H21+G21+F21</f>
        <v>309438</v>
      </c>
      <c r="J21" s="216" t="n">
        <f aca="false">1602.3+8945</f>
        <v>10547.3</v>
      </c>
      <c r="K21" s="216" t="n">
        <v>811.8</v>
      </c>
      <c r="L21" s="216" t="n">
        <f aca="false">J21+K21</f>
        <v>11359.1</v>
      </c>
      <c r="M21" s="216" t="n">
        <f aca="false">3801.4+797666.7</f>
        <v>801468.1</v>
      </c>
      <c r="N21" s="216" t="n">
        <v>86102.9</v>
      </c>
      <c r="O21" s="216" t="n">
        <f aca="false">M21+N21</f>
        <v>887571</v>
      </c>
      <c r="P21" s="216" t="n">
        <f aca="false">I21+L21+O21</f>
        <v>1208368.1</v>
      </c>
      <c r="Q21" s="216" t="n">
        <v>-175388.1</v>
      </c>
      <c r="R21" s="216" t="n">
        <f aca="false">P21+Q21</f>
        <v>1032980</v>
      </c>
      <c r="S21" s="216" t="n">
        <f aca="false">E21+R21</f>
        <v>1284633.8</v>
      </c>
      <c r="T21" s="290" t="s">
        <v>218</v>
      </c>
      <c r="U21" s="186"/>
    </row>
    <row r="22" s="184" customFormat="true" ht="10.35" hidden="false" customHeight="true" outlineLevel="0" collapsed="false">
      <c r="A22" s="291" t="s">
        <v>219</v>
      </c>
      <c r="B22" s="217" t="n">
        <f aca="false">253497.7+10526.1</f>
        <v>264023.8</v>
      </c>
      <c r="C22" s="217" t="n">
        <v>-31.1</v>
      </c>
      <c r="D22" s="186" t="n">
        <v>-10487.9</v>
      </c>
      <c r="E22" s="186" t="n">
        <f aca="false">D22+C22+B22</f>
        <v>253504.8</v>
      </c>
      <c r="F22" s="217" t="n">
        <f aca="false">9238.6+78018.3</f>
        <v>87256.9</v>
      </c>
      <c r="G22" s="217" t="n">
        <v>-3130.6</v>
      </c>
      <c r="H22" s="186" t="n">
        <v>215058.2</v>
      </c>
      <c r="I22" s="186" t="n">
        <f aca="false">H22+G22+F22</f>
        <v>299184.5</v>
      </c>
      <c r="J22" s="217" t="n">
        <f aca="false">1604+9305.1</f>
        <v>10909.1</v>
      </c>
      <c r="K22" s="217" t="n">
        <v>823.4</v>
      </c>
      <c r="L22" s="217" t="n">
        <f aca="false">J22+K22</f>
        <v>11732.5</v>
      </c>
      <c r="M22" s="217" t="n">
        <f aca="false">3932.2+815933.3</f>
        <v>819865.5</v>
      </c>
      <c r="N22" s="217" t="n">
        <v>87357.8</v>
      </c>
      <c r="O22" s="217" t="n">
        <f aca="false">M22+N22</f>
        <v>907223.3</v>
      </c>
      <c r="P22" s="217" t="n">
        <f aca="false">I22+L22+O22</f>
        <v>1218140.3</v>
      </c>
      <c r="Q22" s="217" t="n">
        <v>-175058.3</v>
      </c>
      <c r="R22" s="217" t="n">
        <f aca="false">P22+Q22</f>
        <v>1043082</v>
      </c>
      <c r="S22" s="217" t="n">
        <f aca="false">E22+R22</f>
        <v>1296586.8</v>
      </c>
      <c r="T22" s="293" t="s">
        <v>219</v>
      </c>
      <c r="U22" s="186"/>
    </row>
    <row r="23" s="184" customFormat="true" ht="10.35" hidden="false" customHeight="true" outlineLevel="0" collapsed="false">
      <c r="A23" s="287" t="s">
        <v>220</v>
      </c>
      <c r="B23" s="216" t="n">
        <f aca="false">253560.4+9127.9</f>
        <v>262688.3</v>
      </c>
      <c r="C23" s="216" t="n">
        <v>-31</v>
      </c>
      <c r="D23" s="192" t="n">
        <v>-10838.1</v>
      </c>
      <c r="E23" s="192" t="n">
        <f aca="false">D23+C23+B23</f>
        <v>251819.2</v>
      </c>
      <c r="F23" s="216" t="n">
        <f aca="false">7367.2+73657.3</f>
        <v>81024.5</v>
      </c>
      <c r="G23" s="216" t="n">
        <v>-3139.3</v>
      </c>
      <c r="H23" s="192" t="n">
        <v>220197.9</v>
      </c>
      <c r="I23" s="192" t="n">
        <f aca="false">H23+G23+F23</f>
        <v>298083.1</v>
      </c>
      <c r="J23" s="216" t="n">
        <f aca="false">1596.2+9026.7</f>
        <v>10622.9</v>
      </c>
      <c r="K23" s="216" t="n">
        <v>805</v>
      </c>
      <c r="L23" s="216" t="n">
        <f aca="false">J23+K23</f>
        <v>11427.9</v>
      </c>
      <c r="M23" s="216" t="n">
        <f aca="false">3950.3+821288.8</f>
        <v>825239.1</v>
      </c>
      <c r="N23" s="216" t="n">
        <v>88481.3</v>
      </c>
      <c r="O23" s="216" t="n">
        <f aca="false">M23+N23</f>
        <v>913720.4</v>
      </c>
      <c r="P23" s="216" t="n">
        <f aca="false">I23+L23+O23</f>
        <v>1223231.4</v>
      </c>
      <c r="Q23" s="216" t="n">
        <v>-181826.2</v>
      </c>
      <c r="R23" s="216" t="n">
        <f aca="false">P23+Q23</f>
        <v>1041405.2</v>
      </c>
      <c r="S23" s="216" t="n">
        <f aca="false">E23+R23</f>
        <v>1293224.4</v>
      </c>
      <c r="T23" s="290" t="s">
        <v>220</v>
      </c>
      <c r="U23" s="186"/>
    </row>
    <row r="24" s="184" customFormat="true" ht="10.35" hidden="false" customHeight="true" outlineLevel="0" collapsed="false">
      <c r="A24" s="291" t="s">
        <v>221</v>
      </c>
      <c r="B24" s="217" t="n">
        <f aca="false">253570.9+8786</f>
        <v>262356.9</v>
      </c>
      <c r="C24" s="217" t="n">
        <v>-31</v>
      </c>
      <c r="D24" s="186" t="n">
        <v>-11018.1</v>
      </c>
      <c r="E24" s="186" t="n">
        <f aca="false">D24+C24+B24</f>
        <v>251307.8</v>
      </c>
      <c r="F24" s="217" t="n">
        <f aca="false">7078.4+67967.6</f>
        <v>75046</v>
      </c>
      <c r="G24" s="217" t="n">
        <v>-3141.9</v>
      </c>
      <c r="H24" s="186" t="n">
        <v>224354.4</v>
      </c>
      <c r="I24" s="186" t="n">
        <f aca="false">H24+G24+F24</f>
        <v>296258.5</v>
      </c>
      <c r="J24" s="217" t="n">
        <f aca="false">1597.8+9333.1</f>
        <v>10930.9</v>
      </c>
      <c r="K24" s="217" t="n">
        <v>817.8</v>
      </c>
      <c r="L24" s="217" t="n">
        <f aca="false">J24+K24</f>
        <v>11748.7</v>
      </c>
      <c r="M24" s="217" t="n">
        <f aca="false">3909.8+832737.9</f>
        <v>836647.7</v>
      </c>
      <c r="N24" s="217" t="n">
        <v>88864.7</v>
      </c>
      <c r="O24" s="217" t="n">
        <f aca="false">M24+N24</f>
        <v>925512.4</v>
      </c>
      <c r="P24" s="217" t="n">
        <f aca="false">I24+L24+O24</f>
        <v>1233519.6</v>
      </c>
      <c r="Q24" s="217" t="n">
        <v>-184621.5</v>
      </c>
      <c r="R24" s="217" t="n">
        <f aca="false">P24+Q24</f>
        <v>1048898.1</v>
      </c>
      <c r="S24" s="217" t="n">
        <f aca="false">E24+R24</f>
        <v>1300205.9</v>
      </c>
      <c r="T24" s="293" t="s">
        <v>221</v>
      </c>
      <c r="U24" s="186"/>
    </row>
    <row r="25" s="184" customFormat="true" ht="10.35" hidden="false" customHeight="true" outlineLevel="0" collapsed="false">
      <c r="A25" s="287" t="s">
        <v>222</v>
      </c>
      <c r="B25" s="216" t="n">
        <f aca="false">252905.8+10165.6</f>
        <v>263071.4</v>
      </c>
      <c r="C25" s="216" t="n">
        <v>-31.1</v>
      </c>
      <c r="D25" s="192" t="n">
        <v>-11069.1</v>
      </c>
      <c r="E25" s="192" t="n">
        <f aca="false">D25+C25+B25</f>
        <v>251971.2</v>
      </c>
      <c r="F25" s="216" t="n">
        <f aca="false">10068.4+64485.2</f>
        <v>74553.6</v>
      </c>
      <c r="G25" s="216" t="n">
        <v>-3133.4</v>
      </c>
      <c r="H25" s="192" t="n">
        <v>227943.7</v>
      </c>
      <c r="I25" s="192" t="n">
        <f aca="false">H25+G25+F25</f>
        <v>299363.9</v>
      </c>
      <c r="J25" s="216" t="n">
        <f aca="false">1599.4+9162.3</f>
        <v>10761.7</v>
      </c>
      <c r="K25" s="216" t="n">
        <v>814.8</v>
      </c>
      <c r="L25" s="216" t="n">
        <f aca="false">J25+K25</f>
        <v>11576.5</v>
      </c>
      <c r="M25" s="216" t="n">
        <f aca="false">3984.1+842193.5</f>
        <v>846177.6</v>
      </c>
      <c r="N25" s="216" t="n">
        <v>88558.8</v>
      </c>
      <c r="O25" s="216" t="n">
        <f aca="false">M25+N25</f>
        <v>934736.4</v>
      </c>
      <c r="P25" s="216" t="n">
        <f aca="false">I25+L25+O25</f>
        <v>1245676.8</v>
      </c>
      <c r="Q25" s="216" t="n">
        <v>-189272.8</v>
      </c>
      <c r="R25" s="216" t="n">
        <f aca="false">P25+Q25</f>
        <v>1056404</v>
      </c>
      <c r="S25" s="216" t="n">
        <f aca="false">E25+R25</f>
        <v>1308375.2</v>
      </c>
      <c r="T25" s="290" t="s">
        <v>222</v>
      </c>
      <c r="U25" s="186"/>
    </row>
    <row r="26" s="184" customFormat="true" ht="10.35" hidden="false" customHeight="true" outlineLevel="0" collapsed="false">
      <c r="A26" s="291" t="s">
        <v>223</v>
      </c>
      <c r="B26" s="217" t="n">
        <f aca="false">251317+7482.2</f>
        <v>258799.2</v>
      </c>
      <c r="C26" s="217" t="n">
        <v>-31</v>
      </c>
      <c r="D26" s="186" t="n">
        <v>-11211.4</v>
      </c>
      <c r="E26" s="186" t="n">
        <f aca="false">D26+C26+B26</f>
        <v>247556.8</v>
      </c>
      <c r="F26" s="217" t="n">
        <f aca="false">10370.6+61246.3</f>
        <v>71616.9</v>
      </c>
      <c r="G26" s="217" t="n">
        <v>-3204.9</v>
      </c>
      <c r="H26" s="186" t="n">
        <v>231297.9</v>
      </c>
      <c r="I26" s="186" t="n">
        <f aca="false">H26+G26+F26</f>
        <v>299709.9</v>
      </c>
      <c r="J26" s="217" t="n">
        <f aca="false">1601.1+10164.2</f>
        <v>11765.3</v>
      </c>
      <c r="K26" s="217" t="n">
        <v>796.8</v>
      </c>
      <c r="L26" s="217" t="n">
        <f aca="false">J26+K26</f>
        <v>12562.1</v>
      </c>
      <c r="M26" s="217" t="n">
        <f aca="false">4011.1+851215.4</f>
        <v>855226.5</v>
      </c>
      <c r="N26" s="217" t="n">
        <v>88887.8</v>
      </c>
      <c r="O26" s="217" t="n">
        <f aca="false">M26+N26</f>
        <v>944114.3</v>
      </c>
      <c r="P26" s="217" t="n">
        <f aca="false">I26+L26+O26</f>
        <v>1256386.3</v>
      </c>
      <c r="Q26" s="217" t="n">
        <v>-186921.1</v>
      </c>
      <c r="R26" s="217" t="n">
        <f aca="false">P26+Q26</f>
        <v>1069465.2</v>
      </c>
      <c r="S26" s="217" t="n">
        <f aca="false">E26+R26</f>
        <v>1317022</v>
      </c>
      <c r="T26" s="293" t="s">
        <v>223</v>
      </c>
      <c r="U26" s="186"/>
    </row>
    <row r="27" s="184" customFormat="true" ht="10.35" hidden="false" customHeight="true" outlineLevel="0" collapsed="false">
      <c r="A27" s="287" t="s">
        <v>224</v>
      </c>
      <c r="B27" s="216" t="n">
        <f aca="false">252375.2+8685.9</f>
        <v>261061.1</v>
      </c>
      <c r="C27" s="216" t="n">
        <v>-31</v>
      </c>
      <c r="D27" s="192" t="n">
        <v>-11349</v>
      </c>
      <c r="E27" s="192" t="n">
        <f aca="false">D27+C27+B27</f>
        <v>249681.1</v>
      </c>
      <c r="F27" s="216" t="n">
        <f aca="false">10663.6+66005.1</f>
        <v>76668.7</v>
      </c>
      <c r="G27" s="216" t="n">
        <v>-4002.6</v>
      </c>
      <c r="H27" s="192" t="n">
        <v>234598.5</v>
      </c>
      <c r="I27" s="192" t="n">
        <f aca="false">H27+G27+F27</f>
        <v>307264.6</v>
      </c>
      <c r="J27" s="216" t="n">
        <f aca="false">1602.7+10228.1</f>
        <v>11830.8</v>
      </c>
      <c r="K27" s="216" t="n">
        <v>783.8</v>
      </c>
      <c r="L27" s="216" t="n">
        <f aca="false">J27+K27</f>
        <v>12614.6</v>
      </c>
      <c r="M27" s="216" t="n">
        <f aca="false">4046.1+861827.2</f>
        <v>865873.3</v>
      </c>
      <c r="N27" s="216" t="n">
        <v>89498.7</v>
      </c>
      <c r="O27" s="216" t="n">
        <f aca="false">M27+N27</f>
        <v>955372</v>
      </c>
      <c r="P27" s="216" t="n">
        <f aca="false">I27+L27+O27</f>
        <v>1275251.2</v>
      </c>
      <c r="Q27" s="216" t="n">
        <v>-185228.8</v>
      </c>
      <c r="R27" s="216" t="n">
        <f aca="false">P27+Q27</f>
        <v>1090022.4</v>
      </c>
      <c r="S27" s="216" t="n">
        <f aca="false">E27+R27</f>
        <v>1339703.5</v>
      </c>
      <c r="T27" s="290" t="s">
        <v>224</v>
      </c>
      <c r="U27" s="186"/>
    </row>
    <row r="28" s="184" customFormat="true" ht="10.35" hidden="false" customHeight="true" outlineLevel="0" collapsed="false">
      <c r="A28" s="291" t="s">
        <v>225</v>
      </c>
      <c r="B28" s="217" t="n">
        <f aca="false">253509.9+11164.6</f>
        <v>264674.5</v>
      </c>
      <c r="C28" s="217" t="n">
        <v>-20.5</v>
      </c>
      <c r="D28" s="186" t="n">
        <v>-11436.5</v>
      </c>
      <c r="E28" s="186" t="n">
        <f aca="false">D28+C28+B28</f>
        <v>253217.5</v>
      </c>
      <c r="F28" s="217" t="n">
        <f aca="false">22572.2+72297.4</f>
        <v>94869.6</v>
      </c>
      <c r="G28" s="217" t="n">
        <v>-3111.6</v>
      </c>
      <c r="H28" s="186" t="n">
        <v>237765</v>
      </c>
      <c r="I28" s="186" t="n">
        <f aca="false">H28+G28+F28</f>
        <v>329523</v>
      </c>
      <c r="J28" s="217" t="n">
        <f aca="false">1604.3+9733.5</f>
        <v>11337.8</v>
      </c>
      <c r="K28" s="217" t="n">
        <v>787.8</v>
      </c>
      <c r="L28" s="217" t="n">
        <f aca="false">J28+K28</f>
        <v>12125.6</v>
      </c>
      <c r="M28" s="217" t="n">
        <f aca="false">4152.2+876597.3</f>
        <v>880749.5</v>
      </c>
      <c r="N28" s="217" t="n">
        <v>89467</v>
      </c>
      <c r="O28" s="217" t="n">
        <f aca="false">M28+N28</f>
        <v>970216.5</v>
      </c>
      <c r="P28" s="217" t="n">
        <f aca="false">I28+L28+O28</f>
        <v>1311865.1</v>
      </c>
      <c r="Q28" s="217" t="n">
        <v>-191334.1</v>
      </c>
      <c r="R28" s="217" t="n">
        <f aca="false">P28+Q28</f>
        <v>1120531</v>
      </c>
      <c r="S28" s="217" t="n">
        <f aca="false">E28+R28</f>
        <v>1373748.5</v>
      </c>
      <c r="T28" s="293" t="s">
        <v>225</v>
      </c>
      <c r="U28" s="186"/>
    </row>
    <row r="29" s="184" customFormat="true" ht="10.35" hidden="false" customHeight="true" outlineLevel="0" collapsed="false">
      <c r="A29" s="298" t="s">
        <v>226</v>
      </c>
      <c r="B29" s="476" t="n">
        <f aca="false">B41</f>
        <v>272399.5</v>
      </c>
      <c r="C29" s="476" t="n">
        <f aca="false">C41</f>
        <v>-155.1</v>
      </c>
      <c r="D29" s="476" t="n">
        <f aca="false">D41</f>
        <v>-12662.8</v>
      </c>
      <c r="E29" s="476" t="n">
        <f aca="false">E41</f>
        <v>259581.6</v>
      </c>
      <c r="F29" s="476" t="n">
        <f aca="false">F41</f>
        <v>113248.3</v>
      </c>
      <c r="G29" s="476" t="n">
        <f aca="false">G41</f>
        <v>-2534.3</v>
      </c>
      <c r="H29" s="476" t="n">
        <f aca="false">H41</f>
        <v>287704.5</v>
      </c>
      <c r="I29" s="476" t="n">
        <f aca="false">I41</f>
        <v>398418.5</v>
      </c>
      <c r="J29" s="476" t="n">
        <f aca="false">J41</f>
        <v>13590.7</v>
      </c>
      <c r="K29" s="476" t="n">
        <f aca="false">K41</f>
        <v>1239.4</v>
      </c>
      <c r="L29" s="476" t="n">
        <f aca="false">L41</f>
        <v>14830.1</v>
      </c>
      <c r="M29" s="476" t="n">
        <f aca="false">M41</f>
        <v>985443.3</v>
      </c>
      <c r="N29" s="476" t="n">
        <f aca="false">N41</f>
        <v>93123</v>
      </c>
      <c r="O29" s="476" t="n">
        <f aca="false">O41</f>
        <v>1078566.3</v>
      </c>
      <c r="P29" s="476" t="n">
        <f aca="false">P41</f>
        <v>1491814.9</v>
      </c>
      <c r="Q29" s="476" t="n">
        <f aca="false">Q41</f>
        <v>-217369.6</v>
      </c>
      <c r="R29" s="476" t="n">
        <f aca="false">R41</f>
        <v>1274445.3</v>
      </c>
      <c r="S29" s="476" t="n">
        <f aca="false">S41</f>
        <v>1534026.9</v>
      </c>
      <c r="T29" s="301" t="s">
        <v>226</v>
      </c>
      <c r="U29" s="186"/>
    </row>
    <row r="30" s="184" customFormat="true" ht="10.35" hidden="false" customHeight="true" outlineLevel="0" collapsed="false">
      <c r="A30" s="291" t="s">
        <v>214</v>
      </c>
      <c r="B30" s="217" t="n">
        <f aca="false">251973.1+11327.6</f>
        <v>263300.7</v>
      </c>
      <c r="C30" s="217" t="n">
        <v>-20.5</v>
      </c>
      <c r="D30" s="186" t="n">
        <v>-11623.5</v>
      </c>
      <c r="E30" s="186" t="n">
        <f aca="false">D30+C30+B30</f>
        <v>251656.7</v>
      </c>
      <c r="F30" s="217" t="n">
        <f aca="false">12131.7+85040</f>
        <v>97171.7</v>
      </c>
      <c r="G30" s="217" t="n">
        <v>-3154.5</v>
      </c>
      <c r="H30" s="186" t="n">
        <v>242800.7</v>
      </c>
      <c r="I30" s="186" t="n">
        <f aca="false">H30+G30+F30</f>
        <v>336817.9</v>
      </c>
      <c r="J30" s="217" t="n">
        <f aca="false">1596.2+9946.9</f>
        <v>11543.1</v>
      </c>
      <c r="K30" s="217" t="n">
        <v>788.1</v>
      </c>
      <c r="L30" s="217" t="n">
        <f aca="false">J30+K30</f>
        <v>12331.2</v>
      </c>
      <c r="M30" s="217" t="n">
        <f aca="false">4119.1+870520</f>
        <v>874639.1</v>
      </c>
      <c r="N30" s="217" t="n">
        <v>88902.5</v>
      </c>
      <c r="O30" s="217" t="n">
        <f aca="false">M30+N30</f>
        <v>963541.6</v>
      </c>
      <c r="P30" s="217" t="n">
        <f aca="false">I30+L30+O30</f>
        <v>1312690.7</v>
      </c>
      <c r="Q30" s="217" t="n">
        <v>-189656.9</v>
      </c>
      <c r="R30" s="217" t="n">
        <f aca="false">P30+Q30</f>
        <v>1123033.8</v>
      </c>
      <c r="S30" s="186" t="n">
        <f aca="false">E30+R30</f>
        <v>1374690.5</v>
      </c>
      <c r="T30" s="293" t="s">
        <v>214</v>
      </c>
      <c r="U30" s="186"/>
    </row>
    <row r="31" customFormat="false" ht="10.35" hidden="false" customHeight="true" outlineLevel="0" collapsed="false">
      <c r="A31" s="287" t="s">
        <v>215</v>
      </c>
      <c r="B31" s="216" t="n">
        <f aca="false">254675.2+12613.9</f>
        <v>267289.1</v>
      </c>
      <c r="C31" s="216" t="n">
        <v>-15.5</v>
      </c>
      <c r="D31" s="192" t="n">
        <v>-11712.5</v>
      </c>
      <c r="E31" s="192" t="n">
        <f aca="false">D31+C31+B31</f>
        <v>255561.1</v>
      </c>
      <c r="F31" s="216" t="n">
        <f aca="false">17116.9+84549.3</f>
        <v>101666.2</v>
      </c>
      <c r="G31" s="216" t="n">
        <v>-3250.7</v>
      </c>
      <c r="H31" s="192" t="n">
        <v>246822.2</v>
      </c>
      <c r="I31" s="192" t="n">
        <f aca="false">H31+G31+F31</f>
        <v>345237.7</v>
      </c>
      <c r="J31" s="216" t="n">
        <f aca="false">1597.8+9812.7</f>
        <v>11410.5</v>
      </c>
      <c r="K31" s="216" t="n">
        <v>783.4</v>
      </c>
      <c r="L31" s="216" t="n">
        <f aca="false">J31+K31</f>
        <v>12193.9</v>
      </c>
      <c r="M31" s="216" t="n">
        <f aca="false">4103.3+880066.1</f>
        <v>884169.4</v>
      </c>
      <c r="N31" s="216" t="n">
        <v>88786</v>
      </c>
      <c r="O31" s="216" t="n">
        <f aca="false">M31+N31</f>
        <v>972955.4</v>
      </c>
      <c r="P31" s="192" t="n">
        <f aca="false">I31+L31+O31</f>
        <v>1330387</v>
      </c>
      <c r="Q31" s="192" t="n">
        <v>-189024.7</v>
      </c>
      <c r="R31" s="216" t="n">
        <f aca="false">P31+Q31</f>
        <v>1141362.3</v>
      </c>
      <c r="S31" s="216" t="n">
        <f aca="false">E31+R31</f>
        <v>1396923.4</v>
      </c>
      <c r="T31" s="290" t="s">
        <v>215</v>
      </c>
      <c r="U31" s="259"/>
    </row>
    <row r="32" customFormat="false" ht="10.35" hidden="false" customHeight="true" outlineLevel="0" collapsed="false">
      <c r="A32" s="291" t="s">
        <v>216</v>
      </c>
      <c r="B32" s="217" t="n">
        <f aca="false">251729.4+13507.3</f>
        <v>265236.7</v>
      </c>
      <c r="C32" s="217" t="n">
        <v>-15.5</v>
      </c>
      <c r="D32" s="186" t="n">
        <v>-11807.6</v>
      </c>
      <c r="E32" s="186" t="n">
        <f aca="false">D32+C32+B32</f>
        <v>253413.6</v>
      </c>
      <c r="F32" s="217" t="n">
        <f aca="false">10446.5+85226.7</f>
        <v>95673.2</v>
      </c>
      <c r="G32" s="217" t="n">
        <v>-3249.3</v>
      </c>
      <c r="H32" s="186" t="n">
        <v>251177</v>
      </c>
      <c r="I32" s="186" t="n">
        <f aca="false">H32+G32+F32</f>
        <v>343600.9</v>
      </c>
      <c r="J32" s="217" t="n">
        <f aca="false">1599.3+10042.8</f>
        <v>11642.1</v>
      </c>
      <c r="K32" s="217" t="n">
        <v>780.9</v>
      </c>
      <c r="L32" s="217" t="n">
        <f aca="false">J32+K32</f>
        <v>12423</v>
      </c>
      <c r="M32" s="217" t="n">
        <f aca="false">4057+888313.8</f>
        <v>892370.8</v>
      </c>
      <c r="N32" s="217" t="n">
        <v>89280.6</v>
      </c>
      <c r="O32" s="217" t="n">
        <f aca="false">M32+N32</f>
        <v>981651.4</v>
      </c>
      <c r="P32" s="186" t="n">
        <f aca="false">I32+L32+O32</f>
        <v>1337675.3</v>
      </c>
      <c r="Q32" s="186" t="n">
        <v>-194276.8</v>
      </c>
      <c r="R32" s="186" t="n">
        <f aca="false">P32+Q32</f>
        <v>1143398.5</v>
      </c>
      <c r="S32" s="186" t="n">
        <f aca="false">E32+R32</f>
        <v>1396812.1</v>
      </c>
      <c r="T32" s="293" t="s">
        <v>216</v>
      </c>
      <c r="U32" s="259"/>
    </row>
    <row r="33" customFormat="false" ht="10.35" hidden="false" customHeight="true" outlineLevel="0" collapsed="false">
      <c r="A33" s="287" t="s">
        <v>217</v>
      </c>
      <c r="B33" s="216" t="n">
        <f aca="false">248150.4+12242.9</f>
        <v>260393.3</v>
      </c>
      <c r="C33" s="216" t="n">
        <v>-15.5</v>
      </c>
      <c r="D33" s="192" t="n">
        <v>-11910.1</v>
      </c>
      <c r="E33" s="192" t="n">
        <f aca="false">D33+C33+B33</f>
        <v>248467.7</v>
      </c>
      <c r="F33" s="216" t="n">
        <f aca="false">14507.2+81151.7</f>
        <v>95658.9</v>
      </c>
      <c r="G33" s="216" t="n">
        <v>-2776.5</v>
      </c>
      <c r="H33" s="192" t="n">
        <v>255593.8</v>
      </c>
      <c r="I33" s="192" t="n">
        <f aca="false">H33+G33+F33</f>
        <v>348476.2</v>
      </c>
      <c r="J33" s="216" t="n">
        <f aca="false">1601.1+10562.3</f>
        <v>12163.4</v>
      </c>
      <c r="K33" s="216" t="n">
        <v>782.2</v>
      </c>
      <c r="L33" s="216" t="n">
        <f aca="false">J33+K33</f>
        <v>12945.6</v>
      </c>
      <c r="M33" s="216" t="n">
        <f aca="false">4026.9+901582.3</f>
        <v>905609.2</v>
      </c>
      <c r="N33" s="216" t="n">
        <v>89794.3</v>
      </c>
      <c r="O33" s="216" t="n">
        <f aca="false">M33+N33</f>
        <v>995403.5</v>
      </c>
      <c r="P33" s="216" t="n">
        <f aca="false">I33+L33+O33</f>
        <v>1356825.3</v>
      </c>
      <c r="Q33" s="192" t="n">
        <v>-197398.1</v>
      </c>
      <c r="R33" s="192" t="n">
        <f aca="false">P33+Q33</f>
        <v>1159427.2</v>
      </c>
      <c r="S33" s="192" t="n">
        <f aca="false">E33+R33</f>
        <v>1407894.9</v>
      </c>
      <c r="T33" s="290" t="s">
        <v>217</v>
      </c>
      <c r="U33" s="259"/>
    </row>
    <row r="34" customFormat="false" ht="10.35" hidden="false" customHeight="true" outlineLevel="0" collapsed="false">
      <c r="A34" s="291" t="s">
        <v>218</v>
      </c>
      <c r="B34" s="217" t="n">
        <f aca="false">245304.3+12402.6</f>
        <v>257706.9</v>
      </c>
      <c r="C34" s="217" t="n">
        <v>-15.5</v>
      </c>
      <c r="D34" s="186" t="n">
        <v>-12028.5</v>
      </c>
      <c r="E34" s="186" t="n">
        <f aca="false">D34+C34+B34</f>
        <v>245662.9</v>
      </c>
      <c r="F34" s="217" t="n">
        <f aca="false">15583.1+82178.2</f>
        <v>97761.3</v>
      </c>
      <c r="G34" s="217" t="n">
        <v>-2735.5</v>
      </c>
      <c r="H34" s="186" t="n">
        <v>259426.9</v>
      </c>
      <c r="I34" s="186" t="n">
        <f aca="false">H34+G34+F34</f>
        <v>354452.7</v>
      </c>
      <c r="J34" s="217" t="n">
        <f aca="false">1602.7+11319.7</f>
        <v>12922.4</v>
      </c>
      <c r="K34" s="217" t="n">
        <v>841.7</v>
      </c>
      <c r="L34" s="217" t="n">
        <f aca="false">J34+K34</f>
        <v>13764.1</v>
      </c>
      <c r="M34" s="217" t="n">
        <f aca="false">4010.3+911689.9</f>
        <v>915700.2</v>
      </c>
      <c r="N34" s="217" t="n">
        <v>90666.2</v>
      </c>
      <c r="O34" s="217" t="n">
        <f aca="false">M34+N34</f>
        <v>1006366.4</v>
      </c>
      <c r="P34" s="217" t="n">
        <f aca="false">I34+L34+O34</f>
        <v>1374583.2</v>
      </c>
      <c r="Q34" s="186" t="n">
        <v>-202666.5</v>
      </c>
      <c r="R34" s="186" t="n">
        <f aca="false">P34+Q34</f>
        <v>1171916.7</v>
      </c>
      <c r="S34" s="186" t="n">
        <f aca="false">E34+R34</f>
        <v>1417579.6</v>
      </c>
      <c r="T34" s="293" t="s">
        <v>218</v>
      </c>
      <c r="U34" s="259"/>
    </row>
    <row r="35" customFormat="false" ht="10.35" hidden="false" customHeight="true" outlineLevel="0" collapsed="false">
      <c r="A35" s="287" t="s">
        <v>219</v>
      </c>
      <c r="B35" s="216" t="n">
        <f aca="false">247691.7+17008.5</f>
        <v>264700.2</v>
      </c>
      <c r="C35" s="216" t="n">
        <v>0</v>
      </c>
      <c r="D35" s="192" t="n">
        <v>-11995.8</v>
      </c>
      <c r="E35" s="192" t="n">
        <f aca="false">D35+C35+B35</f>
        <v>252704.4</v>
      </c>
      <c r="F35" s="216" t="n">
        <f aca="false">21067.4+77062.5</f>
        <v>98129.9</v>
      </c>
      <c r="G35" s="216" t="n">
        <v>-2709.8</v>
      </c>
      <c r="H35" s="192" t="n">
        <v>262758.6</v>
      </c>
      <c r="I35" s="192" t="n">
        <f aca="false">H35+G35+F35</f>
        <v>358178.7</v>
      </c>
      <c r="J35" s="216" t="n">
        <f aca="false">1604.4+12212.5</f>
        <v>13816.9</v>
      </c>
      <c r="K35" s="216" t="n">
        <v>1236</v>
      </c>
      <c r="L35" s="216" t="n">
        <f aca="false">J35+K35</f>
        <v>15052.9</v>
      </c>
      <c r="M35" s="216" t="n">
        <f aca="false">4061.8+928364.2</f>
        <v>932426</v>
      </c>
      <c r="N35" s="216" t="n">
        <v>91704.2</v>
      </c>
      <c r="O35" s="216" t="n">
        <f aca="false">M35+N35</f>
        <v>1024130.2</v>
      </c>
      <c r="P35" s="216" t="n">
        <f aca="false">I35+L35+O35</f>
        <v>1397361.8</v>
      </c>
      <c r="Q35" s="192" t="n">
        <v>-204765.4</v>
      </c>
      <c r="R35" s="192" t="n">
        <f aca="false">P35+Q35</f>
        <v>1192596.4</v>
      </c>
      <c r="S35" s="192" t="n">
        <f aca="false">E35+R35</f>
        <v>1445300.8</v>
      </c>
      <c r="T35" s="290" t="s">
        <v>219</v>
      </c>
      <c r="U35" s="259"/>
    </row>
    <row r="36" customFormat="false" ht="10.35" hidden="false" customHeight="true" outlineLevel="0" collapsed="false">
      <c r="A36" s="291" t="s">
        <v>220</v>
      </c>
      <c r="B36" s="217" t="n">
        <f aca="false">245563.2+13415.6</f>
        <v>258978.8</v>
      </c>
      <c r="C36" s="217" t="n">
        <v>-164.9</v>
      </c>
      <c r="D36" s="186" t="n">
        <v>-12104.9</v>
      </c>
      <c r="E36" s="186" t="n">
        <f aca="false">D36+C36+B36</f>
        <v>246709</v>
      </c>
      <c r="F36" s="217" t="n">
        <f aca="false">17669.8+81236.8</f>
        <v>98906.6</v>
      </c>
      <c r="G36" s="217" t="n">
        <v>-2716.4</v>
      </c>
      <c r="H36" s="186" t="n">
        <v>268761.4</v>
      </c>
      <c r="I36" s="186" t="n">
        <f aca="false">H36+G36+F36</f>
        <v>364951.6</v>
      </c>
      <c r="J36" s="217" t="n">
        <f aca="false">1594.5+13011.6</f>
        <v>14606.1</v>
      </c>
      <c r="K36" s="217" t="n">
        <v>1233.9</v>
      </c>
      <c r="L36" s="217" t="n">
        <f aca="false">J36+K36</f>
        <v>15840</v>
      </c>
      <c r="M36" s="217" t="n">
        <f aca="false">4017.9+932969.8</f>
        <v>936987.7</v>
      </c>
      <c r="N36" s="217" t="n">
        <v>92816.2</v>
      </c>
      <c r="O36" s="217" t="n">
        <f aca="false">M36+N36</f>
        <v>1029803.9</v>
      </c>
      <c r="P36" s="217" t="n">
        <f aca="false">I36+L36+O36</f>
        <v>1410595.5</v>
      </c>
      <c r="Q36" s="217" t="n">
        <v>-206821.4</v>
      </c>
      <c r="R36" s="186" t="n">
        <f aca="false">P36+Q36</f>
        <v>1203774.1</v>
      </c>
      <c r="S36" s="186" t="n">
        <f aca="false">E36+R36</f>
        <v>1450483.1</v>
      </c>
      <c r="T36" s="293" t="s">
        <v>220</v>
      </c>
      <c r="U36" s="259"/>
    </row>
    <row r="37" customFormat="false" ht="10.35" hidden="false" customHeight="true" outlineLevel="0" collapsed="false">
      <c r="A37" s="287" t="s">
        <v>221</v>
      </c>
      <c r="B37" s="216" t="n">
        <f aca="false">250320.8+15120.6</f>
        <v>265441.4</v>
      </c>
      <c r="C37" s="216" t="n">
        <v>-164.9</v>
      </c>
      <c r="D37" s="192" t="n">
        <v>-12197.6</v>
      </c>
      <c r="E37" s="192" t="n">
        <f aca="false">D37+C37+B37</f>
        <v>253078.9</v>
      </c>
      <c r="F37" s="216" t="n">
        <f aca="false">13370.8+79549.7</f>
        <v>92920.5</v>
      </c>
      <c r="G37" s="216" t="n">
        <v>-2724.7</v>
      </c>
      <c r="H37" s="192" t="n">
        <v>273367.5</v>
      </c>
      <c r="I37" s="192" t="n">
        <f aca="false">H37+G37+F37</f>
        <v>363563.3</v>
      </c>
      <c r="J37" s="216" t="n">
        <f aca="false">1597.8+12874.1</f>
        <v>14471.9</v>
      </c>
      <c r="K37" s="216" t="n">
        <v>1238.5</v>
      </c>
      <c r="L37" s="216" t="n">
        <f aca="false">J37+K37</f>
        <v>15710.4</v>
      </c>
      <c r="M37" s="216" t="n">
        <f aca="false">3909.2+940855.8</f>
        <v>944765</v>
      </c>
      <c r="N37" s="216" t="n">
        <v>93126.8</v>
      </c>
      <c r="O37" s="216" t="n">
        <f aca="false">M37+N37</f>
        <v>1037891.8</v>
      </c>
      <c r="P37" s="216" t="n">
        <f aca="false">I37+L37+O37</f>
        <v>1417165.5</v>
      </c>
      <c r="Q37" s="216" t="n">
        <v>-208046.8</v>
      </c>
      <c r="R37" s="192" t="n">
        <f aca="false">P37+Q37</f>
        <v>1209118.7</v>
      </c>
      <c r="S37" s="192" t="n">
        <f aca="false">E37+R37</f>
        <v>1462197.6</v>
      </c>
      <c r="T37" s="290" t="s">
        <v>221</v>
      </c>
      <c r="U37" s="259"/>
    </row>
    <row r="38" customFormat="false" ht="10.35" hidden="false" customHeight="true" outlineLevel="0" collapsed="false">
      <c r="A38" s="291" t="s">
        <v>222</v>
      </c>
      <c r="B38" s="217" t="n">
        <f aca="false">251391.3+18081.8</f>
        <v>269473.1</v>
      </c>
      <c r="C38" s="217" t="n">
        <v>-164.9</v>
      </c>
      <c r="D38" s="186" t="n">
        <v>-12331.1</v>
      </c>
      <c r="E38" s="186" t="n">
        <f aca="false">D38+C38+B38</f>
        <v>256977.1</v>
      </c>
      <c r="F38" s="217" t="n">
        <f aca="false">11760.6+80727.4</f>
        <v>92488</v>
      </c>
      <c r="G38" s="217" t="n">
        <v>-2692.3</v>
      </c>
      <c r="H38" s="186" t="n">
        <v>277498.2</v>
      </c>
      <c r="I38" s="186" t="n">
        <f aca="false">H38+G38+F38</f>
        <v>367293.9</v>
      </c>
      <c r="J38" s="217" t="n">
        <f aca="false">1597.8+12886.9</f>
        <v>14484.7</v>
      </c>
      <c r="K38" s="217" t="n">
        <v>1236.7</v>
      </c>
      <c r="L38" s="217" t="n">
        <f aca="false">J38+K38</f>
        <v>15721.4</v>
      </c>
      <c r="M38" s="217" t="n">
        <f aca="false">3956+950723.6</f>
        <v>954679.6</v>
      </c>
      <c r="N38" s="217" t="n">
        <v>93508.8</v>
      </c>
      <c r="O38" s="217" t="n">
        <f aca="false">M38+N38</f>
        <v>1048188.4</v>
      </c>
      <c r="P38" s="217" t="n">
        <f aca="false">I38+L38+O38</f>
        <v>1431203.7</v>
      </c>
      <c r="Q38" s="217" t="n">
        <v>-213756.2</v>
      </c>
      <c r="R38" s="217" t="n">
        <f aca="false">P38+Q38</f>
        <v>1217447.5</v>
      </c>
      <c r="S38" s="217" t="n">
        <f aca="false">E38+R38</f>
        <v>1474424.6</v>
      </c>
      <c r="T38" s="293" t="s">
        <v>222</v>
      </c>
      <c r="U38" s="259"/>
    </row>
    <row r="39" customFormat="false" ht="10.35" hidden="false" customHeight="true" outlineLevel="0" collapsed="false">
      <c r="A39" s="287" t="s">
        <v>223</v>
      </c>
      <c r="B39" s="216" t="n">
        <f aca="false">249633.4+13454.1</f>
        <v>263087.5</v>
      </c>
      <c r="C39" s="216" t="n">
        <v>-155.1</v>
      </c>
      <c r="D39" s="192" t="n">
        <v>-12435</v>
      </c>
      <c r="E39" s="192" t="n">
        <f aca="false">D39+C39+B39</f>
        <v>250497.4</v>
      </c>
      <c r="F39" s="216" t="n">
        <f aca="false">16694.9+76559.5</f>
        <v>93254.4</v>
      </c>
      <c r="G39" s="216" t="n">
        <v>-2625</v>
      </c>
      <c r="H39" s="192" t="n">
        <v>281239.5</v>
      </c>
      <c r="I39" s="192" t="n">
        <f aca="false">H39+G39+F39</f>
        <v>371868.9</v>
      </c>
      <c r="J39" s="216" t="n">
        <f aca="false">1601.1+12218.1</f>
        <v>13819.2</v>
      </c>
      <c r="K39" s="216" t="n">
        <v>1237.2</v>
      </c>
      <c r="L39" s="216" t="n">
        <f aca="false">J39+K39</f>
        <v>15056.4</v>
      </c>
      <c r="M39" s="216" t="n">
        <f aca="false">3929.3+959088</f>
        <v>963017.3</v>
      </c>
      <c r="N39" s="216" t="n">
        <v>93503.4</v>
      </c>
      <c r="O39" s="216" t="n">
        <f aca="false">M39+N39</f>
        <v>1056520.7</v>
      </c>
      <c r="P39" s="216" t="n">
        <f aca="false">I39+L39+O39</f>
        <v>1443446</v>
      </c>
      <c r="Q39" s="216" t="n">
        <v>-213228.1</v>
      </c>
      <c r="R39" s="216" t="n">
        <f aca="false">P39+Q39</f>
        <v>1230217.9</v>
      </c>
      <c r="S39" s="216" t="n">
        <f aca="false">E39+R39</f>
        <v>1480715.3</v>
      </c>
      <c r="T39" s="290" t="s">
        <v>223</v>
      </c>
      <c r="U39" s="259"/>
    </row>
    <row r="40" customFormat="false" ht="10.35" hidden="false" customHeight="true" outlineLevel="0" collapsed="false">
      <c r="A40" s="291" t="s">
        <v>224</v>
      </c>
      <c r="B40" s="217" t="n">
        <f aca="false">248731+16078.8</f>
        <v>264809.8</v>
      </c>
      <c r="C40" s="217" t="n">
        <v>-155.6</v>
      </c>
      <c r="D40" s="186" t="n">
        <v>-12571.8</v>
      </c>
      <c r="E40" s="186" t="n">
        <f aca="false">D40+C40+B40</f>
        <v>252082.4</v>
      </c>
      <c r="F40" s="217" t="n">
        <f aca="false">33722.6+79332.8</f>
        <v>113055.4</v>
      </c>
      <c r="G40" s="217" t="n">
        <v>-2762.7</v>
      </c>
      <c r="H40" s="186" t="n">
        <v>284496.3</v>
      </c>
      <c r="I40" s="186" t="n">
        <f aca="false">H40+G40+F40</f>
        <v>394789</v>
      </c>
      <c r="J40" s="217" t="n">
        <f aca="false">1601.1+13042.1</f>
        <v>14643.2</v>
      </c>
      <c r="K40" s="217" t="n">
        <v>1239.7</v>
      </c>
      <c r="L40" s="217" t="n">
        <f aca="false">J40+K40</f>
        <v>15882.9</v>
      </c>
      <c r="M40" s="217" t="n">
        <f aca="false">3918.6+972627.7</f>
        <v>976546.3</v>
      </c>
      <c r="N40" s="217" t="n">
        <v>93453.2</v>
      </c>
      <c r="O40" s="217" t="n">
        <f aca="false">M40+N40</f>
        <v>1069999.5</v>
      </c>
      <c r="P40" s="217" t="n">
        <f aca="false">I40+L40+O40</f>
        <v>1480671.4</v>
      </c>
      <c r="Q40" s="217" t="n">
        <v>-215598.3</v>
      </c>
      <c r="R40" s="217" t="n">
        <f aca="false">P40+Q40</f>
        <v>1265073.1</v>
      </c>
      <c r="S40" s="217" t="n">
        <f aca="false">E40+R40</f>
        <v>1517155.5</v>
      </c>
      <c r="T40" s="293" t="s">
        <v>224</v>
      </c>
      <c r="U40" s="259"/>
    </row>
    <row r="41" customFormat="false" ht="10.35" hidden="false" customHeight="true" outlineLevel="0" collapsed="false">
      <c r="A41" s="287" t="s">
        <v>225</v>
      </c>
      <c r="B41" s="216" t="n">
        <f aca="false">257195.4+15204.1</f>
        <v>272399.5</v>
      </c>
      <c r="C41" s="216" t="n">
        <v>-155.1</v>
      </c>
      <c r="D41" s="192" t="n">
        <v>-12662.8</v>
      </c>
      <c r="E41" s="192" t="n">
        <f aca="false">D41+C41+B41</f>
        <v>259581.6</v>
      </c>
      <c r="F41" s="216" t="n">
        <f aca="false">31189+82059.3</f>
        <v>113248.3</v>
      </c>
      <c r="G41" s="216" t="n">
        <v>-2534.3</v>
      </c>
      <c r="H41" s="192" t="n">
        <v>287704.5</v>
      </c>
      <c r="I41" s="192" t="n">
        <f aca="false">H41+G41+F41</f>
        <v>398418.5</v>
      </c>
      <c r="J41" s="216" t="n">
        <f aca="false">1600.7+11990</f>
        <v>13590.7</v>
      </c>
      <c r="K41" s="216" t="n">
        <v>1239.4</v>
      </c>
      <c r="L41" s="216" t="n">
        <f aca="false">J41+K41</f>
        <v>14830.1</v>
      </c>
      <c r="M41" s="216" t="n">
        <f aca="false">3937+981506.3</f>
        <v>985443.3</v>
      </c>
      <c r="N41" s="216" t="n">
        <v>93123</v>
      </c>
      <c r="O41" s="216" t="n">
        <f aca="false">M41+N41</f>
        <v>1078566.3</v>
      </c>
      <c r="P41" s="216" t="n">
        <f aca="false">I41+L41+O41</f>
        <v>1491814.9</v>
      </c>
      <c r="Q41" s="216" t="n">
        <v>-217369.6</v>
      </c>
      <c r="R41" s="216" t="n">
        <f aca="false">P41+Q41</f>
        <v>1274445.3</v>
      </c>
      <c r="S41" s="216" t="n">
        <f aca="false">E41+R41</f>
        <v>1534026.9</v>
      </c>
      <c r="T41" s="290" t="s">
        <v>225</v>
      </c>
      <c r="U41" s="259"/>
    </row>
    <row r="42" customFormat="false" ht="10.35" hidden="false" customHeight="true" outlineLevel="0" collapsed="false">
      <c r="A42" s="223" t="s">
        <v>227</v>
      </c>
      <c r="B42" s="479" t="n">
        <f aca="false">B54</f>
        <v>301470.2</v>
      </c>
      <c r="C42" s="479" t="n">
        <f aca="false">C54</f>
        <v>-113.1</v>
      </c>
      <c r="D42" s="479" t="n">
        <f aca="false">D54</f>
        <v>-13909.2</v>
      </c>
      <c r="E42" s="479" t="n">
        <f aca="false">E54</f>
        <v>287447.9</v>
      </c>
      <c r="F42" s="479" t="n">
        <f aca="false">F54</f>
        <v>176117.2</v>
      </c>
      <c r="G42" s="479" t="n">
        <f aca="false">G54</f>
        <v>71.3</v>
      </c>
      <c r="H42" s="479" t="n">
        <f aca="false">H54</f>
        <v>302132.8</v>
      </c>
      <c r="I42" s="479" t="n">
        <f aca="false">I54</f>
        <v>478321.3</v>
      </c>
      <c r="J42" s="479" t="n">
        <f aca="false">J54</f>
        <v>19200.8</v>
      </c>
      <c r="K42" s="479" t="n">
        <f aca="false">K54</f>
        <v>1285.2</v>
      </c>
      <c r="L42" s="479" t="n">
        <f aca="false">L54</f>
        <v>20486</v>
      </c>
      <c r="M42" s="479" t="n">
        <f aca="false">M54</f>
        <v>1075229.6</v>
      </c>
      <c r="N42" s="479" t="n">
        <f aca="false">N54</f>
        <v>91712.4</v>
      </c>
      <c r="O42" s="479" t="n">
        <f aca="false">O54</f>
        <v>1166942</v>
      </c>
      <c r="P42" s="479" t="n">
        <f aca="false">P54</f>
        <v>1665749.3</v>
      </c>
      <c r="Q42" s="479" t="n">
        <f aca="false">Q54</f>
        <v>-249259.8</v>
      </c>
      <c r="R42" s="479" t="n">
        <f aca="false">R54</f>
        <v>1416489.5</v>
      </c>
      <c r="S42" s="479" t="n">
        <f aca="false">S54</f>
        <v>1703937.4</v>
      </c>
      <c r="T42" s="366" t="s">
        <v>227</v>
      </c>
      <c r="U42" s="259"/>
    </row>
    <row r="43" customFormat="false" ht="10.35" hidden="false" customHeight="true" outlineLevel="0" collapsed="false">
      <c r="A43" s="215" t="s">
        <v>214</v>
      </c>
      <c r="B43" s="216" t="n">
        <f aca="false">255655.5+17122.2</f>
        <v>272777.7</v>
      </c>
      <c r="C43" s="216" t="n">
        <v>-145</v>
      </c>
      <c r="D43" s="192" t="n">
        <v>-12827.1</v>
      </c>
      <c r="E43" s="192" t="n">
        <f aca="false">D43+C43+B43</f>
        <v>259805.6</v>
      </c>
      <c r="F43" s="216" t="n">
        <f aca="false">29485.4+100464.7</f>
        <v>129950.1</v>
      </c>
      <c r="G43" s="216" t="n">
        <v>-2570.8</v>
      </c>
      <c r="H43" s="192" t="n">
        <v>289917.1</v>
      </c>
      <c r="I43" s="192" t="n">
        <f aca="false">H43+G43+F43</f>
        <v>417296.4</v>
      </c>
      <c r="J43" s="216" t="n">
        <f aca="false">1594.5+12924.6</f>
        <v>14519.1</v>
      </c>
      <c r="K43" s="216" t="n">
        <v>1237.3</v>
      </c>
      <c r="L43" s="216" t="n">
        <f aca="false">J43+K43</f>
        <v>15756.4</v>
      </c>
      <c r="M43" s="216" t="n">
        <f aca="false">3945.7+974332.1</f>
        <v>978277.8</v>
      </c>
      <c r="N43" s="216" t="n">
        <v>92725.5</v>
      </c>
      <c r="O43" s="216" t="n">
        <f aca="false">M43+N43</f>
        <v>1071003.3</v>
      </c>
      <c r="P43" s="216" t="n">
        <f aca="false">I43+L43+O43</f>
        <v>1504056.1</v>
      </c>
      <c r="Q43" s="216" t="n">
        <v>-217925.6</v>
      </c>
      <c r="R43" s="216" t="n">
        <f aca="false">P43+Q43</f>
        <v>1286130.5</v>
      </c>
      <c r="S43" s="216" t="n">
        <f aca="false">E43+R43</f>
        <v>1545936.1</v>
      </c>
      <c r="T43" s="365" t="s">
        <v>214</v>
      </c>
      <c r="U43" s="259"/>
    </row>
    <row r="44" customFormat="false" ht="10.35" hidden="false" customHeight="true" outlineLevel="0" collapsed="false">
      <c r="A44" s="207" t="s">
        <v>215</v>
      </c>
      <c r="B44" s="217" t="n">
        <f aca="false">257546.7+17047.7</f>
        <v>274594.4</v>
      </c>
      <c r="C44" s="217" t="n">
        <v>-145.8</v>
      </c>
      <c r="D44" s="186" t="n">
        <v>-12937.9</v>
      </c>
      <c r="E44" s="186" t="n">
        <f aca="false">D44+C44+B44</f>
        <v>261510.7</v>
      </c>
      <c r="F44" s="217" t="n">
        <f aca="false">29929+108422.7</f>
        <v>138351.7</v>
      </c>
      <c r="G44" s="217" t="n">
        <v>-2551.3</v>
      </c>
      <c r="H44" s="186" t="n">
        <v>291416.8</v>
      </c>
      <c r="I44" s="186" t="n">
        <f aca="false">H44+G44+F44</f>
        <v>427217.2</v>
      </c>
      <c r="J44" s="217" t="n">
        <f aca="false">1596.1+12930.1</f>
        <v>14526.2</v>
      </c>
      <c r="K44" s="217" t="n">
        <v>1237.3</v>
      </c>
      <c r="L44" s="217" t="n">
        <f aca="false">J44+K44</f>
        <v>15763.5</v>
      </c>
      <c r="M44" s="217" t="n">
        <f aca="false">3961.4+979960.6</f>
        <v>983922</v>
      </c>
      <c r="N44" s="217" t="n">
        <v>92125.5</v>
      </c>
      <c r="O44" s="217" t="n">
        <f aca="false">M44+N44</f>
        <v>1076047.5</v>
      </c>
      <c r="P44" s="217" t="n">
        <f aca="false">I44+L44+O44</f>
        <v>1519028.2</v>
      </c>
      <c r="Q44" s="217" t="n">
        <v>-215644.9</v>
      </c>
      <c r="R44" s="217" t="n">
        <f aca="false">P44+Q44</f>
        <v>1303383.3</v>
      </c>
      <c r="S44" s="217" t="n">
        <f aca="false">E44+R44</f>
        <v>1564894</v>
      </c>
      <c r="T44" s="364" t="s">
        <v>215</v>
      </c>
      <c r="U44" s="259"/>
    </row>
    <row r="45" customFormat="false" ht="10.35" hidden="false" customHeight="true" outlineLevel="0" collapsed="false">
      <c r="A45" s="215" t="s">
        <v>216</v>
      </c>
      <c r="B45" s="216" t="n">
        <f aca="false">254607.6+16670.6</f>
        <v>271278.2</v>
      </c>
      <c r="C45" s="216" t="n">
        <v>-146.6</v>
      </c>
      <c r="D45" s="192" t="n">
        <v>-13072.1</v>
      </c>
      <c r="E45" s="192" t="n">
        <f aca="false">D45+C45+B45</f>
        <v>258059.5</v>
      </c>
      <c r="F45" s="216" t="n">
        <f aca="false">28908.2+111850.4</f>
        <v>140758.6</v>
      </c>
      <c r="G45" s="216" t="n">
        <v>-2487.3</v>
      </c>
      <c r="H45" s="192" t="n">
        <v>292402.6</v>
      </c>
      <c r="I45" s="192" t="n">
        <f aca="false">H45+G45+F45</f>
        <v>430673.9</v>
      </c>
      <c r="J45" s="216" t="n">
        <f aca="false">1599.4+14293.8</f>
        <v>15893.2</v>
      </c>
      <c r="K45" s="216" t="n">
        <v>1233.4</v>
      </c>
      <c r="L45" s="216" t="n">
        <f aca="false">J45+K45</f>
        <v>17126.6</v>
      </c>
      <c r="M45" s="216" t="n">
        <f aca="false">3967.7+988997.5</f>
        <v>992965.2</v>
      </c>
      <c r="N45" s="216" t="n">
        <v>92107.9</v>
      </c>
      <c r="O45" s="216" t="n">
        <f aca="false">M45+N45</f>
        <v>1085073.1</v>
      </c>
      <c r="P45" s="216" t="n">
        <f aca="false">I45+L45+O45</f>
        <v>1532873.6</v>
      </c>
      <c r="Q45" s="216" t="n">
        <v>-219316.9</v>
      </c>
      <c r="R45" s="216" t="n">
        <f aca="false">P45+Q45</f>
        <v>1313556.7</v>
      </c>
      <c r="S45" s="216" t="n">
        <f aca="false">E45+R45</f>
        <v>1571616.2</v>
      </c>
      <c r="T45" s="365" t="s">
        <v>216</v>
      </c>
      <c r="U45" s="259"/>
    </row>
    <row r="46" s="207" customFormat="true" ht="10.35" hidden="false" customHeight="true" outlineLevel="0" collapsed="false">
      <c r="A46" s="207" t="s">
        <v>217</v>
      </c>
      <c r="B46" s="217" t="n">
        <f aca="false">256007.2+14238.6</f>
        <v>270245.8</v>
      </c>
      <c r="C46" s="217" t="n">
        <v>-134.4</v>
      </c>
      <c r="D46" s="481" t="n">
        <v>-13180.8</v>
      </c>
      <c r="E46" s="186" t="n">
        <f aca="false">D46+C46+B46</f>
        <v>256930.6</v>
      </c>
      <c r="F46" s="217" t="n">
        <f aca="false">33824.6+113820</f>
        <v>147644.6</v>
      </c>
      <c r="G46" s="217" t="n">
        <v>-2352.1</v>
      </c>
      <c r="H46" s="186" t="n">
        <v>293225.5</v>
      </c>
      <c r="I46" s="186" t="n">
        <f aca="false">H46+G46+F46</f>
        <v>438518</v>
      </c>
      <c r="J46" s="186" t="n">
        <f aca="false">1599.4+13999.5</f>
        <v>15598.9</v>
      </c>
      <c r="K46" s="217" t="n">
        <v>1293.3</v>
      </c>
      <c r="L46" s="217" t="n">
        <f aca="false">J46+K46</f>
        <v>16892.2</v>
      </c>
      <c r="M46" s="217" t="n">
        <f aca="false">3989.7+998027</f>
        <v>1002016.7</v>
      </c>
      <c r="N46" s="186" t="n">
        <v>92738.5</v>
      </c>
      <c r="O46" s="217" t="n">
        <f aca="false">M46+N46</f>
        <v>1094755.2</v>
      </c>
      <c r="P46" s="217" t="n">
        <f aca="false">I46+L46+O46</f>
        <v>1550165.4</v>
      </c>
      <c r="Q46" s="217" t="n">
        <v>-224966.8</v>
      </c>
      <c r="R46" s="217" t="n">
        <f aca="false">P46+Q46</f>
        <v>1325198.6</v>
      </c>
      <c r="S46" s="217" t="n">
        <f aca="false">E46+R46</f>
        <v>1582129.2</v>
      </c>
      <c r="T46" s="364" t="s">
        <v>217</v>
      </c>
      <c r="U46" s="419"/>
    </row>
    <row r="47" s="207" customFormat="true" ht="10.35" hidden="false" customHeight="true" outlineLevel="0" collapsed="false">
      <c r="A47" s="215" t="s">
        <v>218</v>
      </c>
      <c r="B47" s="216" t="n">
        <f aca="false">255448.9+14918.8</f>
        <v>270367.7</v>
      </c>
      <c r="C47" s="216" t="n">
        <v>-135.5</v>
      </c>
      <c r="D47" s="482" t="n">
        <v>-13252.2</v>
      </c>
      <c r="E47" s="482" t="n">
        <f aca="false">D47+C47+B47</f>
        <v>256980</v>
      </c>
      <c r="F47" s="216" t="n">
        <f aca="false">30168.5+123234.1</f>
        <v>153402.6</v>
      </c>
      <c r="G47" s="216" t="n">
        <v>-583.8</v>
      </c>
      <c r="H47" s="192" t="n">
        <v>293546.1</v>
      </c>
      <c r="I47" s="192" t="n">
        <f aca="false">H47+G47+F47</f>
        <v>446364.9</v>
      </c>
      <c r="J47" s="192" t="n">
        <f aca="false">1601.1+15108.3</f>
        <v>16709.4</v>
      </c>
      <c r="K47" s="216" t="n">
        <v>1311.8</v>
      </c>
      <c r="L47" s="216" t="n">
        <f aca="false">J47+K47</f>
        <v>18021.2</v>
      </c>
      <c r="M47" s="216" t="n">
        <f aca="false">3998.2+1007591.1</f>
        <v>1011589.3</v>
      </c>
      <c r="N47" s="192" t="n">
        <v>93185.3</v>
      </c>
      <c r="O47" s="192" t="n">
        <f aca="false">M47+N47</f>
        <v>1104774.6</v>
      </c>
      <c r="P47" s="192" t="n">
        <f aca="false">I47+L47+O47</f>
        <v>1569160.7</v>
      </c>
      <c r="Q47" s="216" t="n">
        <v>-228880.6</v>
      </c>
      <c r="R47" s="216" t="n">
        <f aca="false">P47+Q47</f>
        <v>1340280.1</v>
      </c>
      <c r="S47" s="216" t="n">
        <f aca="false">E47+R47</f>
        <v>1597260.1</v>
      </c>
      <c r="T47" s="365" t="s">
        <v>218</v>
      </c>
      <c r="U47" s="419"/>
    </row>
    <row r="48" s="207" customFormat="true" ht="10.35" hidden="false" customHeight="true" outlineLevel="0" collapsed="false">
      <c r="A48" s="207" t="s">
        <v>219</v>
      </c>
      <c r="B48" s="217" t="n">
        <f aca="false">259113.4+15013.1</f>
        <v>274126.5</v>
      </c>
      <c r="C48" s="217" t="n">
        <v>-136.1</v>
      </c>
      <c r="D48" s="481" t="n">
        <v>-13317.6</v>
      </c>
      <c r="E48" s="481" t="n">
        <f aca="false">D48+C48+B48</f>
        <v>260672.8</v>
      </c>
      <c r="F48" s="217" t="n">
        <f aca="false">34438.2+122398.7</f>
        <v>156836.9</v>
      </c>
      <c r="G48" s="217" t="n">
        <v>-547.3</v>
      </c>
      <c r="H48" s="186" t="n">
        <v>293137.7</v>
      </c>
      <c r="I48" s="186" t="n">
        <f aca="false">H48+G48+F48</f>
        <v>449427.3</v>
      </c>
      <c r="J48" s="186" t="n">
        <f aca="false">1604.2+18882.4</f>
        <v>20486.6</v>
      </c>
      <c r="K48" s="217" t="n">
        <v>1311</v>
      </c>
      <c r="L48" s="217" t="n">
        <f aca="false">J48+K48</f>
        <v>21797.6</v>
      </c>
      <c r="M48" s="217" t="n">
        <f aca="false">4077.2+1025498.5</f>
        <v>1029575.7</v>
      </c>
      <c r="N48" s="186" t="n">
        <v>94123.3</v>
      </c>
      <c r="O48" s="186" t="n">
        <f aca="false">M48+N48</f>
        <v>1123699</v>
      </c>
      <c r="P48" s="186" t="n">
        <f aca="false">I48+L48+O48</f>
        <v>1594923.9</v>
      </c>
      <c r="Q48" s="217" t="n">
        <v>-238237.5</v>
      </c>
      <c r="R48" s="217" t="n">
        <f aca="false">P48+Q48</f>
        <v>1356686.4</v>
      </c>
      <c r="S48" s="217" t="n">
        <f aca="false">E48+R48</f>
        <v>1617359.2</v>
      </c>
      <c r="T48" s="364" t="s">
        <v>219</v>
      </c>
      <c r="U48" s="419"/>
    </row>
    <row r="49" s="207" customFormat="true" ht="10.35" hidden="false" customHeight="true" outlineLevel="0" collapsed="false">
      <c r="A49" s="215" t="s">
        <v>220</v>
      </c>
      <c r="B49" s="216" t="n">
        <f aca="false">259738.6+14611.3</f>
        <v>274349.9</v>
      </c>
      <c r="C49" s="216" t="n">
        <v>-123.4</v>
      </c>
      <c r="D49" s="483" t="n">
        <v>-13441.3</v>
      </c>
      <c r="E49" s="483" t="n">
        <f aca="false">D49+C49+B49</f>
        <v>260785.2</v>
      </c>
      <c r="F49" s="216" t="n">
        <f aca="false">32763.8+130479</f>
        <v>163242.8</v>
      </c>
      <c r="G49" s="216" t="n">
        <v>-502.9</v>
      </c>
      <c r="H49" s="192" t="n">
        <v>295377.9</v>
      </c>
      <c r="I49" s="192" t="n">
        <f aca="false">H49+G49+F49</f>
        <v>458117.8</v>
      </c>
      <c r="J49" s="192" t="n">
        <f aca="false">1594.5+18094.9</f>
        <v>19689.4</v>
      </c>
      <c r="K49" s="216" t="n">
        <v>1291.6</v>
      </c>
      <c r="L49" s="216" t="n">
        <f aca="false">J49+K49</f>
        <v>20981</v>
      </c>
      <c r="M49" s="216" t="n">
        <f aca="false">4055.1+1025031.9</f>
        <v>1029087</v>
      </c>
      <c r="N49" s="192" t="n">
        <v>92567.5</v>
      </c>
      <c r="O49" s="192" t="n">
        <f aca="false">M49+N49</f>
        <v>1121654.5</v>
      </c>
      <c r="P49" s="192" t="n">
        <f aca="false">I49+L49+O49</f>
        <v>1600753.3</v>
      </c>
      <c r="Q49" s="216" t="n">
        <v>-239730</v>
      </c>
      <c r="R49" s="216" t="n">
        <f aca="false">P49+Q49</f>
        <v>1361023.3</v>
      </c>
      <c r="S49" s="216" t="n">
        <f aca="false">E49+R49</f>
        <v>1621808.5</v>
      </c>
      <c r="T49" s="365" t="s">
        <v>220</v>
      </c>
      <c r="U49" s="419"/>
    </row>
    <row r="50" s="207" customFormat="true" ht="10.35" hidden="false" customHeight="true" outlineLevel="0" collapsed="false">
      <c r="A50" s="207" t="s">
        <v>221</v>
      </c>
      <c r="B50" s="217" t="n">
        <f aca="false">260343.4+17143.1</f>
        <v>277486.5</v>
      </c>
      <c r="C50" s="217" t="n">
        <v>-124</v>
      </c>
      <c r="D50" s="481" t="n">
        <v>-13689.2</v>
      </c>
      <c r="E50" s="481" t="n">
        <f aca="false">D50+C50+B50</f>
        <v>263673.3</v>
      </c>
      <c r="F50" s="217" t="n">
        <f aca="false">26329.1+135885.8</f>
        <v>162214.9</v>
      </c>
      <c r="G50" s="217" t="n">
        <v>-161.7</v>
      </c>
      <c r="H50" s="186" t="n">
        <v>297370.4</v>
      </c>
      <c r="I50" s="186" t="n">
        <f aca="false">H50+G50+F50</f>
        <v>459423.6</v>
      </c>
      <c r="J50" s="186" t="n">
        <f aca="false">1594.5+18412.7</f>
        <v>20007.2</v>
      </c>
      <c r="K50" s="217" t="n">
        <v>1289.3</v>
      </c>
      <c r="L50" s="217" t="n">
        <f aca="false">J50+K50</f>
        <v>21296.5</v>
      </c>
      <c r="M50" s="217" t="n">
        <f aca="false">4066.6+1032328</f>
        <v>1036394.6</v>
      </c>
      <c r="N50" s="186" t="n">
        <v>92752.6</v>
      </c>
      <c r="O50" s="186" t="n">
        <f aca="false">M50+N50</f>
        <v>1129147.2</v>
      </c>
      <c r="P50" s="186" t="n">
        <f aca="false">I50+L50+O50</f>
        <v>1609867.3</v>
      </c>
      <c r="Q50" s="217" t="n">
        <v>-240301.7</v>
      </c>
      <c r="R50" s="217" t="n">
        <f aca="false">P50+Q50</f>
        <v>1369565.6</v>
      </c>
      <c r="S50" s="217" t="n">
        <f aca="false">E50+R50</f>
        <v>1633238.9</v>
      </c>
      <c r="T50" s="364" t="s">
        <v>221</v>
      </c>
      <c r="U50" s="419"/>
    </row>
    <row r="51" s="207" customFormat="true" ht="10.35" hidden="false" customHeight="true" outlineLevel="0" collapsed="false">
      <c r="A51" s="287" t="s">
        <v>222</v>
      </c>
      <c r="B51" s="216" t="n">
        <f aca="false">263114.5+16128.2</f>
        <v>279242.7</v>
      </c>
      <c r="C51" s="216" t="n">
        <v>-124.7</v>
      </c>
      <c r="D51" s="483" t="n">
        <v>-13807.5</v>
      </c>
      <c r="E51" s="483" t="n">
        <f aca="false">D51+C51+B51</f>
        <v>265310.5</v>
      </c>
      <c r="F51" s="216" t="n">
        <f aca="false">22201+111536.8</f>
        <v>133737.8</v>
      </c>
      <c r="G51" s="216" t="n">
        <v>-143.4</v>
      </c>
      <c r="H51" s="192" t="n">
        <v>298907.2</v>
      </c>
      <c r="I51" s="192" t="n">
        <f aca="false">H51+G51+F51</f>
        <v>432501.6</v>
      </c>
      <c r="J51" s="192" t="n">
        <f aca="false">1594.5+18554.8</f>
        <v>20149.3</v>
      </c>
      <c r="K51" s="216" t="n">
        <v>1288.2</v>
      </c>
      <c r="L51" s="216" t="n">
        <f aca="false">J51+K51</f>
        <v>21437.5</v>
      </c>
      <c r="M51" s="216" t="n">
        <f aca="false">4075.8+1040202.9</f>
        <v>1044278.7</v>
      </c>
      <c r="N51" s="192" t="n">
        <v>92295.4</v>
      </c>
      <c r="O51" s="192" t="n">
        <f aca="false">M51+N51</f>
        <v>1136574.1</v>
      </c>
      <c r="P51" s="192" t="n">
        <f aca="false">I51+L51+O51</f>
        <v>1590513.2</v>
      </c>
      <c r="Q51" s="216" t="n">
        <v>-216295.5</v>
      </c>
      <c r="R51" s="216" t="n">
        <f aca="false">P51+Q51</f>
        <v>1374217.7</v>
      </c>
      <c r="S51" s="216" t="n">
        <f aca="false">E51+R51</f>
        <v>1639528.2</v>
      </c>
      <c r="T51" s="365" t="s">
        <v>222</v>
      </c>
      <c r="U51" s="484"/>
    </row>
    <row r="52" s="207" customFormat="true" ht="10.35" hidden="false" customHeight="true" outlineLevel="0" collapsed="false">
      <c r="A52" s="291" t="s">
        <v>223</v>
      </c>
      <c r="B52" s="217" t="n">
        <f aca="false">265600.7+16859.1</f>
        <v>282459.8</v>
      </c>
      <c r="C52" s="217" t="n">
        <v>-111.9</v>
      </c>
      <c r="D52" s="481" t="n">
        <v>-13807.5</v>
      </c>
      <c r="E52" s="481" t="n">
        <f aca="false">D52+C52+B52</f>
        <v>268540.4</v>
      </c>
      <c r="F52" s="217" t="n">
        <f aca="false">34797.8+133561.3</f>
        <v>168359.1</v>
      </c>
      <c r="G52" s="217" t="n">
        <v>-138.2</v>
      </c>
      <c r="H52" s="186" t="n">
        <v>298285.4</v>
      </c>
      <c r="I52" s="186" t="n">
        <f aca="false">H52+G52+F52</f>
        <v>466506.3</v>
      </c>
      <c r="J52" s="186" t="n">
        <f aca="false">1597.8+18325.3</f>
        <v>19923.1</v>
      </c>
      <c r="K52" s="217" t="n">
        <v>1288.3</v>
      </c>
      <c r="L52" s="217" t="n">
        <f aca="false">J52+K52</f>
        <v>21211.4</v>
      </c>
      <c r="M52" s="217" t="n">
        <f aca="false">4077.1+1048672.9</f>
        <v>1052750</v>
      </c>
      <c r="N52" s="186" t="n">
        <v>92134.3</v>
      </c>
      <c r="O52" s="186" t="n">
        <f aca="false">M52+N52</f>
        <v>1144884.3</v>
      </c>
      <c r="P52" s="186" t="n">
        <f aca="false">I52+L52+O52</f>
        <v>1632602</v>
      </c>
      <c r="Q52" s="217" t="n">
        <v>-247056.6</v>
      </c>
      <c r="R52" s="217" t="n">
        <f aca="false">P52+Q52</f>
        <v>1385545.4</v>
      </c>
      <c r="S52" s="217" t="n">
        <f aca="false">E52+R52</f>
        <v>1654085.8</v>
      </c>
      <c r="T52" s="364" t="s">
        <v>223</v>
      </c>
      <c r="U52" s="484"/>
    </row>
    <row r="53" s="207" customFormat="true" ht="10.35" hidden="false" customHeight="true" outlineLevel="0" collapsed="false">
      <c r="A53" s="287" t="s">
        <v>224</v>
      </c>
      <c r="B53" s="216" t="n">
        <f aca="false">271808+14629.3</f>
        <v>286437.3</v>
      </c>
      <c r="C53" s="216" t="n">
        <v>-112.5</v>
      </c>
      <c r="D53" s="483" t="n">
        <v>-13835.1</v>
      </c>
      <c r="E53" s="482" t="n">
        <f aca="false">D53+C53+B53</f>
        <v>272489.7</v>
      </c>
      <c r="F53" s="216" t="n">
        <f aca="false">31707.4+130780.7</f>
        <v>162488.1</v>
      </c>
      <c r="G53" s="216" t="n">
        <v>43.7</v>
      </c>
      <c r="H53" s="192" t="n">
        <v>298715.6</v>
      </c>
      <c r="I53" s="192" t="n">
        <f aca="false">H53+G53+F53</f>
        <v>461247.4</v>
      </c>
      <c r="J53" s="192" t="n">
        <f aca="false">1597.8+18243</f>
        <v>19840.8</v>
      </c>
      <c r="K53" s="216" t="n">
        <v>1286.2</v>
      </c>
      <c r="L53" s="216" t="n">
        <f aca="false">J53+K53</f>
        <v>21127</v>
      </c>
      <c r="M53" s="216" t="n">
        <f aca="false">4096.7+1063255.7</f>
        <v>1067352.4</v>
      </c>
      <c r="N53" s="192" t="n">
        <v>92001.4</v>
      </c>
      <c r="O53" s="192" t="n">
        <f aca="false">M53+N53</f>
        <v>1159353.8</v>
      </c>
      <c r="P53" s="192" t="n">
        <f aca="false">I53+L53+O53</f>
        <v>1641728.2</v>
      </c>
      <c r="Q53" s="192" t="n">
        <v>-234155.5</v>
      </c>
      <c r="R53" s="192" t="n">
        <f aca="false">P53+Q53</f>
        <v>1407572.7</v>
      </c>
      <c r="S53" s="192" t="n">
        <f aca="false">E53+R53</f>
        <v>1680062.4</v>
      </c>
      <c r="T53" s="365" t="s">
        <v>224</v>
      </c>
      <c r="U53" s="484"/>
    </row>
    <row r="54" s="207" customFormat="true" ht="10.35" hidden="false" customHeight="true" outlineLevel="0" collapsed="false">
      <c r="A54" s="485" t="s">
        <v>225</v>
      </c>
      <c r="B54" s="486" t="n">
        <f aca="false">290174.9+11295.3</f>
        <v>301470.2</v>
      </c>
      <c r="C54" s="486" t="n">
        <v>-113.1</v>
      </c>
      <c r="D54" s="487" t="n">
        <v>-13909.2</v>
      </c>
      <c r="E54" s="486" t="n">
        <f aca="false">D54+C54+B54</f>
        <v>287447.9</v>
      </c>
      <c r="F54" s="486" t="n">
        <f aca="false">37114.9+139002.3</f>
        <v>176117.2</v>
      </c>
      <c r="G54" s="486" t="n">
        <v>71.3</v>
      </c>
      <c r="H54" s="227" t="n">
        <v>302132.8</v>
      </c>
      <c r="I54" s="486" t="n">
        <f aca="false">H54+G54+F54</f>
        <v>478321.3</v>
      </c>
      <c r="J54" s="227" t="n">
        <f aca="false">1604.4+17596.4</f>
        <v>19200.8</v>
      </c>
      <c r="K54" s="486" t="n">
        <v>1285.2</v>
      </c>
      <c r="L54" s="486" t="n">
        <f aca="false">J54+K54</f>
        <v>20486</v>
      </c>
      <c r="M54" s="486" t="n">
        <f aca="false">4150.7+1071078.9</f>
        <v>1075229.6</v>
      </c>
      <c r="N54" s="227" t="n">
        <v>91712.4</v>
      </c>
      <c r="O54" s="227" t="n">
        <f aca="false">M54+N54</f>
        <v>1166942</v>
      </c>
      <c r="P54" s="227" t="n">
        <f aca="false">I54+L54+O54</f>
        <v>1665749.3</v>
      </c>
      <c r="Q54" s="227" t="n">
        <v>-249259.8</v>
      </c>
      <c r="R54" s="227" t="n">
        <f aca="false">P54+Q54</f>
        <v>1416489.5</v>
      </c>
      <c r="S54" s="227" t="n">
        <f aca="false">E54+R54</f>
        <v>1703937.4</v>
      </c>
      <c r="T54" s="488" t="s">
        <v>225</v>
      </c>
      <c r="U54" s="419"/>
    </row>
    <row r="55" customFormat="false" ht="11.1" hidden="false" customHeight="true" outlineLevel="0" collapsed="false">
      <c r="A55" s="223" t="s">
        <v>360</v>
      </c>
      <c r="B55" s="489" t="s">
        <v>398</v>
      </c>
      <c r="C55" s="489"/>
      <c r="D55" s="489"/>
      <c r="E55" s="489"/>
      <c r="F55" s="489"/>
      <c r="G55" s="435"/>
      <c r="H55" s="490"/>
      <c r="I55" s="491"/>
      <c r="J55" s="435"/>
      <c r="K55" s="435"/>
      <c r="L55" s="435"/>
      <c r="M55" s="492" t="s">
        <v>399</v>
      </c>
      <c r="N55" s="405" t="s">
        <v>400</v>
      </c>
      <c r="O55" s="405"/>
      <c r="P55" s="405"/>
      <c r="Q55" s="405"/>
      <c r="R55" s="405"/>
      <c r="S55" s="405"/>
      <c r="T55" s="405"/>
    </row>
    <row r="56" customFormat="false" ht="11.1" hidden="false" customHeight="true" outlineLevel="0" collapsed="false">
      <c r="B56" s="400"/>
      <c r="C56" s="493"/>
      <c r="D56" s="493"/>
      <c r="E56" s="493"/>
      <c r="F56" s="494"/>
      <c r="G56" s="494"/>
      <c r="H56" s="490"/>
      <c r="I56" s="491"/>
      <c r="J56" s="494"/>
      <c r="K56" s="493"/>
      <c r="L56" s="493"/>
      <c r="M56" s="495"/>
      <c r="N56" s="405" t="s">
        <v>401</v>
      </c>
      <c r="O56" s="405"/>
      <c r="P56" s="405"/>
      <c r="Q56" s="405"/>
      <c r="R56" s="405"/>
      <c r="S56" s="405"/>
      <c r="T56" s="405"/>
      <c r="U56" s="495"/>
    </row>
    <row r="57" customFormat="false" ht="11.1" hidden="false" customHeight="true" outlineLevel="0" collapsed="false">
      <c r="C57" s="496"/>
      <c r="D57" s="496"/>
      <c r="E57" s="494"/>
      <c r="H57" s="497"/>
      <c r="I57" s="497"/>
      <c r="J57" s="496"/>
      <c r="N57" s="405" t="s">
        <v>402</v>
      </c>
      <c r="O57" s="498"/>
      <c r="P57" s="498"/>
      <c r="Q57" s="435" t="s">
        <v>403</v>
      </c>
      <c r="R57" s="498"/>
      <c r="S57" s="498"/>
      <c r="T57" s="498"/>
    </row>
    <row r="58" customFormat="false" ht="11.1" hidden="false" customHeight="true" outlineLevel="0" collapsed="false">
      <c r="B58" s="496"/>
      <c r="C58" s="496"/>
      <c r="D58" s="496"/>
      <c r="E58" s="493"/>
      <c r="F58" s="496"/>
      <c r="G58" s="496"/>
      <c r="J58" s="496"/>
      <c r="M58" s="223" t="s">
        <v>404</v>
      </c>
      <c r="N58" s="489" t="s">
        <v>398</v>
      </c>
      <c r="O58" s="489"/>
      <c r="P58" s="489"/>
      <c r="Q58" s="489"/>
      <c r="R58" s="489"/>
      <c r="S58" s="489"/>
      <c r="T58" s="489"/>
    </row>
    <row r="59" customFormat="false" ht="12" hidden="false" customHeight="true" outlineLevel="0" collapsed="false">
      <c r="E59" s="493"/>
      <c r="G59" s="496"/>
      <c r="K59" s="499"/>
      <c r="Q59" s="496"/>
      <c r="R59" s="496"/>
      <c r="S59" s="496"/>
      <c r="T59" s="500"/>
    </row>
    <row r="60" customFormat="false" ht="12" hidden="false" customHeight="true" outlineLevel="0" collapsed="false"/>
    <row r="61" customFormat="false" ht="9.75" hidden="false" customHeight="true" outlineLevel="0" collapsed="false">
      <c r="M61" s="496"/>
    </row>
    <row r="72" customFormat="false" ht="11.25" hidden="false" customHeight="false" outlineLevel="0" collapsed="false">
      <c r="B72" s="259"/>
      <c r="C72" s="259"/>
      <c r="D72" s="259"/>
      <c r="E72" s="259"/>
      <c r="F72" s="259"/>
      <c r="G72" s="259"/>
      <c r="H72" s="259"/>
      <c r="I72" s="259"/>
      <c r="J72" s="259"/>
      <c r="K72" s="259"/>
      <c r="L72" s="259"/>
      <c r="M72" s="259"/>
      <c r="N72" s="259"/>
      <c r="O72" s="259"/>
      <c r="P72" s="259"/>
      <c r="Q72" s="259"/>
      <c r="R72" s="259"/>
      <c r="S72" s="259"/>
      <c r="T72" s="259"/>
    </row>
    <row r="73" customFormat="false" ht="11.25" hidden="false" customHeight="false" outlineLevel="0" collapsed="false">
      <c r="B73" s="259"/>
      <c r="C73" s="259"/>
      <c r="D73" s="259"/>
      <c r="E73" s="259"/>
      <c r="F73" s="259"/>
      <c r="G73" s="259"/>
      <c r="H73" s="259"/>
      <c r="I73" s="259"/>
      <c r="J73" s="259"/>
      <c r="K73" s="259"/>
      <c r="L73" s="259"/>
      <c r="M73" s="259"/>
      <c r="N73" s="259"/>
      <c r="O73" s="259"/>
      <c r="P73" s="259"/>
      <c r="Q73" s="259"/>
      <c r="R73" s="259"/>
      <c r="S73" s="259"/>
      <c r="T73" s="259"/>
    </row>
    <row r="74" customFormat="false" ht="11.25" hidden="false" customHeight="false" outlineLevel="0" collapsed="false">
      <c r="B74" s="259"/>
      <c r="C74" s="259"/>
      <c r="D74" s="259"/>
      <c r="E74" s="259"/>
      <c r="F74" s="259"/>
      <c r="G74" s="259"/>
      <c r="H74" s="259"/>
      <c r="I74" s="259"/>
      <c r="J74" s="259"/>
      <c r="K74" s="259"/>
      <c r="L74" s="259"/>
      <c r="M74" s="259"/>
      <c r="N74" s="259"/>
      <c r="O74" s="259"/>
      <c r="P74" s="259"/>
      <c r="Q74" s="259"/>
      <c r="R74" s="259"/>
      <c r="S74" s="259"/>
      <c r="T74" s="259"/>
    </row>
    <row r="75" customFormat="false" ht="11.25" hidden="false" customHeight="false" outlineLevel="0" collapsed="false">
      <c r="B75" s="259"/>
      <c r="C75" s="259"/>
      <c r="D75" s="259"/>
      <c r="E75" s="259"/>
      <c r="F75" s="259"/>
      <c r="G75" s="259"/>
      <c r="H75" s="259"/>
      <c r="I75" s="259"/>
      <c r="J75" s="259"/>
      <c r="K75" s="259"/>
      <c r="L75" s="259"/>
      <c r="M75" s="259"/>
      <c r="N75" s="259"/>
      <c r="O75" s="259"/>
      <c r="P75" s="259"/>
      <c r="Q75" s="259"/>
      <c r="R75" s="259"/>
      <c r="S75" s="259"/>
      <c r="T75" s="259"/>
    </row>
    <row r="76" customFormat="false" ht="11.25" hidden="false" customHeight="false" outlineLevel="0" collapsed="false">
      <c r="B76" s="259"/>
      <c r="C76" s="259"/>
      <c r="D76" s="259"/>
      <c r="E76" s="259"/>
      <c r="F76" s="259"/>
      <c r="G76" s="259"/>
      <c r="H76" s="259"/>
      <c r="I76" s="259"/>
      <c r="J76" s="259"/>
      <c r="K76" s="259"/>
      <c r="L76" s="259"/>
      <c r="M76" s="259"/>
      <c r="N76" s="259"/>
      <c r="O76" s="259"/>
      <c r="P76" s="259"/>
      <c r="Q76" s="259"/>
      <c r="R76" s="259"/>
      <c r="S76" s="259"/>
      <c r="T76" s="259"/>
    </row>
    <row r="77" customFormat="false" ht="11.25" hidden="false" customHeight="false" outlineLevel="0" collapsed="false">
      <c r="B77" s="259"/>
      <c r="C77" s="259"/>
      <c r="D77" s="259"/>
      <c r="E77" s="259"/>
      <c r="F77" s="259"/>
      <c r="G77" s="259"/>
      <c r="H77" s="259"/>
      <c r="I77" s="259"/>
      <c r="J77" s="259"/>
      <c r="K77" s="259"/>
      <c r="L77" s="259"/>
      <c r="M77" s="259"/>
      <c r="N77" s="259"/>
      <c r="O77" s="259"/>
      <c r="P77" s="259"/>
      <c r="Q77" s="259"/>
      <c r="R77" s="259"/>
      <c r="S77" s="259"/>
      <c r="T77" s="259"/>
    </row>
    <row r="78" customFormat="false" ht="11.25" hidden="false" customHeight="false" outlineLevel="0" collapsed="false">
      <c r="B78" s="259"/>
      <c r="C78" s="259"/>
      <c r="D78" s="259"/>
      <c r="E78" s="259"/>
      <c r="F78" s="259"/>
      <c r="G78" s="259"/>
      <c r="H78" s="259"/>
      <c r="I78" s="259"/>
      <c r="J78" s="259"/>
      <c r="K78" s="259"/>
      <c r="L78" s="259"/>
      <c r="M78" s="259"/>
      <c r="N78" s="259"/>
      <c r="O78" s="259"/>
      <c r="P78" s="259"/>
      <c r="Q78" s="259"/>
      <c r="R78" s="259"/>
      <c r="S78" s="259"/>
      <c r="T78" s="259"/>
    </row>
    <row r="79" customFormat="false" ht="11.25" hidden="false" customHeight="false" outlineLevel="0" collapsed="false">
      <c r="B79" s="259"/>
      <c r="C79" s="259"/>
      <c r="D79" s="259"/>
      <c r="E79" s="259"/>
      <c r="F79" s="259"/>
      <c r="G79" s="259"/>
      <c r="H79" s="259"/>
      <c r="I79" s="259"/>
      <c r="J79" s="259"/>
      <c r="K79" s="259"/>
      <c r="L79" s="259"/>
      <c r="M79" s="259"/>
      <c r="N79" s="259"/>
      <c r="O79" s="259"/>
      <c r="P79" s="259"/>
      <c r="Q79" s="259"/>
      <c r="R79" s="259"/>
      <c r="S79" s="259"/>
      <c r="T79" s="259"/>
    </row>
    <row r="80" customFormat="false" ht="11.25" hidden="false" customHeight="false" outlineLevel="0" collapsed="false">
      <c r="B80" s="259"/>
      <c r="C80" s="259"/>
      <c r="D80" s="259"/>
      <c r="E80" s="259"/>
      <c r="F80" s="259"/>
      <c r="G80" s="259"/>
      <c r="H80" s="259"/>
      <c r="I80" s="259"/>
      <c r="J80" s="259"/>
      <c r="K80" s="259"/>
      <c r="L80" s="259"/>
      <c r="M80" s="259"/>
      <c r="N80" s="259"/>
      <c r="O80" s="259"/>
      <c r="P80" s="259"/>
      <c r="Q80" s="259"/>
      <c r="R80" s="259"/>
      <c r="S80" s="259"/>
      <c r="T80" s="259"/>
    </row>
    <row r="81" customFormat="false" ht="11.25" hidden="false" customHeight="false" outlineLevel="0" collapsed="false">
      <c r="B81" s="259"/>
      <c r="C81" s="259"/>
      <c r="D81" s="259"/>
      <c r="E81" s="259"/>
      <c r="F81" s="259"/>
      <c r="G81" s="259"/>
      <c r="H81" s="259"/>
      <c r="I81" s="259"/>
      <c r="J81" s="259"/>
      <c r="K81" s="259"/>
      <c r="L81" s="259"/>
      <c r="M81" s="259"/>
      <c r="N81" s="259"/>
      <c r="O81" s="259"/>
      <c r="P81" s="259"/>
      <c r="Q81" s="259"/>
      <c r="R81" s="259"/>
      <c r="S81" s="259"/>
      <c r="T81" s="259"/>
    </row>
    <row r="82" customFormat="false" ht="11.25" hidden="false" customHeight="false" outlineLevel="0" collapsed="false">
      <c r="B82" s="259"/>
      <c r="C82" s="259"/>
      <c r="D82" s="259"/>
      <c r="E82" s="259"/>
      <c r="F82" s="259"/>
      <c r="G82" s="259"/>
      <c r="H82" s="259"/>
      <c r="I82" s="259"/>
      <c r="J82" s="259"/>
      <c r="K82" s="259"/>
      <c r="L82" s="259"/>
      <c r="M82" s="259"/>
      <c r="N82" s="259"/>
      <c r="O82" s="259"/>
      <c r="P82" s="259"/>
      <c r="Q82" s="259"/>
      <c r="R82" s="259"/>
      <c r="S82" s="259"/>
      <c r="T82" s="259"/>
    </row>
  </sheetData>
  <mergeCells count="28">
    <mergeCell ref="J1:L1"/>
    <mergeCell ref="M1:N1"/>
    <mergeCell ref="S1:T1"/>
    <mergeCell ref="S2:T2"/>
    <mergeCell ref="A3:A7"/>
    <mergeCell ref="B3:E3"/>
    <mergeCell ref="F3:L3"/>
    <mergeCell ref="M3:O3"/>
    <mergeCell ref="Q3:Q6"/>
    <mergeCell ref="R3:R6"/>
    <mergeCell ref="S3:S6"/>
    <mergeCell ref="T3:T7"/>
    <mergeCell ref="B4:B6"/>
    <mergeCell ref="C4:C6"/>
    <mergeCell ref="D4:D6"/>
    <mergeCell ref="E4:E6"/>
    <mergeCell ref="F4:L4"/>
    <mergeCell ref="M4:O4"/>
    <mergeCell ref="P4:P6"/>
    <mergeCell ref="F5:I5"/>
    <mergeCell ref="J5:L5"/>
    <mergeCell ref="M5:M6"/>
    <mergeCell ref="N5:N6"/>
    <mergeCell ref="O5:O6"/>
    <mergeCell ref="B55:F55"/>
    <mergeCell ref="N55:T55"/>
    <mergeCell ref="N56:T56"/>
    <mergeCell ref="N58:T58"/>
  </mergeCells>
  <conditionalFormatting sqref="B12:T12 T8:T16 A8:A16 B8:S54">
    <cfRule type="expression" priority="2" aboveAverage="0" equalAverage="0" bottom="0" percent="0" rank="0" text="" dxfId="6">
      <formula>MOD(ROW(),2)=1</formula>
    </cfRule>
  </conditionalFormatting>
  <conditionalFormatting sqref="T13:T16 A13:A16">
    <cfRule type="expression" priority="3" aboveAverage="0" equalAverage="0" bottom="0" percent="0" rank="0" text="" dxfId="7">
      <formula>MOD(ROW(),2)=1</formula>
    </cfRule>
    <cfRule type="expression" priority="4" aboveAverage="0" equalAverage="0" bottom="0" percent="0" rank="0" text="" dxfId="0">
      <formula>MOD(ROW(),2)=1</formula>
    </cfRule>
  </conditionalFormatting>
  <conditionalFormatting sqref="T14:T16 A14:A16">
    <cfRule type="expression" priority="5" aboveAverage="0" equalAverage="0" bottom="0" percent="0" rank="0" text="" dxfId="0">
      <formula>MOD(row,0)=0</formula>
    </cfRule>
  </conditionalFormatting>
  <conditionalFormatting sqref="T14:T15 A14:A16">
    <cfRule type="expression" priority="6" aboveAverage="0" equalAverage="0" bottom="0" percent="0" rank="0" text="" dxfId="0">
      <formula>MOD((((#ref!))),0)=0</formula>
    </cfRule>
  </conditionalFormatting>
  <conditionalFormatting sqref="T16">
    <cfRule type="expression" priority="7" aboveAverage="0" equalAverage="0" bottom="0" percent="0" rank="0" text="" dxfId="0">
      <formula>MOD((((#ref!))),0)=0</formula>
    </cfRule>
  </conditionalFormatting>
  <conditionalFormatting sqref="B28:S30">
    <cfRule type="expression" priority="8" aboveAverage="0" equalAverage="0" bottom="0" percent="0" rank="0" text="" dxfId="8">
      <formula>MOD(ROW(),2)=1</formula>
    </cfRule>
  </conditionalFormatting>
  <conditionalFormatting sqref="B42:S42">
    <cfRule type="expression" priority="9" aboveAverage="0" equalAverage="0" bottom="0" percent="0" rank="0" text="" dxfId="9">
      <formula>MOD(ROW(),2)=1</formula>
    </cfRule>
  </conditionalFormatting>
  <printOptions headings="false" gridLines="false" gridLinesSet="true" horizontalCentered="false" verticalCentered="false"/>
  <pageMargins left="0.551388888888889" right="0.472222222222222" top="0.511805555555555" bottom="0.511805555555555" header="0.511805555555555" footer="0.39375"/>
  <pageSetup paperSize="1" scale="100" firstPageNumber="18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>&amp;C&amp;"Times New Roman,Regular"&amp;8&amp;P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LibreOffice/7.0.4.2$Linux_X86_64 LibreOffice_project/00$Build-2</Application>
  <AppVersion>15.0000</AppVersion>
  <Company>icsl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2007-04-10T13:42:14Z</dcterms:created>
  <dc:creator>asif</dc:creator>
  <dc:description/>
  <dc:language>en-US</dc:language>
  <cp:lastModifiedBy>knmukta</cp:lastModifiedBy>
  <cp:lastPrinted>2020-08-23T06:20:03Z</cp:lastPrinted>
  <dcterms:modified xsi:type="dcterms:W3CDTF">2020-08-23T07:41:40Z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