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5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40.xml" ContentType="application/vnd.openxmlformats-officedocument.spreadsheetml.worksheet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Default Extension="bin" ContentType="application/vnd.openxmlformats-officedocument.spreadsheetml.printerSettings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9705" yWindow="-15" windowWidth="9525" windowHeight="11760" tabRatio="833"/>
  </bookViews>
  <sheets>
    <sheet name="Cover Page" sheetId="55" r:id="rId1"/>
    <sheet name="Contents" sheetId="56" r:id="rId2"/>
    <sheet name="Table IA" sheetId="1" r:id="rId3"/>
    <sheet name="Table IB" sheetId="2" r:id="rId4"/>
    <sheet name="TableIIA" sheetId="3" r:id="rId5"/>
    <sheet name="TableIIB" sheetId="35" r:id="rId6"/>
    <sheet name="TableIIC " sheetId="4" r:id="rId7"/>
    <sheet name="Table IID" sheetId="51" r:id="rId8"/>
    <sheet name="Table IIE" sheetId="5" r:id="rId9"/>
    <sheet name="Table IIF" sheetId="36" r:id="rId10"/>
    <sheet name="Table IIG" sheetId="59" r:id="rId11"/>
    <sheet name="Table III A" sheetId="6" r:id="rId12"/>
    <sheet name="Table IIIB" sheetId="50" r:id="rId13"/>
    <sheet name="Table IV" sheetId="7" r:id="rId14"/>
    <sheet name="Table V" sheetId="8" r:id="rId15"/>
    <sheet name="Table VI" sheetId="10" r:id="rId16"/>
    <sheet name="Table VII" sheetId="11" r:id="rId17"/>
    <sheet name="Table VIII" sheetId="13" r:id="rId18"/>
    <sheet name="TableIXA" sheetId="37" r:id="rId19"/>
    <sheet name="TableIXB" sheetId="38" r:id="rId20"/>
    <sheet name="TableIXC" sheetId="39" r:id="rId21"/>
    <sheet name="TableX" sheetId="40" r:id="rId22"/>
    <sheet name="TableXI" sheetId="41" r:id="rId23"/>
    <sheet name="Table XIIA" sheetId="57" r:id="rId24"/>
    <sheet name="Table XIIB" sheetId="21" r:id="rId25"/>
    <sheet name="TableXIII" sheetId="42" r:id="rId26"/>
    <sheet name="Table XIV" sheetId="53" r:id="rId27"/>
    <sheet name="TableXV" sheetId="43" r:id="rId28"/>
    <sheet name="TableXVI" sheetId="44" r:id="rId29"/>
    <sheet name="Table XVII" sheetId="27" r:id="rId30"/>
    <sheet name="Table XVIII" sheetId="28" r:id="rId31"/>
    <sheet name="TableXIX" sheetId="45" r:id="rId32"/>
    <sheet name="TableXX" sheetId="58" r:id="rId33"/>
    <sheet name="TableXXI" sheetId="47" r:id="rId34"/>
    <sheet name="Table XXII" sheetId="32" r:id="rId35"/>
    <sheet name="Table XXIII" sheetId="33" r:id="rId36"/>
    <sheet name="Table XXIV" sheetId="61" r:id="rId37"/>
    <sheet name="Table XXV" sheetId="60" r:id="rId38"/>
    <sheet name="Table XXVI" sheetId="63" r:id="rId39"/>
    <sheet name="Table XXVII" sheetId="62" r:id="rId40"/>
    <sheet name="Appendix- Weights &amp; Measures" sheetId="52" r:id="rId41"/>
  </sheets>
  <definedNames>
    <definedName name="_xlnm._FilterDatabase" localSheetId="2" hidden="1">'Table IA'!#REF!</definedName>
    <definedName name="_xlnm._FilterDatabase" localSheetId="3" hidden="1">'Table IB'!$C$1:$C$75</definedName>
    <definedName name="ReportLinkMenu" localSheetId="27">TableXV!#REF!</definedName>
    <definedName name="SectionElements" localSheetId="27">TableXV!#REF!</definedName>
  </definedNames>
  <calcPr calcId="124519"/>
  <fileRecoveryPr autoRecover="0"/>
</workbook>
</file>

<file path=xl/calcChain.xml><?xml version="1.0" encoding="utf-8"?>
<calcChain xmlns="http://schemas.openxmlformats.org/spreadsheetml/2006/main">
  <c r="K51" i="36"/>
  <c r="I51"/>
  <c r="F51"/>
  <c r="R53" i="5"/>
  <c r="S53" s="1"/>
  <c r="O53"/>
  <c r="P53" s="1"/>
  <c r="M53"/>
  <c r="L53"/>
  <c r="J53"/>
  <c r="I53"/>
  <c r="F53"/>
  <c r="E53"/>
  <c r="B53"/>
  <c r="K51" i="33"/>
  <c r="L30" i="61" l="1"/>
  <c r="F30"/>
  <c r="U38" i="45" l="1"/>
  <c r="BC52" i="1" l="1"/>
  <c r="AY52"/>
  <c r="AZ52" s="1"/>
  <c r="BA52"/>
  <c r="J35" i="10"/>
  <c r="J29" i="60"/>
  <c r="E29"/>
  <c r="U51" i="6"/>
  <c r="V51"/>
  <c r="M51"/>
  <c r="N51" s="1"/>
  <c r="J51"/>
  <c r="G51"/>
  <c r="D51"/>
  <c r="L51" i="7"/>
  <c r="K51" s="1"/>
  <c r="F51"/>
  <c r="AN51"/>
  <c r="AM51"/>
  <c r="O51"/>
  <c r="K51" i="35"/>
  <c r="I51"/>
  <c r="F51"/>
  <c r="I53" i="51"/>
  <c r="J53" s="1"/>
  <c r="G53"/>
  <c r="G53" i="4"/>
  <c r="N54" i="3"/>
  <c r="O54" s="1"/>
  <c r="L54"/>
  <c r="K54"/>
  <c r="J54"/>
  <c r="G54"/>
  <c r="D54"/>
  <c r="CD52" i="1"/>
  <c r="AV52"/>
  <c r="AX52" s="1"/>
  <c r="CA52"/>
  <c r="BU52"/>
  <c r="BV52"/>
  <c r="BH52"/>
  <c r="AL52"/>
  <c r="AP52" s="1"/>
  <c r="AO52"/>
  <c r="AN52"/>
  <c r="AM52"/>
  <c r="AH52"/>
  <c r="AD52"/>
  <c r="V52"/>
  <c r="W52" s="1"/>
  <c r="S52"/>
  <c r="T52" s="1"/>
  <c r="N52"/>
  <c r="L52"/>
  <c r="Q50" i="41"/>
  <c r="P50"/>
  <c r="E49" i="40"/>
  <c r="D49"/>
  <c r="J34" i="10"/>
  <c r="J33"/>
  <c r="BA51" i="1"/>
  <c r="E28" i="13"/>
  <c r="K50" i="36"/>
  <c r="I50"/>
  <c r="F50"/>
  <c r="R52" i="5"/>
  <c r="S52" s="1"/>
  <c r="O52"/>
  <c r="P52" s="1"/>
  <c r="M52"/>
  <c r="L52"/>
  <c r="J52"/>
  <c r="I52"/>
  <c r="F52"/>
  <c r="E52"/>
  <c r="B52"/>
  <c r="K49" i="33"/>
  <c r="K50"/>
  <c r="J28" i="60"/>
  <c r="E28"/>
  <c r="L29" i="61"/>
  <c r="F29"/>
  <c r="U37" i="45"/>
  <c r="U50" i="6"/>
  <c r="V50" s="1"/>
  <c r="M50"/>
  <c r="N50" s="1"/>
  <c r="J50"/>
  <c r="G50"/>
  <c r="D50"/>
  <c r="AM50" i="7"/>
  <c r="AN50" s="1"/>
  <c r="AO50" s="1"/>
  <c r="O50"/>
  <c r="L50"/>
  <c r="K50" s="1"/>
  <c r="F50"/>
  <c r="I52" i="51"/>
  <c r="J52" s="1"/>
  <c r="G52"/>
  <c r="G52" i="4"/>
  <c r="K50" i="35"/>
  <c r="I50"/>
  <c r="F50"/>
  <c r="AO51" i="7" l="1"/>
  <c r="BW52" i="1"/>
  <c r="BT52"/>
  <c r="N53" i="3"/>
  <c r="O53" s="1"/>
  <c r="L53"/>
  <c r="K53"/>
  <c r="J53"/>
  <c r="CD51" i="1"/>
  <c r="CA51"/>
  <c r="BW51"/>
  <c r="BT51"/>
  <c r="BU51"/>
  <c r="BV51"/>
  <c r="G53" i="3"/>
  <c r="D53"/>
  <c r="AV51" i="1"/>
  <c r="BC51"/>
  <c r="BH51"/>
  <c r="AY51"/>
  <c r="AX51"/>
  <c r="AL51"/>
  <c r="AP51" s="1"/>
  <c r="AO51"/>
  <c r="AN51"/>
  <c r="AM51"/>
  <c r="AH51"/>
  <c r="AD51"/>
  <c r="V51"/>
  <c r="W51" s="1"/>
  <c r="S51"/>
  <c r="T51" s="1"/>
  <c r="N51"/>
  <c r="L51"/>
  <c r="Q49" i="41"/>
  <c r="P49"/>
  <c r="E48" i="40"/>
  <c r="D48"/>
  <c r="S57" i="39"/>
  <c r="K57"/>
  <c r="I57"/>
  <c r="H57"/>
  <c r="F57"/>
  <c r="E57"/>
  <c r="D57"/>
  <c r="C57"/>
  <c r="B57"/>
  <c r="S56" i="38"/>
  <c r="R56"/>
  <c r="Q56"/>
  <c r="P56"/>
  <c r="O56"/>
  <c r="N56"/>
  <c r="M56"/>
  <c r="L56"/>
  <c r="K56"/>
  <c r="J56"/>
  <c r="I56"/>
  <c r="H56"/>
  <c r="G56"/>
  <c r="F56"/>
  <c r="E56"/>
  <c r="D56"/>
  <c r="C56"/>
  <c r="B56"/>
  <c r="J27" i="60"/>
  <c r="E27"/>
  <c r="L28" i="61"/>
  <c r="F28"/>
  <c r="D61" i="50"/>
  <c r="C61"/>
  <c r="E61" s="1"/>
  <c r="B61"/>
  <c r="AZ51" i="1" l="1"/>
  <c r="I63" i="50"/>
  <c r="I62"/>
  <c r="E63"/>
  <c r="K49" i="36" l="1"/>
  <c r="I49"/>
  <c r="F49"/>
  <c r="R51" i="5"/>
  <c r="S51" s="1"/>
  <c r="O51"/>
  <c r="P51" s="1"/>
  <c r="M51"/>
  <c r="L51"/>
  <c r="J51"/>
  <c r="I51"/>
  <c r="F51"/>
  <c r="E51"/>
  <c r="B51"/>
  <c r="W56" i="39"/>
  <c r="V56"/>
  <c r="V57" s="1"/>
  <c r="U56"/>
  <c r="Q56"/>
  <c r="L56"/>
  <c r="J56"/>
  <c r="G56"/>
  <c r="S55" i="38"/>
  <c r="U55" s="1"/>
  <c r="Q55"/>
  <c r="Q55" i="37"/>
  <c r="S55" s="1"/>
  <c r="S56" l="1"/>
  <c r="K56"/>
  <c r="C56"/>
  <c r="L56"/>
  <c r="D56"/>
  <c r="N56"/>
  <c r="U55"/>
  <c r="B56"/>
  <c r="M56"/>
  <c r="E56"/>
  <c r="F56"/>
  <c r="H56"/>
  <c r="I56"/>
  <c r="R56"/>
  <c r="O56"/>
  <c r="G56"/>
  <c r="P56"/>
  <c r="J56"/>
  <c r="Q56"/>
  <c r="U36" i="45"/>
  <c r="AM49" i="7" l="1"/>
  <c r="AN49" s="1"/>
  <c r="AO49" s="1"/>
  <c r="AL49"/>
  <c r="O49"/>
  <c r="L49"/>
  <c r="K49"/>
  <c r="F49"/>
  <c r="U49" i="6"/>
  <c r="V49" s="1"/>
  <c r="M49"/>
  <c r="N49" s="1"/>
  <c r="J49"/>
  <c r="G49"/>
  <c r="D49"/>
  <c r="I51" i="51"/>
  <c r="J51" s="1"/>
  <c r="G51"/>
  <c r="G51" i="4"/>
  <c r="K49" i="35"/>
  <c r="I49"/>
  <c r="F49"/>
  <c r="AV50" i="1"/>
  <c r="AX50" s="1"/>
  <c r="N52" i="3"/>
  <c r="O52" s="1"/>
  <c r="L52"/>
  <c r="K52"/>
  <c r="J52"/>
  <c r="G52"/>
  <c r="D52"/>
  <c r="BW50" i="1"/>
  <c r="BU50"/>
  <c r="BH50"/>
  <c r="BC50"/>
  <c r="AY50"/>
  <c r="AZ50" s="1"/>
  <c r="BA50"/>
  <c r="AL50"/>
  <c r="AP50" s="1"/>
  <c r="BV50" s="1"/>
  <c r="AO50"/>
  <c r="AN50"/>
  <c r="AM50"/>
  <c r="AH50"/>
  <c r="AD50"/>
  <c r="V50"/>
  <c r="W50" s="1"/>
  <c r="S50"/>
  <c r="T50" s="1"/>
  <c r="N50"/>
  <c r="L50"/>
  <c r="CA50"/>
  <c r="CD50"/>
  <c r="K48" i="33"/>
  <c r="BT50" i="1" l="1"/>
  <c r="E47" i="40"/>
  <c r="Q48" i="41"/>
  <c r="P48"/>
  <c r="D47" i="40"/>
  <c r="J26" i="60"/>
  <c r="E26"/>
  <c r="L27" i="61"/>
  <c r="F27"/>
  <c r="U35" i="45"/>
  <c r="U48" i="6" l="1"/>
  <c r="M48"/>
  <c r="J48"/>
  <c r="G48"/>
  <c r="D48"/>
  <c r="K48" i="36"/>
  <c r="I48"/>
  <c r="F48"/>
  <c r="R50" i="5"/>
  <c r="S50" s="1"/>
  <c r="P50"/>
  <c r="O50"/>
  <c r="M50"/>
  <c r="L50"/>
  <c r="J50"/>
  <c r="I50"/>
  <c r="F50"/>
  <c r="E50"/>
  <c r="B50"/>
  <c r="J32" i="10"/>
  <c r="N48" i="6" l="1"/>
  <c r="V48" s="1"/>
  <c r="BW49" i="1"/>
  <c r="BT49"/>
  <c r="BU49"/>
  <c r="BV49"/>
  <c r="AV49"/>
  <c r="AX49" s="1"/>
  <c r="K48" i="35"/>
  <c r="I48"/>
  <c r="F48"/>
  <c r="AM48" i="7"/>
  <c r="AN48" s="1"/>
  <c r="AO48" s="1"/>
  <c r="AL48"/>
  <c r="O48"/>
  <c r="L48"/>
  <c r="K48" s="1"/>
  <c r="F48"/>
  <c r="I50" i="51"/>
  <c r="J50" s="1"/>
  <c r="G50"/>
  <c r="G50" i="4"/>
  <c r="N51" i="3"/>
  <c r="O51" s="1"/>
  <c r="L51"/>
  <c r="K51"/>
  <c r="J51"/>
  <c r="G51"/>
  <c r="D51"/>
  <c r="CA49" i="1"/>
  <c r="CD49"/>
  <c r="BH49"/>
  <c r="BA49"/>
  <c r="AZ49" s="1"/>
  <c r="AY49"/>
  <c r="AL49"/>
  <c r="AP49" s="1"/>
  <c r="AO49"/>
  <c r="AN49"/>
  <c r="AM49"/>
  <c r="AH49"/>
  <c r="AD49"/>
  <c r="V49"/>
  <c r="W49" s="1"/>
  <c r="S49"/>
  <c r="T49" s="1"/>
  <c r="N49"/>
  <c r="L49"/>
  <c r="BA32"/>
  <c r="BA33"/>
  <c r="BA34"/>
  <c r="BA35"/>
  <c r="BA36"/>
  <c r="BA37"/>
  <c r="BA38"/>
  <c r="BA39"/>
  <c r="BA40"/>
  <c r="BA41"/>
  <c r="BA43"/>
  <c r="BA44"/>
  <c r="BA45"/>
  <c r="BA46"/>
  <c r="Q47" i="41"/>
  <c r="P47"/>
  <c r="E46" i="40"/>
  <c r="D46"/>
  <c r="K47" i="33"/>
  <c r="BC49" i="1" l="1"/>
  <c r="L26" i="61"/>
  <c r="F26"/>
  <c r="B28" i="13" l="1"/>
  <c r="F28"/>
  <c r="C28"/>
  <c r="L45" i="7"/>
  <c r="L47"/>
  <c r="BA47" i="1"/>
  <c r="BA48"/>
  <c r="G27" i="44"/>
  <c r="F27"/>
  <c r="E27"/>
  <c r="D27"/>
  <c r="C27"/>
  <c r="B27"/>
  <c r="J31" i="10"/>
  <c r="M49" i="5"/>
  <c r="O49" s="1"/>
  <c r="P49" s="1"/>
  <c r="R49" s="1"/>
  <c r="S49" s="1"/>
  <c r="L49"/>
  <c r="J49"/>
  <c r="I49"/>
  <c r="F49"/>
  <c r="E49"/>
  <c r="B49"/>
  <c r="J25" i="60"/>
  <c r="E25"/>
  <c r="G47" i="6"/>
  <c r="N47" s="1"/>
  <c r="V47" s="1"/>
  <c r="D47"/>
  <c r="U47"/>
  <c r="M47"/>
  <c r="J47"/>
  <c r="CA48" i="1"/>
  <c r="AM47" i="7" l="1"/>
  <c r="AN47" s="1"/>
  <c r="AO47" s="1"/>
  <c r="AL47"/>
  <c r="O47"/>
  <c r="BW48" i="1"/>
  <c r="BT48"/>
  <c r="BU48"/>
  <c r="BV48"/>
  <c r="K47" i="7" l="1"/>
  <c r="F47"/>
  <c r="U34" i="45" l="1"/>
  <c r="U32"/>
  <c r="G49" i="4"/>
  <c r="AX48" i="1" l="1"/>
  <c r="AV48"/>
  <c r="AZ48"/>
  <c r="AY48"/>
  <c r="BC48"/>
  <c r="BH48"/>
  <c r="AL48"/>
  <c r="AP48" s="1"/>
  <c r="AN48"/>
  <c r="AO48"/>
  <c r="AM48"/>
  <c r="AH48"/>
  <c r="AD48"/>
  <c r="V48"/>
  <c r="W48" s="1"/>
  <c r="S48"/>
  <c r="T48" s="1"/>
  <c r="N48"/>
  <c r="L48"/>
  <c r="CD48"/>
  <c r="I47" i="36" l="1"/>
  <c r="F47"/>
  <c r="K47" i="35"/>
  <c r="I47"/>
  <c r="F47"/>
  <c r="G49" i="51"/>
  <c r="I49" s="1"/>
  <c r="J49" s="1"/>
  <c r="N50" i="3"/>
  <c r="O50" s="1"/>
  <c r="L50"/>
  <c r="K50"/>
  <c r="J50"/>
  <c r="G50"/>
  <c r="D50"/>
  <c r="Q46" i="41"/>
  <c r="P46"/>
  <c r="E45" i="40"/>
  <c r="D45"/>
  <c r="K47" i="36" l="1"/>
  <c r="K46" i="33"/>
  <c r="L46" i="7"/>
  <c r="F46"/>
  <c r="O28" i="33"/>
  <c r="N28"/>
  <c r="M28"/>
  <c r="L28"/>
  <c r="I19" i="63"/>
  <c r="H19"/>
  <c r="G19"/>
  <c r="F19"/>
  <c r="E19"/>
  <c r="D19"/>
  <c r="C19"/>
  <c r="E62" i="50"/>
  <c r="J47" i="5" l="1"/>
  <c r="M47"/>
  <c r="M48"/>
  <c r="O48" s="1"/>
  <c r="P48" s="1"/>
  <c r="R48" s="1"/>
  <c r="S48" s="1"/>
  <c r="L48"/>
  <c r="J48"/>
  <c r="F48"/>
  <c r="I48" s="1"/>
  <c r="E48"/>
  <c r="B48"/>
  <c r="L25" i="61"/>
  <c r="F25"/>
  <c r="Q38" i="39"/>
  <c r="Q36"/>
  <c r="Q34"/>
  <c r="Q32"/>
  <c r="Q30"/>
  <c r="U46" i="6" l="1"/>
  <c r="M46"/>
  <c r="N46" s="1"/>
  <c r="J46"/>
  <c r="G46"/>
  <c r="D46"/>
  <c r="V46" l="1"/>
  <c r="U33" i="45"/>
  <c r="CA47" i="1" l="1"/>
  <c r="CD47"/>
  <c r="K46" i="7" l="1"/>
  <c r="J24" i="60" l="1"/>
  <c r="E24"/>
  <c r="BH47" i="1" l="1"/>
  <c r="AV47"/>
  <c r="AX47" s="1"/>
  <c r="AL47"/>
  <c r="AN47"/>
  <c r="AO47"/>
  <c r="AM47"/>
  <c r="AH47"/>
  <c r="AD47"/>
  <c r="S47"/>
  <c r="T47" s="1"/>
  <c r="AN46" i="7"/>
  <c r="AO46" s="1"/>
  <c r="AM46"/>
  <c r="AL46"/>
  <c r="O46"/>
  <c r="G48" i="4"/>
  <c r="L47" i="1"/>
  <c r="N47" s="1"/>
  <c r="V47" s="1"/>
  <c r="W47" s="1"/>
  <c r="G48" i="51"/>
  <c r="I48" s="1"/>
  <c r="J48" s="1"/>
  <c r="K49" i="3"/>
  <c r="J49"/>
  <c r="G49"/>
  <c r="D49"/>
  <c r="I46" i="36"/>
  <c r="F46"/>
  <c r="I46" i="35"/>
  <c r="F46"/>
  <c r="B11" i="11"/>
  <c r="C11"/>
  <c r="D11"/>
  <c r="E11"/>
  <c r="F11"/>
  <c r="G11"/>
  <c r="H11"/>
  <c r="I11"/>
  <c r="J11"/>
  <c r="K11"/>
  <c r="L11"/>
  <c r="M11"/>
  <c r="N11"/>
  <c r="O11"/>
  <c r="P11"/>
  <c r="Q11"/>
  <c r="K45" i="33"/>
  <c r="K46" i="35" l="1"/>
  <c r="BC47" i="1"/>
  <c r="L49" i="3"/>
  <c r="N49" s="1"/>
  <c r="O49" s="1"/>
  <c r="K46" i="36"/>
  <c r="BU47" i="1"/>
  <c r="BW47"/>
  <c r="AP47"/>
  <c r="J29" i="10"/>
  <c r="P45" i="41"/>
  <c r="Q45" s="1"/>
  <c r="D44" i="40"/>
  <c r="E44"/>
  <c r="T37" i="6"/>
  <c r="S37"/>
  <c r="R37"/>
  <c r="Q37"/>
  <c r="P37"/>
  <c r="L37"/>
  <c r="K37"/>
  <c r="I37"/>
  <c r="H37"/>
  <c r="C37"/>
  <c r="B37"/>
  <c r="F37"/>
  <c r="E37"/>
  <c r="U45"/>
  <c r="M45"/>
  <c r="J45"/>
  <c r="G45"/>
  <c r="D45"/>
  <c r="L24" i="61"/>
  <c r="F24"/>
  <c r="N45" i="6" l="1"/>
  <c r="V45" s="1"/>
  <c r="BT47" i="1"/>
  <c r="BV47"/>
  <c r="L47" i="5"/>
  <c r="O47"/>
  <c r="I47"/>
  <c r="F47"/>
  <c r="B47"/>
  <c r="E47" s="1"/>
  <c r="P47" l="1"/>
  <c r="R47" s="1"/>
  <c r="S47" s="1"/>
  <c r="L40" i="7" l="1"/>
  <c r="L37"/>
  <c r="L35"/>
  <c r="L33"/>
  <c r="L32"/>
  <c r="L31"/>
  <c r="L29"/>
  <c r="F29"/>
  <c r="F30"/>
  <c r="F33"/>
  <c r="F35"/>
  <c r="F45"/>
  <c r="K45" s="1"/>
  <c r="AL45"/>
  <c r="AM45" s="1"/>
  <c r="AN45" s="1"/>
  <c r="AO45" s="1"/>
  <c r="O45"/>
  <c r="CD46" i="1"/>
  <c r="CA46"/>
  <c r="G47" i="51" l="1"/>
  <c r="I47" s="1"/>
  <c r="J47" s="1"/>
  <c r="K48" i="3"/>
  <c r="J48"/>
  <c r="G48"/>
  <c r="D48"/>
  <c r="L48" l="1"/>
  <c r="N48" s="1"/>
  <c r="O48" s="1"/>
  <c r="J23" i="60"/>
  <c r="E23"/>
  <c r="G47" i="4"/>
  <c r="AV46" i="1"/>
  <c r="BU46" s="1"/>
  <c r="I45" i="36"/>
  <c r="F45"/>
  <c r="I45" i="35"/>
  <c r="F45"/>
  <c r="K45" s="1"/>
  <c r="BH46" i="1"/>
  <c r="AO46"/>
  <c r="AN46"/>
  <c r="AM46"/>
  <c r="AL46"/>
  <c r="AH46"/>
  <c r="AD46"/>
  <c r="S46"/>
  <c r="T46" s="1"/>
  <c r="L46"/>
  <c r="BC46" s="1"/>
  <c r="K45" i="36" l="1"/>
  <c r="N46" i="1"/>
  <c r="V46" s="1"/>
  <c r="W46" s="1"/>
  <c r="AP46"/>
  <c r="BT46" s="1"/>
  <c r="AX46"/>
  <c r="BW46"/>
  <c r="V54" i="39"/>
  <c r="Q44" i="41"/>
  <c r="P44"/>
  <c r="E43" i="40"/>
  <c r="D43"/>
  <c r="BV46" i="1" l="1"/>
  <c r="K44" i="33"/>
  <c r="F44" i="7" l="1"/>
  <c r="J46" i="5"/>
  <c r="L46" s="1"/>
  <c r="O46"/>
  <c r="M46"/>
  <c r="I46"/>
  <c r="F46"/>
  <c r="B46"/>
  <c r="E46" s="1"/>
  <c r="K43" i="33"/>
  <c r="K42"/>
  <c r="P46" i="5" l="1"/>
  <c r="R46" s="1"/>
  <c r="S46" s="1"/>
  <c r="L23" i="61" l="1"/>
  <c r="F23"/>
  <c r="K44" i="7" l="1"/>
  <c r="L44"/>
  <c r="AL44"/>
  <c r="AM44" s="1"/>
  <c r="O44"/>
  <c r="AN44" l="1"/>
  <c r="AO44" s="1"/>
  <c r="V55" i="39"/>
  <c r="B55" l="1"/>
  <c r="C55"/>
  <c r="D55"/>
  <c r="E55"/>
  <c r="F55"/>
  <c r="H55"/>
  <c r="I55"/>
  <c r="K55"/>
  <c r="S55"/>
  <c r="U31" i="45"/>
  <c r="U30"/>
  <c r="J22" i="60" l="1"/>
  <c r="E22"/>
  <c r="U44" i="6" l="1"/>
  <c r="M44"/>
  <c r="J44"/>
  <c r="G44"/>
  <c r="D44"/>
  <c r="CA45" i="1"/>
  <c r="CD45"/>
  <c r="G46" i="51"/>
  <c r="I46" s="1"/>
  <c r="J46" s="1"/>
  <c r="L47" i="3"/>
  <c r="N47" s="1"/>
  <c r="O47" s="1"/>
  <c r="K47"/>
  <c r="J47"/>
  <c r="G47"/>
  <c r="D47"/>
  <c r="I44" i="36"/>
  <c r="F44"/>
  <c r="I44" i="35"/>
  <c r="F44"/>
  <c r="K44" l="1"/>
  <c r="N44" i="6"/>
  <c r="V44" s="1"/>
  <c r="K44" i="36"/>
  <c r="G46" i="4"/>
  <c r="AV45" i="1"/>
  <c r="BC45"/>
  <c r="BH45"/>
  <c r="AO45"/>
  <c r="AN45"/>
  <c r="AM45"/>
  <c r="AL45"/>
  <c r="AH45"/>
  <c r="AD45"/>
  <c r="S45"/>
  <c r="T45" s="1"/>
  <c r="N45"/>
  <c r="V45" s="1"/>
  <c r="W45" s="1"/>
  <c r="L45"/>
  <c r="P43" i="41"/>
  <c r="Q43" s="1"/>
  <c r="E42" i="40"/>
  <c r="D42"/>
  <c r="J28" i="10"/>
  <c r="H53" i="50"/>
  <c r="G53"/>
  <c r="F53"/>
  <c r="D57"/>
  <c r="C57"/>
  <c r="B57"/>
  <c r="L42" i="7"/>
  <c r="AL42"/>
  <c r="AL40"/>
  <c r="AL39"/>
  <c r="AL38"/>
  <c r="AL37"/>
  <c r="AL36"/>
  <c r="AL35"/>
  <c r="AL34"/>
  <c r="AL33"/>
  <c r="AL32"/>
  <c r="AL31"/>
  <c r="AL30"/>
  <c r="AL29"/>
  <c r="L43"/>
  <c r="AP45" i="1" l="1"/>
  <c r="BV45" s="1"/>
  <c r="BU45"/>
  <c r="BW45"/>
  <c r="AX45"/>
  <c r="AY47" s="1"/>
  <c r="AZ47" s="1"/>
  <c r="E57" i="50"/>
  <c r="I53"/>
  <c r="O45" i="5"/>
  <c r="M45"/>
  <c r="J45"/>
  <c r="L45" s="1"/>
  <c r="I45"/>
  <c r="F45"/>
  <c r="E45"/>
  <c r="B45"/>
  <c r="BT45" i="1" l="1"/>
  <c r="P45" i="5"/>
  <c r="R45" s="1"/>
  <c r="S45" s="1"/>
  <c r="J20" i="60"/>
  <c r="E20"/>
  <c r="I59" i="50" l="1"/>
  <c r="E59"/>
  <c r="J21" i="60"/>
  <c r="E21"/>
  <c r="L22" i="61"/>
  <c r="F22"/>
  <c r="AM43" i="7"/>
  <c r="AL43"/>
  <c r="O43"/>
  <c r="U43" i="6"/>
  <c r="M43"/>
  <c r="J43"/>
  <c r="G43"/>
  <c r="D43"/>
  <c r="N43" l="1"/>
  <c r="V43" s="1"/>
  <c r="AN43" i="7"/>
  <c r="AO43" s="1"/>
  <c r="G45" i="51"/>
  <c r="I45" s="1"/>
  <c r="J45" s="1"/>
  <c r="L46" i="3"/>
  <c r="N46" s="1"/>
  <c r="O46" s="1"/>
  <c r="K46"/>
  <c r="J46"/>
  <c r="G46"/>
  <c r="D46"/>
  <c r="K43" i="7"/>
  <c r="F43"/>
  <c r="G45" i="4" l="1"/>
  <c r="AX44" i="1"/>
  <c r="AY46" s="1"/>
  <c r="AZ46" s="1"/>
  <c r="AV44"/>
  <c r="BH44"/>
  <c r="AO44"/>
  <c r="AN44"/>
  <c r="AM44"/>
  <c r="AL44"/>
  <c r="AH44"/>
  <c r="AD44"/>
  <c r="S44"/>
  <c r="T44" s="1"/>
  <c r="N44"/>
  <c r="V44" s="1"/>
  <c r="W44" s="1"/>
  <c r="L44"/>
  <c r="BC44" s="1"/>
  <c r="I43" i="36"/>
  <c r="F43"/>
  <c r="I43" i="35"/>
  <c r="F43"/>
  <c r="CA44" i="1"/>
  <c r="CD44"/>
  <c r="Q42" i="41"/>
  <c r="P42"/>
  <c r="E41" i="40"/>
  <c r="D41"/>
  <c r="K43" i="36" l="1"/>
  <c r="K43" i="35"/>
  <c r="AP44" i="1"/>
  <c r="BT44" s="1"/>
  <c r="BW44"/>
  <c r="BU44"/>
  <c r="W54" i="39"/>
  <c r="W52"/>
  <c r="V52"/>
  <c r="U54"/>
  <c r="U52"/>
  <c r="B14" i="10"/>
  <c r="N14"/>
  <c r="L14"/>
  <c r="I14"/>
  <c r="H14"/>
  <c r="G14"/>
  <c r="F14"/>
  <c r="D14"/>
  <c r="C14"/>
  <c r="BV44" i="1" l="1"/>
  <c r="J40" i="33"/>
  <c r="J38"/>
  <c r="W34" i="27"/>
  <c r="L21" i="61"/>
  <c r="F21"/>
  <c r="J26" i="10"/>
  <c r="R31" i="27"/>
  <c r="Q31"/>
  <c r="P31"/>
  <c r="O31"/>
  <c r="U29" i="45"/>
  <c r="I42" i="36" l="1"/>
  <c r="F42"/>
  <c r="I40"/>
  <c r="F40"/>
  <c r="M44" i="5"/>
  <c r="O44" s="1"/>
  <c r="J44"/>
  <c r="L44" s="1"/>
  <c r="F44"/>
  <c r="I44" s="1"/>
  <c r="B44"/>
  <c r="E44" s="1"/>
  <c r="M42"/>
  <c r="O42" s="1"/>
  <c r="J42"/>
  <c r="L42" s="1"/>
  <c r="I42"/>
  <c r="F42"/>
  <c r="B42"/>
  <c r="E42" s="1"/>
  <c r="K42" i="36" l="1"/>
  <c r="K40"/>
  <c r="P42" i="5"/>
  <c r="R42" s="1"/>
  <c r="S42" s="1"/>
  <c r="P44"/>
  <c r="R44" s="1"/>
  <c r="S44" s="1"/>
  <c r="AM42" i="7" l="1"/>
  <c r="O42"/>
  <c r="F42"/>
  <c r="K42" s="1"/>
  <c r="AN42" l="1"/>
  <c r="AO42" s="1"/>
  <c r="I42" i="35" l="1"/>
  <c r="F42"/>
  <c r="G44" i="51"/>
  <c r="I44" s="1"/>
  <c r="J44" s="1"/>
  <c r="K42" i="35" l="1"/>
  <c r="G44" i="4"/>
  <c r="K45" i="3"/>
  <c r="K43"/>
  <c r="J45"/>
  <c r="G45"/>
  <c r="D45"/>
  <c r="CA43" i="1"/>
  <c r="CD43"/>
  <c r="BH43"/>
  <c r="AV43"/>
  <c r="BU43" s="1"/>
  <c r="AO43"/>
  <c r="AN43"/>
  <c r="AM43"/>
  <c r="AL43"/>
  <c r="AH43"/>
  <c r="AD43"/>
  <c r="S43"/>
  <c r="T43" s="1"/>
  <c r="L43"/>
  <c r="BC43" s="1"/>
  <c r="P41" i="41"/>
  <c r="Q41" s="1"/>
  <c r="E40" i="40"/>
  <c r="D40"/>
  <c r="L45" i="3" l="1"/>
  <c r="N45" s="1"/>
  <c r="O45" s="1"/>
  <c r="BW43" i="1"/>
  <c r="N43"/>
  <c r="V43" s="1"/>
  <c r="W43" s="1"/>
  <c r="AP43"/>
  <c r="AX43"/>
  <c r="AY45" s="1"/>
  <c r="AZ45" s="1"/>
  <c r="J43" i="3"/>
  <c r="G43"/>
  <c r="D43"/>
  <c r="CD41" i="1"/>
  <c r="CA41"/>
  <c r="BH41"/>
  <c r="AV41"/>
  <c r="BU41" s="1"/>
  <c r="AO41"/>
  <c r="AN41"/>
  <c r="AM41"/>
  <c r="AL41"/>
  <c r="AH41"/>
  <c r="AD41"/>
  <c r="S41"/>
  <c r="T41" s="1"/>
  <c r="L41"/>
  <c r="BC41" s="1"/>
  <c r="BV43" l="1"/>
  <c r="BT43"/>
  <c r="AP41"/>
  <c r="BT41" s="1"/>
  <c r="AX41"/>
  <c r="L43" i="3"/>
  <c r="N43" s="1"/>
  <c r="O43" s="1"/>
  <c r="N41" i="1"/>
  <c r="V41" s="1"/>
  <c r="W41" s="1"/>
  <c r="BW41"/>
  <c r="AZ44" l="1"/>
  <c r="AY44"/>
  <c r="BV41"/>
  <c r="J18" i="60"/>
  <c r="E18"/>
  <c r="C6"/>
  <c r="D6"/>
  <c r="F6"/>
  <c r="G6"/>
  <c r="H6"/>
  <c r="I6"/>
  <c r="K6"/>
  <c r="L6"/>
  <c r="M6"/>
  <c r="N6"/>
  <c r="O6"/>
  <c r="P6"/>
  <c r="Q6"/>
  <c r="B6"/>
  <c r="C6" i="61"/>
  <c r="D6"/>
  <c r="E6"/>
  <c r="G6"/>
  <c r="H6"/>
  <c r="I6"/>
  <c r="J6"/>
  <c r="K6"/>
  <c r="M6"/>
  <c r="N6"/>
  <c r="O6"/>
  <c r="P6"/>
  <c r="Q6"/>
  <c r="R6"/>
  <c r="S6"/>
  <c r="B6"/>
  <c r="L20"/>
  <c r="F20"/>
  <c r="J6" i="60" l="1"/>
  <c r="E6"/>
  <c r="U28" i="45"/>
  <c r="AK28" i="7" l="1"/>
  <c r="AJ28"/>
  <c r="AI28"/>
  <c r="AH28"/>
  <c r="AG28"/>
  <c r="AF28"/>
  <c r="AE28"/>
  <c r="AD28"/>
  <c r="AC28"/>
  <c r="AB28"/>
  <c r="AA28"/>
  <c r="Z28"/>
  <c r="Y28"/>
  <c r="X28"/>
  <c r="W28"/>
  <c r="T28"/>
  <c r="S28"/>
  <c r="R28"/>
  <c r="Q28"/>
  <c r="P28"/>
  <c r="N28"/>
  <c r="M28"/>
  <c r="J28"/>
  <c r="I28"/>
  <c r="H28"/>
  <c r="G28"/>
  <c r="E28"/>
  <c r="D28"/>
  <c r="C28"/>
  <c r="B28"/>
  <c r="AM40"/>
  <c r="O40"/>
  <c r="F40"/>
  <c r="K40" s="1"/>
  <c r="I58" i="50"/>
  <c r="E58"/>
  <c r="H30" i="51"/>
  <c r="F30"/>
  <c r="E30"/>
  <c r="D30"/>
  <c r="C30"/>
  <c r="B30"/>
  <c r="Q30" i="5"/>
  <c r="N30"/>
  <c r="L30"/>
  <c r="K30"/>
  <c r="J30"/>
  <c r="H30"/>
  <c r="G30"/>
  <c r="D30"/>
  <c r="C30"/>
  <c r="O30"/>
  <c r="M30"/>
  <c r="M41"/>
  <c r="J41"/>
  <c r="F30"/>
  <c r="F41"/>
  <c r="E30"/>
  <c r="B41"/>
  <c r="G42" i="51"/>
  <c r="G30" s="1"/>
  <c r="G42" i="4"/>
  <c r="I40" i="35"/>
  <c r="K40" s="1"/>
  <c r="AN40" i="7" l="1"/>
  <c r="AO40" s="1"/>
  <c r="B30" i="5"/>
  <c r="I30"/>
  <c r="I42" i="51"/>
  <c r="J42" s="1"/>
  <c r="J30" s="1"/>
  <c r="I30" l="1"/>
  <c r="K40" i="33"/>
  <c r="J39"/>
  <c r="K39" s="1"/>
  <c r="K38"/>
  <c r="J37"/>
  <c r="K37" s="1"/>
  <c r="J36"/>
  <c r="K36" s="1"/>
  <c r="J35"/>
  <c r="K35" s="1"/>
  <c r="J34"/>
  <c r="K34" s="1"/>
  <c r="J33"/>
  <c r="K33" s="1"/>
  <c r="J32"/>
  <c r="K32" s="1"/>
  <c r="J31"/>
  <c r="K31" s="1"/>
  <c r="J30"/>
  <c r="K30" s="1"/>
  <c r="J29"/>
  <c r="K29" s="1"/>
  <c r="I28"/>
  <c r="H28"/>
  <c r="G28"/>
  <c r="F28"/>
  <c r="E28"/>
  <c r="D28"/>
  <c r="C28"/>
  <c r="B28"/>
  <c r="P30" i="5" l="1"/>
  <c r="J28" i="33"/>
  <c r="K28"/>
  <c r="S30" i="5" l="1"/>
  <c r="R30"/>
  <c r="K28" i="36"/>
  <c r="J28"/>
  <c r="I28"/>
  <c r="H28"/>
  <c r="G28"/>
  <c r="F28"/>
  <c r="E28"/>
  <c r="D28"/>
  <c r="C28"/>
  <c r="B28"/>
  <c r="J24" i="10"/>
  <c r="G30" i="4"/>
  <c r="F30"/>
  <c r="E30"/>
  <c r="D30"/>
  <c r="C30"/>
  <c r="B30"/>
  <c r="K28" i="35"/>
  <c r="J28"/>
  <c r="I28"/>
  <c r="H28"/>
  <c r="G28"/>
  <c r="F28"/>
  <c r="E28"/>
  <c r="D28"/>
  <c r="C28"/>
  <c r="B28"/>
  <c r="L28" i="2"/>
  <c r="O31" i="3"/>
  <c r="N31"/>
  <c r="M31"/>
  <c r="L31"/>
  <c r="K31"/>
  <c r="J31"/>
  <c r="I31"/>
  <c r="H31"/>
  <c r="G31"/>
  <c r="F31"/>
  <c r="E31"/>
  <c r="D31"/>
  <c r="C31"/>
  <c r="B31"/>
  <c r="CD29" i="1"/>
  <c r="CC29"/>
  <c r="CB29"/>
  <c r="CA29"/>
  <c r="BZ29"/>
  <c r="BY29"/>
  <c r="BX29"/>
  <c r="BW29"/>
  <c r="BV29"/>
  <c r="BU29"/>
  <c r="BT29"/>
  <c r="BS29"/>
  <c r="BR29"/>
  <c r="BN29"/>
  <c r="BM29"/>
  <c r="BL29"/>
  <c r="BK29"/>
  <c r="BJ29"/>
  <c r="BH29"/>
  <c r="BG29"/>
  <c r="BF29"/>
  <c r="BE29"/>
  <c r="BD29"/>
  <c r="BC29"/>
  <c r="BB29"/>
  <c r="BA29"/>
  <c r="AX29"/>
  <c r="AW29"/>
  <c r="AV29"/>
  <c r="AU29"/>
  <c r="AT29"/>
  <c r="AS29"/>
  <c r="AR29"/>
  <c r="AP29"/>
  <c r="AO29"/>
  <c r="AN29"/>
  <c r="AM29"/>
  <c r="AL29"/>
  <c r="AK29"/>
  <c r="AJ29"/>
  <c r="AI29"/>
  <c r="AH29"/>
  <c r="AG29"/>
  <c r="AF29"/>
  <c r="AE29"/>
  <c r="AD29"/>
  <c r="AC29"/>
  <c r="AB29"/>
  <c r="AA29"/>
  <c r="W29"/>
  <c r="V29"/>
  <c r="U29"/>
  <c r="T29"/>
  <c r="S29"/>
  <c r="R29"/>
  <c r="Q29"/>
  <c r="P29"/>
  <c r="O29"/>
  <c r="N29"/>
  <c r="M29"/>
  <c r="L29"/>
  <c r="K29"/>
  <c r="J29"/>
  <c r="Q24" i="11" l="1"/>
  <c r="P24"/>
  <c r="O24"/>
  <c r="N24"/>
  <c r="M24"/>
  <c r="L24"/>
  <c r="K24"/>
  <c r="J24"/>
  <c r="I24"/>
  <c r="H24"/>
  <c r="G24"/>
  <c r="F24"/>
  <c r="E24"/>
  <c r="D24"/>
  <c r="C24"/>
  <c r="B24"/>
  <c r="D28" i="2"/>
  <c r="B28"/>
  <c r="Q39" i="41"/>
  <c r="P39"/>
  <c r="E38" i="40"/>
  <c r="D38"/>
  <c r="E26" l="1"/>
  <c r="D26"/>
  <c r="C26"/>
  <c r="B26"/>
  <c r="Q27" i="41"/>
  <c r="P27"/>
  <c r="O27"/>
  <c r="N27"/>
  <c r="M27"/>
  <c r="L27"/>
  <c r="K27"/>
  <c r="J27"/>
  <c r="I27"/>
  <c r="H27"/>
  <c r="G27"/>
  <c r="F27"/>
  <c r="E27"/>
  <c r="D27"/>
  <c r="C27"/>
  <c r="B27"/>
  <c r="T14" i="45"/>
  <c r="S14"/>
  <c r="R14"/>
  <c r="Q14"/>
  <c r="P14"/>
  <c r="O14"/>
  <c r="N14"/>
  <c r="M14"/>
  <c r="L14"/>
  <c r="K14"/>
  <c r="J14"/>
  <c r="I14"/>
  <c r="H14"/>
  <c r="G14"/>
  <c r="F14"/>
  <c r="E14"/>
  <c r="D14"/>
  <c r="C14"/>
  <c r="B14"/>
  <c r="D14" i="28"/>
  <c r="C14"/>
  <c r="B14"/>
  <c r="AM29" i="43"/>
  <c r="AL29"/>
  <c r="AK29"/>
  <c r="AJ29"/>
  <c r="AI29"/>
  <c r="AH29"/>
  <c r="AG29"/>
  <c r="AF29"/>
  <c r="AE29"/>
  <c r="AD29"/>
  <c r="AC29"/>
  <c r="AB29"/>
  <c r="Z29"/>
  <c r="Y29"/>
  <c r="X29"/>
  <c r="W29"/>
  <c r="V29"/>
  <c r="U29"/>
  <c r="T29"/>
  <c r="S29"/>
  <c r="R29"/>
  <c r="Q29"/>
  <c r="P29"/>
  <c r="O29"/>
  <c r="M29"/>
  <c r="L29"/>
  <c r="K29"/>
  <c r="J29"/>
  <c r="I29"/>
  <c r="H29"/>
  <c r="G29"/>
  <c r="F29"/>
  <c r="E29"/>
  <c r="D29"/>
  <c r="C29"/>
  <c r="B29"/>
  <c r="L18" i="61"/>
  <c r="F18"/>
  <c r="J17" i="60"/>
  <c r="E17"/>
  <c r="L6" i="61" l="1"/>
  <c r="F6"/>
  <c r="U14" i="45"/>
  <c r="U26"/>
  <c r="BW17" i="58" l="1"/>
  <c r="BU17"/>
  <c r="BS17"/>
  <c r="BQ17"/>
  <c r="BO17"/>
  <c r="BM17"/>
  <c r="BK17"/>
  <c r="BH17"/>
  <c r="BF17"/>
  <c r="BD17"/>
  <c r="BB17"/>
  <c r="AZ17"/>
  <c r="AX17"/>
  <c r="AV17"/>
  <c r="AS17"/>
  <c r="AQ17"/>
  <c r="AO17"/>
  <c r="AM17"/>
  <c r="AK17"/>
  <c r="AI17"/>
  <c r="AG17"/>
  <c r="AD17"/>
  <c r="AB17"/>
  <c r="Z17"/>
  <c r="X17"/>
  <c r="V17"/>
  <c r="T17"/>
  <c r="R17"/>
  <c r="O17"/>
  <c r="M17"/>
  <c r="K17"/>
  <c r="I17"/>
  <c r="G17"/>
  <c r="E17"/>
  <c r="C17"/>
  <c r="L39" i="7"/>
  <c r="J23" i="10"/>
  <c r="AM39" i="7"/>
  <c r="O39"/>
  <c r="F39"/>
  <c r="AN39" l="1"/>
  <c r="AO39" s="1"/>
  <c r="K39"/>
  <c r="O28" i="2"/>
  <c r="M28"/>
  <c r="K28"/>
  <c r="I39" i="36"/>
  <c r="F39"/>
  <c r="I39" i="35"/>
  <c r="F39"/>
  <c r="O41" i="5"/>
  <c r="L41"/>
  <c r="I41"/>
  <c r="E41"/>
  <c r="K39" i="36" l="1"/>
  <c r="K39" i="35"/>
  <c r="P41" i="5"/>
  <c r="R41" s="1"/>
  <c r="S41" s="1"/>
  <c r="BH40" i="1"/>
  <c r="CD40"/>
  <c r="CA40"/>
  <c r="AV40"/>
  <c r="AX40" s="1"/>
  <c r="AY43" s="1"/>
  <c r="AZ43" s="1"/>
  <c r="AV38"/>
  <c r="AL40"/>
  <c r="AN40"/>
  <c r="AO40"/>
  <c r="AM40"/>
  <c r="AH40"/>
  <c r="AD40"/>
  <c r="S40"/>
  <c r="T40" s="1"/>
  <c r="L40"/>
  <c r="N40" s="1"/>
  <c r="V40" s="1"/>
  <c r="W40" s="1"/>
  <c r="G41" i="51"/>
  <c r="I41" s="1"/>
  <c r="J41" s="1"/>
  <c r="G41" i="4"/>
  <c r="K42" i="3"/>
  <c r="J42"/>
  <c r="G42"/>
  <c r="D42"/>
  <c r="J27" i="33"/>
  <c r="J26"/>
  <c r="J25"/>
  <c r="J24"/>
  <c r="J23"/>
  <c r="J22"/>
  <c r="J21"/>
  <c r="J20"/>
  <c r="J19"/>
  <c r="J18"/>
  <c r="J17"/>
  <c r="J16"/>
  <c r="L42" i="3" l="1"/>
  <c r="N42" s="1"/>
  <c r="O42" s="1"/>
  <c r="BU40" i="1"/>
  <c r="BW40"/>
  <c r="BC40"/>
  <c r="AP40"/>
  <c r="Q38" i="41"/>
  <c r="P38"/>
  <c r="E37" i="40"/>
  <c r="D37"/>
  <c r="L17" i="61"/>
  <c r="F17"/>
  <c r="J16" i="60"/>
  <c r="E16"/>
  <c r="BV40" i="1" l="1"/>
  <c r="BT40"/>
  <c r="U25" i="45"/>
  <c r="J22" i="10" l="1"/>
  <c r="L38" i="7"/>
  <c r="F38" l="1"/>
  <c r="K38" s="1"/>
  <c r="AM38"/>
  <c r="O38"/>
  <c r="I38" i="36"/>
  <c r="F38"/>
  <c r="M40" i="5"/>
  <c r="O40" s="1"/>
  <c r="J40"/>
  <c r="L40" s="1"/>
  <c r="F40"/>
  <c r="I40" s="1"/>
  <c r="B40"/>
  <c r="E40" s="1"/>
  <c r="G40" i="51"/>
  <c r="I40" s="1"/>
  <c r="J40" s="1"/>
  <c r="G40" i="4"/>
  <c r="I38" i="35"/>
  <c r="F38"/>
  <c r="K41" i="3"/>
  <c r="J41"/>
  <c r="G41"/>
  <c r="D41"/>
  <c r="K38" i="35" l="1"/>
  <c r="L41" i="3"/>
  <c r="N41" s="1"/>
  <c r="O41" s="1"/>
  <c r="P40" i="5"/>
  <c r="R40" s="1"/>
  <c r="S40" s="1"/>
  <c r="K38" i="36"/>
  <c r="AN38" i="7"/>
  <c r="AO38" s="1"/>
  <c r="CD39" i="1"/>
  <c r="CA39"/>
  <c r="BH39"/>
  <c r="AV39"/>
  <c r="BU39" s="1"/>
  <c r="AL39"/>
  <c r="AO39"/>
  <c r="AN39"/>
  <c r="AM39"/>
  <c r="AH39"/>
  <c r="AD39"/>
  <c r="S39"/>
  <c r="T39" s="1"/>
  <c r="L39"/>
  <c r="BC39" s="1"/>
  <c r="D36" i="40"/>
  <c r="E36"/>
  <c r="P37" i="41"/>
  <c r="Q37" s="1"/>
  <c r="L16" i="61"/>
  <c r="F16"/>
  <c r="J15" i="60"/>
  <c r="E15"/>
  <c r="Q53" i="37"/>
  <c r="AM37" i="7"/>
  <c r="O37"/>
  <c r="F37"/>
  <c r="AN37" l="1"/>
  <c r="AO37" s="1"/>
  <c r="K37"/>
  <c r="AX39" i="1"/>
  <c r="AY41" s="1"/>
  <c r="BW39"/>
  <c r="N39"/>
  <c r="V39" s="1"/>
  <c r="W39" s="1"/>
  <c r="AP39"/>
  <c r="U24" i="45"/>
  <c r="AZ41" i="1" l="1"/>
  <c r="AZ29" s="1"/>
  <c r="AY29"/>
  <c r="BT39"/>
  <c r="BV39"/>
  <c r="BU38"/>
  <c r="CD38"/>
  <c r="I37" i="36"/>
  <c r="F37"/>
  <c r="M39" i="5"/>
  <c r="O39" s="1"/>
  <c r="J39"/>
  <c r="L39" s="1"/>
  <c r="F39"/>
  <c r="I39" s="1"/>
  <c r="B39"/>
  <c r="E39" s="1"/>
  <c r="G39" i="51"/>
  <c r="I39" s="1"/>
  <c r="J39" s="1"/>
  <c r="G39" i="4"/>
  <c r="I37" i="35"/>
  <c r="F37"/>
  <c r="K40" i="3"/>
  <c r="J40"/>
  <c r="G40"/>
  <c r="D40"/>
  <c r="CA38" i="1"/>
  <c r="BH38"/>
  <c r="BW38"/>
  <c r="AX38"/>
  <c r="AY40" s="1"/>
  <c r="AZ40" s="1"/>
  <c r="AL38"/>
  <c r="AO38"/>
  <c r="AN38"/>
  <c r="AM38"/>
  <c r="AH38"/>
  <c r="AD38"/>
  <c r="S38"/>
  <c r="T38" s="1"/>
  <c r="L38"/>
  <c r="BC38" s="1"/>
  <c r="J14" i="60"/>
  <c r="E14"/>
  <c r="L15" i="61"/>
  <c r="F15"/>
  <c r="J21" i="10"/>
  <c r="D54" i="50"/>
  <c r="D53" s="1"/>
  <c r="C54"/>
  <c r="C53" s="1"/>
  <c r="B54"/>
  <c r="B53" s="1"/>
  <c r="K37" i="35" l="1"/>
  <c r="E53" i="50"/>
  <c r="E54"/>
  <c r="K37" i="36"/>
  <c r="L40" i="3"/>
  <c r="N40" s="1"/>
  <c r="O40" s="1"/>
  <c r="P39" i="5"/>
  <c r="R39" s="1"/>
  <c r="S39" s="1"/>
  <c r="N38" i="1"/>
  <c r="V38" s="1"/>
  <c r="W38" s="1"/>
  <c r="AP38"/>
  <c r="I56" i="50"/>
  <c r="E56"/>
  <c r="P36" i="41"/>
  <c r="Q36" s="1"/>
  <c r="E35" i="40"/>
  <c r="D35"/>
  <c r="BV38" i="1" l="1"/>
  <c r="BT38"/>
  <c r="Q54" i="39"/>
  <c r="L54"/>
  <c r="J54"/>
  <c r="G54"/>
  <c r="Q53" i="38"/>
  <c r="S53" i="37"/>
  <c r="U23" i="45"/>
  <c r="S54" i="37" l="1"/>
  <c r="K54"/>
  <c r="C54"/>
  <c r="E54"/>
  <c r="N54"/>
  <c r="G54"/>
  <c r="P54"/>
  <c r="H54"/>
  <c r="I54"/>
  <c r="U53"/>
  <c r="R54"/>
  <c r="J54"/>
  <c r="B54"/>
  <c r="L54"/>
  <c r="D54"/>
  <c r="M54"/>
  <c r="F54"/>
  <c r="O54"/>
  <c r="Q54"/>
  <c r="S53" i="38"/>
  <c r="Q54" s="1"/>
  <c r="AM36" i="7"/>
  <c r="O36"/>
  <c r="L36"/>
  <c r="F36"/>
  <c r="I36" i="36"/>
  <c r="F36"/>
  <c r="M38" i="5"/>
  <c r="O38" s="1"/>
  <c r="J38"/>
  <c r="L38" s="1"/>
  <c r="F38"/>
  <c r="I38" s="1"/>
  <c r="B38"/>
  <c r="E38" s="1"/>
  <c r="I36" i="35"/>
  <c r="F36"/>
  <c r="G38" i="51"/>
  <c r="I38" s="1"/>
  <c r="J38" s="1"/>
  <c r="G38" i="4"/>
  <c r="K39" i="3"/>
  <c r="J39"/>
  <c r="G39"/>
  <c r="D39"/>
  <c r="CA37" i="1"/>
  <c r="CD37"/>
  <c r="BH37"/>
  <c r="AV37"/>
  <c r="AX37" s="1"/>
  <c r="AY39" s="1"/>
  <c r="AZ39" s="1"/>
  <c r="AL37"/>
  <c r="AO37"/>
  <c r="AN37"/>
  <c r="AM37"/>
  <c r="AH37"/>
  <c r="AD37"/>
  <c r="S37"/>
  <c r="T37" s="1"/>
  <c r="L37"/>
  <c r="BC37" s="1"/>
  <c r="J20" i="10"/>
  <c r="P35" i="41"/>
  <c r="Q35" s="1"/>
  <c r="E34" i="40"/>
  <c r="D34"/>
  <c r="L14" i="61"/>
  <c r="F14"/>
  <c r="J13" i="60"/>
  <c r="E13"/>
  <c r="AM35" i="7"/>
  <c r="O35"/>
  <c r="U22" i="45"/>
  <c r="AN35" i="7" l="1"/>
  <c r="AO35" s="1"/>
  <c r="K35"/>
  <c r="K36" i="35"/>
  <c r="AN36" i="7"/>
  <c r="AO36" s="1"/>
  <c r="L39" i="3"/>
  <c r="N39" s="1"/>
  <c r="O39" s="1"/>
  <c r="K36" i="36"/>
  <c r="P38" i="5"/>
  <c r="R38" s="1"/>
  <c r="S38" s="1"/>
  <c r="BW37" i="1"/>
  <c r="N37"/>
  <c r="V37" s="1"/>
  <c r="W37" s="1"/>
  <c r="BU37"/>
  <c r="AP37"/>
  <c r="K36" i="7"/>
  <c r="L54" i="38"/>
  <c r="D54"/>
  <c r="K54"/>
  <c r="M54"/>
  <c r="E54"/>
  <c r="G54"/>
  <c r="H54"/>
  <c r="I54"/>
  <c r="R54"/>
  <c r="B54"/>
  <c r="C54"/>
  <c r="N54"/>
  <c r="F54"/>
  <c r="O54"/>
  <c r="P54"/>
  <c r="U53"/>
  <c r="J54"/>
  <c r="S54"/>
  <c r="I35" i="36"/>
  <c r="F35"/>
  <c r="I35" i="35"/>
  <c r="F35"/>
  <c r="M37" i="5"/>
  <c r="O37" s="1"/>
  <c r="J37"/>
  <c r="L37" s="1"/>
  <c r="I37"/>
  <c r="F37"/>
  <c r="B37"/>
  <c r="E37" s="1"/>
  <c r="G37" i="51"/>
  <c r="I37" s="1"/>
  <c r="J37" s="1"/>
  <c r="G37" i="4"/>
  <c r="AV36" i="1"/>
  <c r="K38" i="3"/>
  <c r="J38"/>
  <c r="G38"/>
  <c r="D38"/>
  <c r="CD36" i="1"/>
  <c r="CA36"/>
  <c r="BH36"/>
  <c r="AL36"/>
  <c r="AO36"/>
  <c r="AN36"/>
  <c r="AM36"/>
  <c r="AH36"/>
  <c r="AD36"/>
  <c r="S36"/>
  <c r="T36" s="1"/>
  <c r="L36"/>
  <c r="BC36" s="1"/>
  <c r="F15" i="13"/>
  <c r="E15"/>
  <c r="Q34" i="41"/>
  <c r="P34"/>
  <c r="E33" i="40"/>
  <c r="D33"/>
  <c r="L13" i="61"/>
  <c r="F13"/>
  <c r="L38" i="3" l="1"/>
  <c r="N38" s="1"/>
  <c r="O38" s="1"/>
  <c r="K35" i="36"/>
  <c r="N36" i="1"/>
  <c r="V36" s="1"/>
  <c r="W36" s="1"/>
  <c r="BT37"/>
  <c r="BV37"/>
  <c r="K35" i="35"/>
  <c r="P37" i="5"/>
  <c r="R37" s="1"/>
  <c r="S37" s="1"/>
  <c r="AP36" i="1"/>
  <c r="BV36" s="1"/>
  <c r="BU36"/>
  <c r="AX36"/>
  <c r="AY38" s="1"/>
  <c r="AZ38" s="1"/>
  <c r="BW36"/>
  <c r="J19" i="10"/>
  <c r="J12" i="60"/>
  <c r="E12"/>
  <c r="AM34" i="7"/>
  <c r="O34"/>
  <c r="AN34" l="1"/>
  <c r="BT36" i="1"/>
  <c r="W33" i="27"/>
  <c r="U21" i="45"/>
  <c r="K37" i="3" l="1"/>
  <c r="AV35" i="1"/>
  <c r="L34" i="7"/>
  <c r="F34"/>
  <c r="I34" i="36"/>
  <c r="F34"/>
  <c r="K34" l="1"/>
  <c r="K34" i="7"/>
  <c r="AO34"/>
  <c r="CD35" i="1"/>
  <c r="O36" i="5"/>
  <c r="M36"/>
  <c r="J36"/>
  <c r="L36" s="1"/>
  <c r="F36"/>
  <c r="I36" s="1"/>
  <c r="B36"/>
  <c r="E36" s="1"/>
  <c r="BU35" i="1"/>
  <c r="P33" i="41"/>
  <c r="Q33" s="1"/>
  <c r="E32" i="40"/>
  <c r="D32"/>
  <c r="J18" i="10"/>
  <c r="I34" i="35"/>
  <c r="F34"/>
  <c r="G36" i="51"/>
  <c r="I36" s="1"/>
  <c r="J36" s="1"/>
  <c r="G36" i="4"/>
  <c r="J37" i="3"/>
  <c r="G37"/>
  <c r="D37"/>
  <c r="AX35" i="1"/>
  <c r="BH35"/>
  <c r="AL35"/>
  <c r="AO35"/>
  <c r="AN35"/>
  <c r="AM35"/>
  <c r="AH35"/>
  <c r="AD35"/>
  <c r="S35"/>
  <c r="T35" s="1"/>
  <c r="L35"/>
  <c r="BC35" s="1"/>
  <c r="CA35"/>
  <c r="L12" i="61"/>
  <c r="F12"/>
  <c r="I55" i="50"/>
  <c r="E55"/>
  <c r="AM33" i="7"/>
  <c r="AN33" s="1"/>
  <c r="O33"/>
  <c r="AZ37" i="1" l="1"/>
  <c r="AY37"/>
  <c r="N35"/>
  <c r="V35" s="1"/>
  <c r="W35" s="1"/>
  <c r="K34" i="35"/>
  <c r="L37" i="3"/>
  <c r="N37" s="1"/>
  <c r="O37" s="1"/>
  <c r="AP35" i="1"/>
  <c r="P36" i="5"/>
  <c r="R36" s="1"/>
  <c r="S36" s="1"/>
  <c r="BW35" i="1"/>
  <c r="J11" i="60"/>
  <c r="E11"/>
  <c r="U20" i="45"/>
  <c r="U41" i="6"/>
  <c r="M41"/>
  <c r="J41"/>
  <c r="G41"/>
  <c r="D41"/>
  <c r="AO33" i="7"/>
  <c r="I33" i="36"/>
  <c r="F33"/>
  <c r="M35" i="5"/>
  <c r="O35" s="1"/>
  <c r="J35"/>
  <c r="L35" s="1"/>
  <c r="F35"/>
  <c r="I35" s="1"/>
  <c r="B35"/>
  <c r="E35" s="1"/>
  <c r="G35" i="51"/>
  <c r="I35" s="1"/>
  <c r="J35" s="1"/>
  <c r="G35" i="4"/>
  <c r="I33" i="35"/>
  <c r="F33"/>
  <c r="K36" i="3"/>
  <c r="J36"/>
  <c r="G36"/>
  <c r="CD34" i="1"/>
  <c r="CD33"/>
  <c r="D36" i="3"/>
  <c r="CA34" i="1"/>
  <c r="CA33"/>
  <c r="BH34"/>
  <c r="AV34"/>
  <c r="AX34" s="1"/>
  <c r="AY36" s="1"/>
  <c r="AZ36" s="1"/>
  <c r="AL34"/>
  <c r="AO34"/>
  <c r="AN34"/>
  <c r="AM34"/>
  <c r="AH34"/>
  <c r="AD34"/>
  <c r="L36" i="3" l="1"/>
  <c r="N36" s="1"/>
  <c r="O36" s="1"/>
  <c r="N41" i="6"/>
  <c r="V41" s="1"/>
  <c r="K33" i="36"/>
  <c r="P35" i="5"/>
  <c r="R35" s="1"/>
  <c r="S35" s="1"/>
  <c r="K33" i="7"/>
  <c r="BW34" i="1"/>
  <c r="BU34"/>
  <c r="AP34"/>
  <c r="BT35"/>
  <c r="BV35"/>
  <c r="K33" i="35"/>
  <c r="S34" i="1"/>
  <c r="T34" s="1"/>
  <c r="L34"/>
  <c r="BC34" s="1"/>
  <c r="G14" i="44"/>
  <c r="F14"/>
  <c r="E14"/>
  <c r="D14"/>
  <c r="C14"/>
  <c r="B14"/>
  <c r="H15" i="13"/>
  <c r="G15"/>
  <c r="D15"/>
  <c r="C15"/>
  <c r="B15"/>
  <c r="J17" i="10"/>
  <c r="N34" i="1" l="1"/>
  <c r="V34" s="1"/>
  <c r="W34" s="1"/>
  <c r="BT34"/>
  <c r="BV34"/>
  <c r="J8" i="60"/>
  <c r="J9"/>
  <c r="J10"/>
  <c r="J7"/>
  <c r="E8"/>
  <c r="E9"/>
  <c r="E10"/>
  <c r="E7"/>
  <c r="L8" i="61"/>
  <c r="L9"/>
  <c r="L10"/>
  <c r="L11"/>
  <c r="L7"/>
  <c r="F8"/>
  <c r="F9"/>
  <c r="F10"/>
  <c r="F11"/>
  <c r="F7"/>
  <c r="Q32" i="41" l="1"/>
  <c r="P32"/>
  <c r="E31" i="40" l="1"/>
  <c r="D31"/>
  <c r="AM32" i="7"/>
  <c r="O32"/>
  <c r="AN32" l="1"/>
  <c r="AO32" s="1"/>
  <c r="U19" i="45"/>
  <c r="F27" i="7"/>
  <c r="F26"/>
  <c r="F25"/>
  <c r="F24"/>
  <c r="L23"/>
  <c r="F23"/>
  <c r="L22"/>
  <c r="F22"/>
  <c r="L21"/>
  <c r="F21"/>
  <c r="F20"/>
  <c r="L19"/>
  <c r="F19"/>
  <c r="F18"/>
  <c r="F17"/>
  <c r="F16"/>
  <c r="U36" i="6"/>
  <c r="M36"/>
  <c r="J36"/>
  <c r="G36"/>
  <c r="D36"/>
  <c r="U35"/>
  <c r="M35"/>
  <c r="J35"/>
  <c r="G35"/>
  <c r="D35"/>
  <c r="U34"/>
  <c r="M34"/>
  <c r="J34"/>
  <c r="G34"/>
  <c r="D34"/>
  <c r="U33"/>
  <c r="M33"/>
  <c r="J33"/>
  <c r="G33"/>
  <c r="D33"/>
  <c r="U40"/>
  <c r="M40"/>
  <c r="J40"/>
  <c r="G40"/>
  <c r="D40"/>
  <c r="F32" i="7"/>
  <c r="K32" s="1"/>
  <c r="I32" i="36"/>
  <c r="F32"/>
  <c r="M34" i="5"/>
  <c r="O34" s="1"/>
  <c r="J34"/>
  <c r="L34" s="1"/>
  <c r="F34"/>
  <c r="I34" s="1"/>
  <c r="B34"/>
  <c r="E34" s="1"/>
  <c r="G34" i="51"/>
  <c r="I34" s="1"/>
  <c r="J34" s="1"/>
  <c r="G34" i="4"/>
  <c r="I32" i="35"/>
  <c r="K32" s="1"/>
  <c r="F32"/>
  <c r="K35" i="3"/>
  <c r="J35"/>
  <c r="G35"/>
  <c r="D35"/>
  <c r="BH33" i="1"/>
  <c r="AV33"/>
  <c r="AX33" s="1"/>
  <c r="AL33"/>
  <c r="AO33"/>
  <c r="AN33"/>
  <c r="AM33"/>
  <c r="AH33"/>
  <c r="AD33"/>
  <c r="S33"/>
  <c r="T33" s="1"/>
  <c r="L33"/>
  <c r="BC33" s="1"/>
  <c r="J16" i="10"/>
  <c r="J15"/>
  <c r="P31" i="41"/>
  <c r="Q31" s="1"/>
  <c r="E30" i="40"/>
  <c r="D30"/>
  <c r="U18" i="45"/>
  <c r="I31" i="36"/>
  <c r="F31"/>
  <c r="M33" i="5"/>
  <c r="O33" s="1"/>
  <c r="J33"/>
  <c r="L33" s="1"/>
  <c r="F33"/>
  <c r="I33" s="1"/>
  <c r="B33"/>
  <c r="E33" s="1"/>
  <c r="G33" i="51"/>
  <c r="I33" s="1"/>
  <c r="J33" s="1"/>
  <c r="G33" i="4"/>
  <c r="I31" i="35"/>
  <c r="F31"/>
  <c r="K34" i="3"/>
  <c r="J34"/>
  <c r="G34"/>
  <c r="AV32" i="1"/>
  <c r="BU32" s="1"/>
  <c r="D34" i="3"/>
  <c r="J14" i="10" l="1"/>
  <c r="AZ35" i="1"/>
  <c r="AY35"/>
  <c r="L35" i="3"/>
  <c r="N35" s="1"/>
  <c r="O35" s="1"/>
  <c r="N35" i="6"/>
  <c r="V35" s="1"/>
  <c r="N33" i="1"/>
  <c r="V33" s="1"/>
  <c r="W33" s="1"/>
  <c r="BW33"/>
  <c r="AP33"/>
  <c r="BT33" s="1"/>
  <c r="K31" i="36"/>
  <c r="K32"/>
  <c r="P33" i="5"/>
  <c r="R33" s="1"/>
  <c r="S33" s="1"/>
  <c r="P34"/>
  <c r="R34" s="1"/>
  <c r="S34" s="1"/>
  <c r="BU33" i="1"/>
  <c r="N33" i="6"/>
  <c r="V33" s="1"/>
  <c r="K31" i="35"/>
  <c r="N34" i="6"/>
  <c r="V34" s="1"/>
  <c r="N36"/>
  <c r="V36" s="1"/>
  <c r="N40"/>
  <c r="V40" s="1"/>
  <c r="L34" i="3"/>
  <c r="N34" s="1"/>
  <c r="O34" s="1"/>
  <c r="BH32" i="1"/>
  <c r="BW32"/>
  <c r="AX32"/>
  <c r="AV31"/>
  <c r="BW31" s="1"/>
  <c r="AV30"/>
  <c r="AL32"/>
  <c r="AO32"/>
  <c r="AN32"/>
  <c r="AM32"/>
  <c r="AH32"/>
  <c r="AD32"/>
  <c r="S32"/>
  <c r="T32" s="1"/>
  <c r="L32"/>
  <c r="BC32" s="1"/>
  <c r="AM31" i="7"/>
  <c r="O31"/>
  <c r="F31"/>
  <c r="U39" i="6"/>
  <c r="M39"/>
  <c r="J39"/>
  <c r="G39"/>
  <c r="D39"/>
  <c r="CA32" i="1"/>
  <c r="CD32"/>
  <c r="M15" i="7"/>
  <c r="P30" i="41"/>
  <c r="Q30" s="1"/>
  <c r="E29" i="40"/>
  <c r="D29"/>
  <c r="I30" i="36"/>
  <c r="F30"/>
  <c r="H46" i="50"/>
  <c r="G46"/>
  <c r="F46"/>
  <c r="H50"/>
  <c r="G50"/>
  <c r="F50"/>
  <c r="D50"/>
  <c r="C50"/>
  <c r="B50"/>
  <c r="I52"/>
  <c r="E52"/>
  <c r="AM30" i="7"/>
  <c r="O30"/>
  <c r="L30"/>
  <c r="U17" i="45"/>
  <c r="F31" i="5"/>
  <c r="I31" s="1"/>
  <c r="F29"/>
  <c r="M32"/>
  <c r="O32" s="1"/>
  <c r="M31"/>
  <c r="O31" s="1"/>
  <c r="J32"/>
  <c r="L32" s="1"/>
  <c r="J31"/>
  <c r="L31" s="1"/>
  <c r="F32"/>
  <c r="I32" s="1"/>
  <c r="B32"/>
  <c r="E32" s="1"/>
  <c r="I30" i="35"/>
  <c r="F30"/>
  <c r="G32" i="51"/>
  <c r="I32" s="1"/>
  <c r="J32" s="1"/>
  <c r="G32" i="4"/>
  <c r="K33" i="3"/>
  <c r="J33"/>
  <c r="G33"/>
  <c r="D33"/>
  <c r="BH31" i="1"/>
  <c r="AL31"/>
  <c r="AO31"/>
  <c r="AN31"/>
  <c r="AM31"/>
  <c r="AH31"/>
  <c r="AD31"/>
  <c r="S31"/>
  <c r="T31" s="1"/>
  <c r="L31"/>
  <c r="BC31" s="1"/>
  <c r="CA31"/>
  <c r="O15" i="33"/>
  <c r="N15"/>
  <c r="M15"/>
  <c r="L15"/>
  <c r="I15"/>
  <c r="H15"/>
  <c r="G15"/>
  <c r="F15"/>
  <c r="E15"/>
  <c r="D15"/>
  <c r="C15"/>
  <c r="B15"/>
  <c r="K27"/>
  <c r="K26"/>
  <c r="CD31" i="1"/>
  <c r="U38" i="6"/>
  <c r="M38"/>
  <c r="M37" s="1"/>
  <c r="J38"/>
  <c r="J37" s="1"/>
  <c r="G38"/>
  <c r="G37" s="1"/>
  <c r="D38"/>
  <c r="D37" s="1"/>
  <c r="P29" i="41"/>
  <c r="Q29" s="1"/>
  <c r="E28" i="40"/>
  <c r="D28"/>
  <c r="I29" i="36"/>
  <c r="F29"/>
  <c r="U16" i="45"/>
  <c r="O29" i="7"/>
  <c r="B31" i="5"/>
  <c r="E31" s="1"/>
  <c r="B29"/>
  <c r="U37" i="6" l="1"/>
  <c r="AM29" i="7"/>
  <c r="AM28" s="1"/>
  <c r="AL28"/>
  <c r="L28"/>
  <c r="O28"/>
  <c r="F28"/>
  <c r="K30" i="36"/>
  <c r="BV33" i="1"/>
  <c r="AP32"/>
  <c r="BV32" s="1"/>
  <c r="AN31" i="7"/>
  <c r="AO31" s="1"/>
  <c r="N32" i="1"/>
  <c r="V32" s="1"/>
  <c r="W32" s="1"/>
  <c r="AY34"/>
  <c r="AZ34" s="1"/>
  <c r="K30" i="35"/>
  <c r="K31" i="7"/>
  <c r="N38" i="6"/>
  <c r="N39"/>
  <c r="V39" s="1"/>
  <c r="E50" i="50"/>
  <c r="L33" i="3"/>
  <c r="N33" s="1"/>
  <c r="O33" s="1"/>
  <c r="K30" i="7"/>
  <c r="AN30"/>
  <c r="AO30" s="1"/>
  <c r="P32" i="5"/>
  <c r="R32" s="1"/>
  <c r="S32" s="1"/>
  <c r="N31" i="1"/>
  <c r="V31" s="1"/>
  <c r="W31" s="1"/>
  <c r="AP31"/>
  <c r="BT31" s="1"/>
  <c r="AX31"/>
  <c r="BU31"/>
  <c r="K29" i="36"/>
  <c r="I50" i="50"/>
  <c r="I46"/>
  <c r="P31" i="5"/>
  <c r="R31" s="1"/>
  <c r="S31" s="1"/>
  <c r="K29" i="7"/>
  <c r="I29" i="35"/>
  <c r="F29"/>
  <c r="G31" i="51"/>
  <c r="I31" s="1"/>
  <c r="J31" s="1"/>
  <c r="G31" i="4"/>
  <c r="K32" i="3"/>
  <c r="K30"/>
  <c r="J32"/>
  <c r="G32"/>
  <c r="D32"/>
  <c r="BH30" i="1"/>
  <c r="BU30"/>
  <c r="AO30"/>
  <c r="AN30"/>
  <c r="AM30"/>
  <c r="AL30"/>
  <c r="AH30"/>
  <c r="AD30"/>
  <c r="S30"/>
  <c r="T30" s="1"/>
  <c r="L30"/>
  <c r="BC30" s="1"/>
  <c r="CA30"/>
  <c r="CD30"/>
  <c r="R30" i="27"/>
  <c r="Q30"/>
  <c r="P30"/>
  <c r="O30"/>
  <c r="V38" i="6" l="1"/>
  <c r="V37" s="1"/>
  <c r="N37"/>
  <c r="AN29" i="7"/>
  <c r="K28"/>
  <c r="BT32" i="1"/>
  <c r="AY31"/>
  <c r="AZ31" s="1"/>
  <c r="AY33"/>
  <c r="AZ33" s="1"/>
  <c r="BV31"/>
  <c r="L32" i="3"/>
  <c r="N32" s="1"/>
  <c r="O32" s="1"/>
  <c r="K29" i="35"/>
  <c r="AP30" i="1"/>
  <c r="BV30" s="1"/>
  <c r="N30"/>
  <c r="V30" s="1"/>
  <c r="W30" s="1"/>
  <c r="AX30"/>
  <c r="BW30"/>
  <c r="T32" i="6"/>
  <c r="S32"/>
  <c r="R32"/>
  <c r="Q32"/>
  <c r="P32"/>
  <c r="L32"/>
  <c r="K32"/>
  <c r="I32"/>
  <c r="H32"/>
  <c r="F32"/>
  <c r="E32"/>
  <c r="C32"/>
  <c r="B32"/>
  <c r="P28" i="41"/>
  <c r="Q28" s="1"/>
  <c r="E27" i="40"/>
  <c r="D27"/>
  <c r="AO29" i="7" l="1"/>
  <c r="AO28" s="1"/>
  <c r="AN28"/>
  <c r="AY30" i="1"/>
  <c r="AZ30" s="1"/>
  <c r="AY32"/>
  <c r="AZ32" s="1"/>
  <c r="BT30"/>
  <c r="I9" i="35" l="1"/>
  <c r="F9"/>
  <c r="I8"/>
  <c r="F8"/>
  <c r="I7"/>
  <c r="F7"/>
  <c r="I6"/>
  <c r="F6"/>
  <c r="K9" l="1"/>
  <c r="K7"/>
  <c r="K8"/>
  <c r="K6"/>
  <c r="U15" i="45"/>
  <c r="L15" i="2"/>
  <c r="AM27" i="7"/>
  <c r="O27"/>
  <c r="I27" i="36"/>
  <c r="I15" s="1"/>
  <c r="F27"/>
  <c r="L27" i="7"/>
  <c r="K27" s="1"/>
  <c r="I27" i="35"/>
  <c r="I15" s="1"/>
  <c r="F27"/>
  <c r="F15" s="1"/>
  <c r="M29" i="5"/>
  <c r="M17" s="1"/>
  <c r="J29"/>
  <c r="J17" s="1"/>
  <c r="F17"/>
  <c r="E29"/>
  <c r="E17" s="1"/>
  <c r="CD28" i="1"/>
  <c r="G29" i="51"/>
  <c r="G17" s="1"/>
  <c r="G29" i="4"/>
  <c r="G17" s="1"/>
  <c r="K18" i="3"/>
  <c r="J30"/>
  <c r="J18" s="1"/>
  <c r="G30"/>
  <c r="G18" s="1"/>
  <c r="D30"/>
  <c r="D18" s="1"/>
  <c r="CA28" i="1"/>
  <c r="BH28"/>
  <c r="AV28"/>
  <c r="AX28" s="1"/>
  <c r="AY28" s="1"/>
  <c r="AZ28" s="1"/>
  <c r="AL28"/>
  <c r="AO28"/>
  <c r="AN28"/>
  <c r="AM28"/>
  <c r="AH28"/>
  <c r="AD28"/>
  <c r="S28"/>
  <c r="T28" s="1"/>
  <c r="L28"/>
  <c r="N28" s="1"/>
  <c r="V28" s="1"/>
  <c r="W28" s="1"/>
  <c r="AK15" i="7"/>
  <c r="AJ15"/>
  <c r="AI15"/>
  <c r="AH15"/>
  <c r="AG15"/>
  <c r="AF15"/>
  <c r="AE15"/>
  <c r="AD15"/>
  <c r="AC15"/>
  <c r="AB15"/>
  <c r="AA15"/>
  <c r="Z15"/>
  <c r="Y15"/>
  <c r="X15"/>
  <c r="W15"/>
  <c r="T15"/>
  <c r="S15"/>
  <c r="R15"/>
  <c r="Q15"/>
  <c r="P15"/>
  <c r="N15"/>
  <c r="J15"/>
  <c r="I15"/>
  <c r="H15"/>
  <c r="G15"/>
  <c r="F15"/>
  <c r="E15"/>
  <c r="D15"/>
  <c r="C15"/>
  <c r="B15"/>
  <c r="J15" i="36"/>
  <c r="H15"/>
  <c r="G15"/>
  <c r="E15"/>
  <c r="D15"/>
  <c r="C15"/>
  <c r="B15"/>
  <c r="Q17" i="5"/>
  <c r="N17"/>
  <c r="K17"/>
  <c r="H17"/>
  <c r="G17"/>
  <c r="D17"/>
  <c r="C17"/>
  <c r="H17" i="51"/>
  <c r="F17"/>
  <c r="E17"/>
  <c r="D17"/>
  <c r="C17"/>
  <c r="B17"/>
  <c r="F17" i="4"/>
  <c r="E17"/>
  <c r="D17"/>
  <c r="C17"/>
  <c r="B17"/>
  <c r="J15" i="35"/>
  <c r="H15"/>
  <c r="G15"/>
  <c r="E15"/>
  <c r="D15"/>
  <c r="C15"/>
  <c r="B15"/>
  <c r="M18" i="3"/>
  <c r="I18"/>
  <c r="H18"/>
  <c r="F18"/>
  <c r="E18"/>
  <c r="C18"/>
  <c r="B18"/>
  <c r="U31" i="32"/>
  <c r="T31"/>
  <c r="S31"/>
  <c r="R31"/>
  <c r="Q31"/>
  <c r="P31"/>
  <c r="O31"/>
  <c r="M31"/>
  <c r="K31"/>
  <c r="I31"/>
  <c r="H31"/>
  <c r="G31"/>
  <c r="F31"/>
  <c r="E31"/>
  <c r="D31"/>
  <c r="C31"/>
  <c r="B31"/>
  <c r="P18"/>
  <c r="L29" i="5" l="1"/>
  <c r="L17" s="1"/>
  <c r="K27" i="36"/>
  <c r="K15" s="1"/>
  <c r="B17" i="5"/>
  <c r="BC28" i="1"/>
  <c r="BC16" s="1"/>
  <c r="AN27" i="7"/>
  <c r="AO27" s="1"/>
  <c r="F15" i="36"/>
  <c r="I29" i="5"/>
  <c r="I17" s="1"/>
  <c r="O29"/>
  <c r="O17" s="1"/>
  <c r="I29" i="51"/>
  <c r="J29" s="1"/>
  <c r="J17" s="1"/>
  <c r="K27" i="35"/>
  <c r="K15" s="1"/>
  <c r="L30" i="3"/>
  <c r="BW28" i="1"/>
  <c r="BW16" s="1"/>
  <c r="BU28"/>
  <c r="BU16" s="1"/>
  <c r="AP28"/>
  <c r="BV28" s="1"/>
  <c r="BV16" s="1"/>
  <c r="U18" i="32"/>
  <c r="T18"/>
  <c r="S18"/>
  <c r="R18"/>
  <c r="Q18"/>
  <c r="O18"/>
  <c r="N18"/>
  <c r="M18"/>
  <c r="K18"/>
  <c r="I18"/>
  <c r="H18"/>
  <c r="G18"/>
  <c r="F18"/>
  <c r="E18"/>
  <c r="D18"/>
  <c r="C18"/>
  <c r="B18"/>
  <c r="CD16" i="1"/>
  <c r="CC16"/>
  <c r="CB16"/>
  <c r="CA16"/>
  <c r="BZ16"/>
  <c r="BY16"/>
  <c r="BX16"/>
  <c r="BS16"/>
  <c r="BR16"/>
  <c r="BN16"/>
  <c r="BM16"/>
  <c r="BL16"/>
  <c r="BK16"/>
  <c r="BJ16"/>
  <c r="BH16"/>
  <c r="BG16"/>
  <c r="BF16"/>
  <c r="BE16"/>
  <c r="BD16"/>
  <c r="BB16"/>
  <c r="BA16"/>
  <c r="AZ16"/>
  <c r="AY16"/>
  <c r="AX16"/>
  <c r="AW16"/>
  <c r="AV16"/>
  <c r="AU16"/>
  <c r="AT16"/>
  <c r="AS16"/>
  <c r="AR16"/>
  <c r="AO16"/>
  <c r="AN16"/>
  <c r="AM16"/>
  <c r="AL16"/>
  <c r="AK16"/>
  <c r="AJ16"/>
  <c r="AI16"/>
  <c r="AH16"/>
  <c r="AG16"/>
  <c r="AF16"/>
  <c r="AE16"/>
  <c r="AD16"/>
  <c r="AC16"/>
  <c r="AB16"/>
  <c r="AA16"/>
  <c r="W16"/>
  <c r="V16"/>
  <c r="U16"/>
  <c r="T16"/>
  <c r="S16"/>
  <c r="R16"/>
  <c r="Q16"/>
  <c r="P16"/>
  <c r="O16"/>
  <c r="N16"/>
  <c r="M16"/>
  <c r="L16"/>
  <c r="K16"/>
  <c r="J16"/>
  <c r="P26" i="41"/>
  <c r="Q26" s="1"/>
  <c r="E25" i="40"/>
  <c r="D25"/>
  <c r="D15" i="2"/>
  <c r="B15"/>
  <c r="AM16" i="43"/>
  <c r="AL16"/>
  <c r="AK16"/>
  <c r="AJ16"/>
  <c r="AI16"/>
  <c r="AH16"/>
  <c r="AG16"/>
  <c r="AF16"/>
  <c r="AE16"/>
  <c r="AD16"/>
  <c r="AC16"/>
  <c r="AB16"/>
  <c r="Z16"/>
  <c r="Y16"/>
  <c r="X16"/>
  <c r="W16"/>
  <c r="V16"/>
  <c r="U16"/>
  <c r="T16"/>
  <c r="S16"/>
  <c r="R16"/>
  <c r="Q16"/>
  <c r="P16"/>
  <c r="O16"/>
  <c r="M16"/>
  <c r="L16"/>
  <c r="K16"/>
  <c r="J16"/>
  <c r="I16"/>
  <c r="H16"/>
  <c r="G16"/>
  <c r="F16"/>
  <c r="E16"/>
  <c r="D16"/>
  <c r="C16"/>
  <c r="B16"/>
  <c r="AP16" i="1" l="1"/>
  <c r="P29" i="5"/>
  <c r="I17" i="51"/>
  <c r="L18" i="3"/>
  <c r="N30"/>
  <c r="BT28" i="1"/>
  <c r="BT16" s="1"/>
  <c r="C13" i="40"/>
  <c r="I49" i="50"/>
  <c r="I47"/>
  <c r="I45"/>
  <c r="I41"/>
  <c r="I37"/>
  <c r="I35"/>
  <c r="I33"/>
  <c r="I31"/>
  <c r="I29"/>
  <c r="I25"/>
  <c r="I23"/>
  <c r="I19"/>
  <c r="I17"/>
  <c r="I13"/>
  <c r="I11"/>
  <c r="I51"/>
  <c r="I48"/>
  <c r="I44"/>
  <c r="I42"/>
  <c r="I40"/>
  <c r="I38"/>
  <c r="I36"/>
  <c r="I34"/>
  <c r="I30"/>
  <c r="I28"/>
  <c r="I26"/>
  <c r="I22"/>
  <c r="I20"/>
  <c r="I16"/>
  <c r="I14"/>
  <c r="I10"/>
  <c r="I12"/>
  <c r="E31"/>
  <c r="E45"/>
  <c r="E41"/>
  <c r="E37"/>
  <c r="E35"/>
  <c r="E25"/>
  <c r="E23"/>
  <c r="I9"/>
  <c r="E19"/>
  <c r="E17"/>
  <c r="E13"/>
  <c r="E11"/>
  <c r="E12"/>
  <c r="E9"/>
  <c r="E51"/>
  <c r="E48"/>
  <c r="E44"/>
  <c r="E42"/>
  <c r="E38"/>
  <c r="E34"/>
  <c r="E30"/>
  <c r="E28"/>
  <c r="E26"/>
  <c r="E22"/>
  <c r="E20"/>
  <c r="E16"/>
  <c r="E14"/>
  <c r="E10"/>
  <c r="E49"/>
  <c r="CA27" i="1"/>
  <c r="AM26" i="7"/>
  <c r="O26"/>
  <c r="C53" i="39"/>
  <c r="B53"/>
  <c r="D53"/>
  <c r="V53"/>
  <c r="S53"/>
  <c r="K53"/>
  <c r="I53"/>
  <c r="H53"/>
  <c r="F53"/>
  <c r="E53"/>
  <c r="Q52"/>
  <c r="L52"/>
  <c r="J52"/>
  <c r="G52"/>
  <c r="Q51" i="38"/>
  <c r="Q51" i="37"/>
  <c r="S51" s="1"/>
  <c r="AN26" i="7" l="1"/>
  <c r="P17" i="5"/>
  <c r="R29"/>
  <c r="N18" i="3"/>
  <c r="O30"/>
  <c r="O18" s="1"/>
  <c r="R52" i="37"/>
  <c r="F52"/>
  <c r="S52"/>
  <c r="C52"/>
  <c r="P52"/>
  <c r="L52"/>
  <c r="H52"/>
  <c r="D52"/>
  <c r="J52"/>
  <c r="B52"/>
  <c r="K52"/>
  <c r="M52"/>
  <c r="I52"/>
  <c r="E52"/>
  <c r="U51"/>
  <c r="N52"/>
  <c r="O52"/>
  <c r="G52"/>
  <c r="Q52"/>
  <c r="S51" i="38"/>
  <c r="U51" s="1"/>
  <c r="CD27" i="1"/>
  <c r="L26" i="7"/>
  <c r="K26" s="1"/>
  <c r="I26" i="35"/>
  <c r="F26"/>
  <c r="I26" i="36"/>
  <c r="F26"/>
  <c r="M28" i="5"/>
  <c r="O28" s="1"/>
  <c r="J28"/>
  <c r="L28" s="1"/>
  <c r="F28"/>
  <c r="I28" s="1"/>
  <c r="B28"/>
  <c r="E28" s="1"/>
  <c r="G28" i="51"/>
  <c r="I28" s="1"/>
  <c r="J28" s="1"/>
  <c r="AV27" i="1"/>
  <c r="AX27" s="1"/>
  <c r="AY27" s="1"/>
  <c r="AZ27" s="1"/>
  <c r="G28" i="4"/>
  <c r="K29" i="3"/>
  <c r="J29"/>
  <c r="G29"/>
  <c r="D29"/>
  <c r="BH27" i="1"/>
  <c r="AL27"/>
  <c r="AO27"/>
  <c r="AN27"/>
  <c r="AM27"/>
  <c r="AH27"/>
  <c r="AD27"/>
  <c r="S27"/>
  <c r="T27" s="1"/>
  <c r="L27"/>
  <c r="N27" s="1"/>
  <c r="V27" s="1"/>
  <c r="W27" s="1"/>
  <c r="O15" i="2"/>
  <c r="M15"/>
  <c r="K15"/>
  <c r="E13" i="40"/>
  <c r="D13"/>
  <c r="B13"/>
  <c r="Q14" i="41"/>
  <c r="P14"/>
  <c r="O14"/>
  <c r="N14"/>
  <c r="M14"/>
  <c r="L14"/>
  <c r="K14"/>
  <c r="J14"/>
  <c r="I14"/>
  <c r="H14"/>
  <c r="G14"/>
  <c r="F14"/>
  <c r="E14"/>
  <c r="D14"/>
  <c r="C14"/>
  <c r="B14"/>
  <c r="K25" i="33"/>
  <c r="K24"/>
  <c r="P25" i="41"/>
  <c r="Q25" s="1"/>
  <c r="E24" i="40"/>
  <c r="D24"/>
  <c r="AM25" i="7"/>
  <c r="O25"/>
  <c r="L25"/>
  <c r="K25" s="1"/>
  <c r="CD26" i="1"/>
  <c r="I25" i="36"/>
  <c r="F25"/>
  <c r="M27" i="5"/>
  <c r="O27" s="1"/>
  <c r="J27"/>
  <c r="L27" s="1"/>
  <c r="F27"/>
  <c r="I27" s="1"/>
  <c r="B27"/>
  <c r="E27" s="1"/>
  <c r="G27" i="51"/>
  <c r="I27" s="1"/>
  <c r="J27" s="1"/>
  <c r="G27" i="4"/>
  <c r="I25" i="35"/>
  <c r="F25"/>
  <c r="K28" i="3"/>
  <c r="J28"/>
  <c r="G28"/>
  <c r="D28"/>
  <c r="CA26" i="1"/>
  <c r="AV26"/>
  <c r="BW26" s="1"/>
  <c r="BH26"/>
  <c r="AL26"/>
  <c r="AO26"/>
  <c r="AN26"/>
  <c r="AM26"/>
  <c r="AH26"/>
  <c r="AD26"/>
  <c r="S26"/>
  <c r="T26" s="1"/>
  <c r="L26"/>
  <c r="BC26" s="1"/>
  <c r="P24" i="41"/>
  <c r="Q24" s="1"/>
  <c r="E23" i="40"/>
  <c r="D23"/>
  <c r="AM24" i="7"/>
  <c r="O24"/>
  <c r="L24"/>
  <c r="K24" s="1"/>
  <c r="I24" i="36"/>
  <c r="F24"/>
  <c r="M26" i="5"/>
  <c r="O26" s="1"/>
  <c r="J26"/>
  <c r="L26" s="1"/>
  <c r="F26"/>
  <c r="I26" s="1"/>
  <c r="B26"/>
  <c r="E26" s="1"/>
  <c r="I24" i="35"/>
  <c r="F24"/>
  <c r="G26" i="51"/>
  <c r="I26" s="1"/>
  <c r="J26" s="1"/>
  <c r="G26" i="4"/>
  <c r="K27" i="3"/>
  <c r="K26"/>
  <c r="J27"/>
  <c r="G27"/>
  <c r="D27"/>
  <c r="CA25" i="1"/>
  <c r="CD25"/>
  <c r="BH25"/>
  <c r="AV25"/>
  <c r="BU25" s="1"/>
  <c r="AL25"/>
  <c r="AO25"/>
  <c r="AN25"/>
  <c r="AM25"/>
  <c r="AH25"/>
  <c r="AD25"/>
  <c r="S25"/>
  <c r="T25" s="1"/>
  <c r="L25"/>
  <c r="BC25" s="1"/>
  <c r="K24" i="36" l="1"/>
  <c r="K26"/>
  <c r="BU27" i="1"/>
  <c r="K26" i="35"/>
  <c r="L29" i="3"/>
  <c r="N29" s="1"/>
  <c r="O29" s="1"/>
  <c r="Q52" i="38"/>
  <c r="AN24" i="7"/>
  <c r="AO24" s="1"/>
  <c r="AN25"/>
  <c r="AO25" s="1"/>
  <c r="AO26"/>
  <c r="K25" i="36"/>
  <c r="S29" i="5"/>
  <c r="S17" s="1"/>
  <c r="R17"/>
  <c r="P28"/>
  <c r="R28" s="1"/>
  <c r="P27"/>
  <c r="R27" s="1"/>
  <c r="S27" s="1"/>
  <c r="K25" i="35"/>
  <c r="L28" i="3"/>
  <c r="N28" s="1"/>
  <c r="O28" s="1"/>
  <c r="S28" i="5"/>
  <c r="BC27" i="1"/>
  <c r="AX25"/>
  <c r="AY25" s="1"/>
  <c r="AZ25" s="1"/>
  <c r="AP27"/>
  <c r="BV27" s="1"/>
  <c r="R52" i="38"/>
  <c r="N52"/>
  <c r="F52"/>
  <c r="O52"/>
  <c r="S52"/>
  <c r="P52"/>
  <c r="L52"/>
  <c r="H52"/>
  <c r="D52"/>
  <c r="B52"/>
  <c r="G52"/>
  <c r="C52"/>
  <c r="M52"/>
  <c r="I52"/>
  <c r="E52"/>
  <c r="J52"/>
  <c r="K52"/>
  <c r="BW27" i="1"/>
  <c r="P26" i="5"/>
  <c r="R26" s="1"/>
  <c r="S26" s="1"/>
  <c r="L27" i="3"/>
  <c r="N27" s="1"/>
  <c r="O27" s="1"/>
  <c r="AP26" i="1"/>
  <c r="N26"/>
  <c r="V26" s="1"/>
  <c r="W26" s="1"/>
  <c r="BU26"/>
  <c r="AX26"/>
  <c r="AY26" s="1"/>
  <c r="AZ26" s="1"/>
  <c r="K24" i="35"/>
  <c r="N25" i="1"/>
  <c r="V25" s="1"/>
  <c r="W25" s="1"/>
  <c r="AP25"/>
  <c r="BW25"/>
  <c r="K23" i="33"/>
  <c r="K22"/>
  <c r="P23" i="41"/>
  <c r="Q23" s="1"/>
  <c r="E22" i="40"/>
  <c r="D22"/>
  <c r="BT27" i="1" l="1"/>
  <c r="BT26"/>
  <c r="BV26"/>
  <c r="BV25"/>
  <c r="BT25"/>
  <c r="D47" i="50"/>
  <c r="D46" s="1"/>
  <c r="C47"/>
  <c r="C46" s="1"/>
  <c r="B47"/>
  <c r="B46" s="1"/>
  <c r="B40"/>
  <c r="B33"/>
  <c r="AM23" i="7"/>
  <c r="O23"/>
  <c r="I23" i="36"/>
  <c r="F23"/>
  <c r="M25" i="5"/>
  <c r="O25" s="1"/>
  <c r="J25"/>
  <c r="L25" s="1"/>
  <c r="F25"/>
  <c r="I25" s="1"/>
  <c r="B25"/>
  <c r="E25" s="1"/>
  <c r="G25" i="51"/>
  <c r="I25" s="1"/>
  <c r="J25" s="1"/>
  <c r="G25" i="4"/>
  <c r="I20" i="35"/>
  <c r="F20"/>
  <c r="I23"/>
  <c r="F23"/>
  <c r="J26" i="3"/>
  <c r="G26"/>
  <c r="D26"/>
  <c r="CD24" i="1"/>
  <c r="CA24"/>
  <c r="BH24"/>
  <c r="AV24"/>
  <c r="BW24" s="1"/>
  <c r="AL24"/>
  <c r="AO24"/>
  <c r="AN24"/>
  <c r="AM24"/>
  <c r="AH24"/>
  <c r="AD24"/>
  <c r="S24"/>
  <c r="T24" s="1"/>
  <c r="L24"/>
  <c r="N24" s="1"/>
  <c r="V24" s="1"/>
  <c r="W24" s="1"/>
  <c r="E46" i="50" l="1"/>
  <c r="L26" i="3"/>
  <c r="N26" s="1"/>
  <c r="O26" s="1"/>
  <c r="E47" i="50"/>
  <c r="AN23" i="7"/>
  <c r="AO23" s="1"/>
  <c r="K23" i="36"/>
  <c r="K23" i="35"/>
  <c r="AP24" i="1"/>
  <c r="BV24" s="1"/>
  <c r="AX24"/>
  <c r="AY24" s="1"/>
  <c r="AZ24" s="1"/>
  <c r="P25" i="5"/>
  <c r="R25" s="1"/>
  <c r="S25" s="1"/>
  <c r="BC24" i="1"/>
  <c r="BU24"/>
  <c r="K23" i="7"/>
  <c r="BT24" i="1" l="1"/>
  <c r="P22" i="41"/>
  <c r="Q22" s="1"/>
  <c r="E21" i="40"/>
  <c r="D21"/>
  <c r="K21" i="33"/>
  <c r="K20"/>
  <c r="K19"/>
  <c r="K18"/>
  <c r="K17"/>
  <c r="U31" i="6"/>
  <c r="M31"/>
  <c r="J31"/>
  <c r="G31"/>
  <c r="D31"/>
  <c r="U30"/>
  <c r="M30"/>
  <c r="J30"/>
  <c r="G30"/>
  <c r="D30"/>
  <c r="U29"/>
  <c r="M29"/>
  <c r="J29"/>
  <c r="G29"/>
  <c r="D29"/>
  <c r="U28"/>
  <c r="M28"/>
  <c r="J28"/>
  <c r="G28"/>
  <c r="D28"/>
  <c r="T27"/>
  <c r="S27"/>
  <c r="R27"/>
  <c r="Q27"/>
  <c r="P27"/>
  <c r="L27"/>
  <c r="K27"/>
  <c r="I27"/>
  <c r="H27"/>
  <c r="F27"/>
  <c r="E27"/>
  <c r="C27"/>
  <c r="B27"/>
  <c r="U26"/>
  <c r="M26"/>
  <c r="J26"/>
  <c r="G26"/>
  <c r="D26"/>
  <c r="U25"/>
  <c r="M25"/>
  <c r="J25"/>
  <c r="G25"/>
  <c r="D25"/>
  <c r="U24"/>
  <c r="M24"/>
  <c r="J24"/>
  <c r="G24"/>
  <c r="D24"/>
  <c r="U23"/>
  <c r="M23"/>
  <c r="J23"/>
  <c r="G23"/>
  <c r="D23"/>
  <c r="T22"/>
  <c r="S22"/>
  <c r="R22"/>
  <c r="Q22"/>
  <c r="P22"/>
  <c r="L22"/>
  <c r="K22"/>
  <c r="I22"/>
  <c r="H22"/>
  <c r="F22"/>
  <c r="E22"/>
  <c r="C22"/>
  <c r="B22"/>
  <c r="N29" l="1"/>
  <c r="V29" s="1"/>
  <c r="M22"/>
  <c r="U22"/>
  <c r="M27"/>
  <c r="G22"/>
  <c r="N26"/>
  <c r="V26" s="1"/>
  <c r="J27"/>
  <c r="N24"/>
  <c r="V24" s="1"/>
  <c r="J22"/>
  <c r="G27"/>
  <c r="N31"/>
  <c r="V31" s="1"/>
  <c r="N23"/>
  <c r="V23" s="1"/>
  <c r="N30"/>
  <c r="V30" s="1"/>
  <c r="U27"/>
  <c r="N25"/>
  <c r="V25" s="1"/>
  <c r="N28"/>
  <c r="D22"/>
  <c r="D27"/>
  <c r="N27" l="1"/>
  <c r="V22"/>
  <c r="N22"/>
  <c r="V28"/>
  <c r="V27" s="1"/>
  <c r="AM22" i="7" l="1"/>
  <c r="O22"/>
  <c r="K22"/>
  <c r="L20"/>
  <c r="I22" i="36"/>
  <c r="F22"/>
  <c r="M24" i="5"/>
  <c r="O24" s="1"/>
  <c r="J24"/>
  <c r="L24" s="1"/>
  <c r="F24"/>
  <c r="I24" s="1"/>
  <c r="B24"/>
  <c r="E24" s="1"/>
  <c r="K22" i="36" l="1"/>
  <c r="AN22" i="7"/>
  <c r="AO22" s="1"/>
  <c r="P24" i="5"/>
  <c r="R24" s="1"/>
  <c r="S24" s="1"/>
  <c r="G24" i="51"/>
  <c r="I24" s="1"/>
  <c r="J24" s="1"/>
  <c r="G24" i="4"/>
  <c r="I22" i="35"/>
  <c r="F22"/>
  <c r="K25" i="3"/>
  <c r="J25"/>
  <c r="G25"/>
  <c r="D25"/>
  <c r="S23" i="1"/>
  <c r="T23" s="1"/>
  <c r="BH23"/>
  <c r="AV23"/>
  <c r="BW23" s="1"/>
  <c r="AL23"/>
  <c r="AO23"/>
  <c r="AN23"/>
  <c r="AM23"/>
  <c r="AH23"/>
  <c r="AD23"/>
  <c r="L23"/>
  <c r="BC23" s="1"/>
  <c r="CD18"/>
  <c r="CD19"/>
  <c r="CD20"/>
  <c r="CD21"/>
  <c r="CD22"/>
  <c r="CD23"/>
  <c r="CD17"/>
  <c r="CD12"/>
  <c r="CA18"/>
  <c r="CA19"/>
  <c r="CA20"/>
  <c r="CA21"/>
  <c r="CA22"/>
  <c r="CA23"/>
  <c r="CA17"/>
  <c r="CA12"/>
  <c r="CA11"/>
  <c r="CA10"/>
  <c r="CA9"/>
  <c r="CA8"/>
  <c r="AX23" l="1"/>
  <c r="AY23" s="1"/>
  <c r="AZ23" s="1"/>
  <c r="AP23"/>
  <c r="BT23" s="1"/>
  <c r="BU23"/>
  <c r="N23"/>
  <c r="V23" s="1"/>
  <c r="W23" s="1"/>
  <c r="L25" i="3"/>
  <c r="N25" s="1"/>
  <c r="O25" s="1"/>
  <c r="K22" i="35"/>
  <c r="P21" i="41"/>
  <c r="Q21" s="1"/>
  <c r="E20" i="40"/>
  <c r="D20"/>
  <c r="U4" i="45"/>
  <c r="U5"/>
  <c r="U6"/>
  <c r="U7"/>
  <c r="U8"/>
  <c r="U9"/>
  <c r="F21" i="36"/>
  <c r="K24" i="3"/>
  <c r="K23"/>
  <c r="I21" i="36"/>
  <c r="O23" i="5"/>
  <c r="L23"/>
  <c r="I23"/>
  <c r="E23"/>
  <c r="AV22" i="1"/>
  <c r="G23" i="51"/>
  <c r="I23" s="1"/>
  <c r="J23" s="1"/>
  <c r="G23" i="4"/>
  <c r="I21" i="35"/>
  <c r="F21"/>
  <c r="J24" i="3"/>
  <c r="G24"/>
  <c r="D24"/>
  <c r="BV23" i="1" l="1"/>
  <c r="P23" i="5"/>
  <c r="R23" s="1"/>
  <c r="S23" s="1"/>
  <c r="K21" i="36"/>
  <c r="K21" i="35"/>
  <c r="L24" i="3"/>
  <c r="N24" s="1"/>
  <c r="O24" s="1"/>
  <c r="BU22" i="1"/>
  <c r="BH22"/>
  <c r="BW22"/>
  <c r="AX22"/>
  <c r="AY22" s="1"/>
  <c r="AZ22" s="1"/>
  <c r="AL22"/>
  <c r="AO22"/>
  <c r="AN22"/>
  <c r="AM22"/>
  <c r="AH22"/>
  <c r="AD22"/>
  <c r="AP22" l="1"/>
  <c r="BT22" s="1"/>
  <c r="S22"/>
  <c r="T22" s="1"/>
  <c r="L22"/>
  <c r="BC22" s="1"/>
  <c r="AM21" i="7"/>
  <c r="O21"/>
  <c r="K21"/>
  <c r="P20" i="41"/>
  <c r="Q20" s="1"/>
  <c r="E19" i="40"/>
  <c r="D19"/>
  <c r="AM20" i="7"/>
  <c r="O20"/>
  <c r="Y35" i="8"/>
  <c r="Y34"/>
  <c r="L50" i="39"/>
  <c r="J50"/>
  <c r="G50"/>
  <c r="G22" i="51"/>
  <c r="I22" s="1"/>
  <c r="J22" s="1"/>
  <c r="G22" i="4"/>
  <c r="K20" i="35"/>
  <c r="J23" i="3"/>
  <c r="G23"/>
  <c r="D23"/>
  <c r="AV21" i="1"/>
  <c r="BW21" s="1"/>
  <c r="BH21"/>
  <c r="AO21"/>
  <c r="AL21"/>
  <c r="AN21"/>
  <c r="AM21"/>
  <c r="AH21"/>
  <c r="AD21"/>
  <c r="S21"/>
  <c r="T21" s="1"/>
  <c r="L21"/>
  <c r="BC21" s="1"/>
  <c r="I20" i="36"/>
  <c r="F20"/>
  <c r="O22" i="5"/>
  <c r="L22"/>
  <c r="I22"/>
  <c r="E22"/>
  <c r="P19" i="41"/>
  <c r="Q19" s="1"/>
  <c r="E18" i="40"/>
  <c r="D18"/>
  <c r="AM19" i="7"/>
  <c r="O19"/>
  <c r="K19"/>
  <c r="I19" i="36"/>
  <c r="F19"/>
  <c r="O21" i="5"/>
  <c r="L21"/>
  <c r="I21"/>
  <c r="E21"/>
  <c r="G21" i="51"/>
  <c r="I21" s="1"/>
  <c r="J21" s="1"/>
  <c r="G21" i="4"/>
  <c r="I19" i="35"/>
  <c r="F19"/>
  <c r="K22" i="3"/>
  <c r="J22"/>
  <c r="G22"/>
  <c r="D22"/>
  <c r="L18" i="7"/>
  <c r="K18" s="1"/>
  <c r="BH20" i="1"/>
  <c r="AV20"/>
  <c r="BW20" s="1"/>
  <c r="AO20"/>
  <c r="AN20"/>
  <c r="AM20"/>
  <c r="AL20"/>
  <c r="AH20"/>
  <c r="AD20"/>
  <c r="S20"/>
  <c r="T20" s="1"/>
  <c r="L20"/>
  <c r="N20" s="1"/>
  <c r="V20" s="1"/>
  <c r="W20" s="1"/>
  <c r="P18" i="41"/>
  <c r="Q18" s="1"/>
  <c r="E17" i="40"/>
  <c r="D17"/>
  <c r="D16"/>
  <c r="AM18" i="7"/>
  <c r="O18"/>
  <c r="AV19" i="1"/>
  <c r="BW19" s="1"/>
  <c r="H39" i="50"/>
  <c r="G39"/>
  <c r="F39"/>
  <c r="H43"/>
  <c r="G43"/>
  <c r="F43"/>
  <c r="D43"/>
  <c r="C43"/>
  <c r="B43"/>
  <c r="G20" i="51"/>
  <c r="I20" s="1"/>
  <c r="J20" s="1"/>
  <c r="G20" i="4"/>
  <c r="I18" i="35"/>
  <c r="F18"/>
  <c r="K21" i="3"/>
  <c r="J21"/>
  <c r="G21"/>
  <c r="D21"/>
  <c r="BH19" i="1"/>
  <c r="AO19"/>
  <c r="AN19"/>
  <c r="AM19"/>
  <c r="AL19"/>
  <c r="AH19"/>
  <c r="AD19"/>
  <c r="S19"/>
  <c r="T19" s="1"/>
  <c r="L19"/>
  <c r="N19" s="1"/>
  <c r="V19" s="1"/>
  <c r="W19" s="1"/>
  <c r="I18" i="36"/>
  <c r="F18"/>
  <c r="O20" i="5"/>
  <c r="L20"/>
  <c r="I20"/>
  <c r="E20"/>
  <c r="B51" i="39"/>
  <c r="C51"/>
  <c r="D51"/>
  <c r="E51"/>
  <c r="F51"/>
  <c r="H51"/>
  <c r="I51"/>
  <c r="K51"/>
  <c r="S51"/>
  <c r="V51"/>
  <c r="P17" i="41"/>
  <c r="Q17" s="1"/>
  <c r="E16" i="40"/>
  <c r="L17" i="7"/>
  <c r="K17" s="1"/>
  <c r="O17"/>
  <c r="I17" i="36"/>
  <c r="F17"/>
  <c r="O19" i="5"/>
  <c r="L19"/>
  <c r="I19"/>
  <c r="E19"/>
  <c r="G19" i="51"/>
  <c r="I19" s="1"/>
  <c r="J19" s="1"/>
  <c r="G19" i="4"/>
  <c r="I17" i="35"/>
  <c r="F17"/>
  <c r="K20" i="3"/>
  <c r="J20"/>
  <c r="G20"/>
  <c r="D20"/>
  <c r="BH18" i="1"/>
  <c r="AV18"/>
  <c r="BU18" s="1"/>
  <c r="AO18"/>
  <c r="AN18"/>
  <c r="AM18"/>
  <c r="AL18"/>
  <c r="AH18"/>
  <c r="AD18"/>
  <c r="S18"/>
  <c r="T18" s="1"/>
  <c r="L18"/>
  <c r="N18" s="1"/>
  <c r="V18" s="1"/>
  <c r="W18" s="1"/>
  <c r="R29" i="27"/>
  <c r="Q29"/>
  <c r="P29"/>
  <c r="O29"/>
  <c r="P16" i="41"/>
  <c r="Q16" s="1"/>
  <c r="E15" i="40"/>
  <c r="D15"/>
  <c r="AM16" i="7"/>
  <c r="O16"/>
  <c r="L16"/>
  <c r="K16" s="1"/>
  <c r="I16" i="36"/>
  <c r="F16"/>
  <c r="O18" i="5"/>
  <c r="L18"/>
  <c r="I18"/>
  <c r="E18"/>
  <c r="G18" i="51"/>
  <c r="I18" s="1"/>
  <c r="J18" s="1"/>
  <c r="G18" i="4"/>
  <c r="I16" i="35"/>
  <c r="F16"/>
  <c r="K19" i="3"/>
  <c r="J19"/>
  <c r="G19"/>
  <c r="D19"/>
  <c r="BH17" i="1"/>
  <c r="AV17"/>
  <c r="BU17" s="1"/>
  <c r="AO17"/>
  <c r="AN17"/>
  <c r="AM17"/>
  <c r="AL17"/>
  <c r="AH17"/>
  <c r="AD17"/>
  <c r="S17"/>
  <c r="T17" s="1"/>
  <c r="L17"/>
  <c r="BC17" s="1"/>
  <c r="P15" i="41"/>
  <c r="Q15" s="1"/>
  <c r="E14" i="40"/>
  <c r="D14"/>
  <c r="N14" i="3"/>
  <c r="O14" s="1"/>
  <c r="Q50" i="39"/>
  <c r="Q49" i="38"/>
  <c r="S49" s="1"/>
  <c r="L50" s="1"/>
  <c r="Q49" i="37"/>
  <c r="S49" s="1"/>
  <c r="D40" i="50"/>
  <c r="C40"/>
  <c r="V49" i="39"/>
  <c r="S49"/>
  <c r="K49"/>
  <c r="I49"/>
  <c r="H49"/>
  <c r="F49"/>
  <c r="E49"/>
  <c r="D49"/>
  <c r="C49"/>
  <c r="B49"/>
  <c r="K7" i="33"/>
  <c r="W19" i="27"/>
  <c r="X21"/>
  <c r="O23"/>
  <c r="P23"/>
  <c r="Q23"/>
  <c r="R23"/>
  <c r="X23"/>
  <c r="O24"/>
  <c r="P24"/>
  <c r="Q24"/>
  <c r="R24"/>
  <c r="X24"/>
  <c r="O25"/>
  <c r="P25"/>
  <c r="Q25"/>
  <c r="R25"/>
  <c r="O26"/>
  <c r="P26"/>
  <c r="Q26"/>
  <c r="R26"/>
  <c r="Y26"/>
  <c r="Z26"/>
  <c r="AA26"/>
  <c r="AB26"/>
  <c r="O27"/>
  <c r="P27"/>
  <c r="Q27"/>
  <c r="R27"/>
  <c r="O28"/>
  <c r="P28"/>
  <c r="Q28"/>
  <c r="R28"/>
  <c r="Q5" i="41"/>
  <c r="B23" i="39"/>
  <c r="C23"/>
  <c r="D23"/>
  <c r="E23"/>
  <c r="F23"/>
  <c r="H23"/>
  <c r="I23"/>
  <c r="K23"/>
  <c r="S23"/>
  <c r="V23"/>
  <c r="G24"/>
  <c r="J24"/>
  <c r="L24"/>
  <c r="B25"/>
  <c r="C25"/>
  <c r="D25"/>
  <c r="E25"/>
  <c r="F25"/>
  <c r="H25"/>
  <c r="I25"/>
  <c r="K25"/>
  <c r="S25"/>
  <c r="V25"/>
  <c r="G26"/>
  <c r="J26"/>
  <c r="L26"/>
  <c r="B27"/>
  <c r="C27"/>
  <c r="D27"/>
  <c r="E27"/>
  <c r="F27"/>
  <c r="H27"/>
  <c r="I27"/>
  <c r="K27"/>
  <c r="S27"/>
  <c r="V27"/>
  <c r="G28"/>
  <c r="J28"/>
  <c r="L28"/>
  <c r="B29"/>
  <c r="C29"/>
  <c r="D29"/>
  <c r="E29"/>
  <c r="F29"/>
  <c r="H29"/>
  <c r="I29"/>
  <c r="K29"/>
  <c r="S29"/>
  <c r="V29"/>
  <c r="G30"/>
  <c r="J30"/>
  <c r="L30"/>
  <c r="B31"/>
  <c r="C31"/>
  <c r="D31"/>
  <c r="E31"/>
  <c r="F31"/>
  <c r="H31"/>
  <c r="I31"/>
  <c r="K31"/>
  <c r="S31"/>
  <c r="V31"/>
  <c r="G32"/>
  <c r="J32"/>
  <c r="L32"/>
  <c r="B33"/>
  <c r="C33"/>
  <c r="D33"/>
  <c r="E33"/>
  <c r="F33"/>
  <c r="H33"/>
  <c r="I33"/>
  <c r="K33"/>
  <c r="S33"/>
  <c r="V33"/>
  <c r="G34"/>
  <c r="J34"/>
  <c r="L34"/>
  <c r="B35"/>
  <c r="C35"/>
  <c r="D35"/>
  <c r="E35"/>
  <c r="F35"/>
  <c r="H35"/>
  <c r="I35"/>
  <c r="K35"/>
  <c r="S35"/>
  <c r="V35"/>
  <c r="G36"/>
  <c r="J36"/>
  <c r="L36"/>
  <c r="B37"/>
  <c r="C37"/>
  <c r="D37"/>
  <c r="E37"/>
  <c r="F37"/>
  <c r="H37"/>
  <c r="I37"/>
  <c r="K37"/>
  <c r="S37"/>
  <c r="V37"/>
  <c r="G38"/>
  <c r="J38"/>
  <c r="L38"/>
  <c r="B39"/>
  <c r="C39"/>
  <c r="D39"/>
  <c r="E39"/>
  <c r="F39"/>
  <c r="H39"/>
  <c r="I39"/>
  <c r="K39"/>
  <c r="S39"/>
  <c r="V39"/>
  <c r="G40"/>
  <c r="J40"/>
  <c r="L40"/>
  <c r="Q40"/>
  <c r="B41"/>
  <c r="C41"/>
  <c r="D41"/>
  <c r="E41"/>
  <c r="F41"/>
  <c r="H41"/>
  <c r="I41"/>
  <c r="K41"/>
  <c r="S41"/>
  <c r="V41"/>
  <c r="G42"/>
  <c r="J42"/>
  <c r="L42"/>
  <c r="Q42"/>
  <c r="B43"/>
  <c r="C43"/>
  <c r="D43"/>
  <c r="E43"/>
  <c r="F43"/>
  <c r="H43"/>
  <c r="I43"/>
  <c r="K43"/>
  <c r="S43"/>
  <c r="V43"/>
  <c r="G44"/>
  <c r="J44"/>
  <c r="L44"/>
  <c r="Q44"/>
  <c r="B45"/>
  <c r="C45"/>
  <c r="D45"/>
  <c r="E45"/>
  <c r="F45"/>
  <c r="H45"/>
  <c r="I45"/>
  <c r="K45"/>
  <c r="S45"/>
  <c r="V45"/>
  <c r="G46"/>
  <c r="J46"/>
  <c r="L46"/>
  <c r="Q46"/>
  <c r="B47"/>
  <c r="C47"/>
  <c r="D47"/>
  <c r="E47"/>
  <c r="F47"/>
  <c r="H47"/>
  <c r="I47"/>
  <c r="K47"/>
  <c r="S47"/>
  <c r="V47"/>
  <c r="G48"/>
  <c r="J48"/>
  <c r="L48"/>
  <c r="Q48"/>
  <c r="Q5" i="38"/>
  <c r="Q7"/>
  <c r="S7" s="1"/>
  <c r="Q9"/>
  <c r="S9" s="1"/>
  <c r="U9" s="1"/>
  <c r="Q11"/>
  <c r="S11" s="1"/>
  <c r="Q13"/>
  <c r="Q15"/>
  <c r="S15" s="1"/>
  <c r="Q17"/>
  <c r="S17" s="1"/>
  <c r="U17" s="1"/>
  <c r="Q19"/>
  <c r="S19" s="1"/>
  <c r="Q21"/>
  <c r="Q23"/>
  <c r="S23" s="1"/>
  <c r="Q25"/>
  <c r="S25" s="1"/>
  <c r="U25" s="1"/>
  <c r="Q27"/>
  <c r="S27" s="1"/>
  <c r="Q29"/>
  <c r="Q31"/>
  <c r="S31" s="1"/>
  <c r="Q33"/>
  <c r="S33" s="1"/>
  <c r="Q35"/>
  <c r="Q37"/>
  <c r="S37" s="1"/>
  <c r="B38" s="1"/>
  <c r="Q39"/>
  <c r="S39" s="1"/>
  <c r="Q41"/>
  <c r="S41" s="1"/>
  <c r="Q43"/>
  <c r="Q45"/>
  <c r="S45" s="1"/>
  <c r="R46" s="1"/>
  <c r="Q47"/>
  <c r="S47" s="1"/>
  <c r="Q5" i="37"/>
  <c r="Q6" s="1"/>
  <c r="U5"/>
  <c r="B6"/>
  <c r="C6"/>
  <c r="D6"/>
  <c r="E6"/>
  <c r="F6"/>
  <c r="G6"/>
  <c r="H6"/>
  <c r="I6"/>
  <c r="J6"/>
  <c r="K6"/>
  <c r="L6"/>
  <c r="M6"/>
  <c r="N6"/>
  <c r="O6"/>
  <c r="P6"/>
  <c r="R6"/>
  <c r="S6"/>
  <c r="Q7"/>
  <c r="Q8" s="1"/>
  <c r="U7"/>
  <c r="B8"/>
  <c r="C8"/>
  <c r="D8"/>
  <c r="E8"/>
  <c r="F8"/>
  <c r="G8"/>
  <c r="H8"/>
  <c r="I8"/>
  <c r="J8"/>
  <c r="K8"/>
  <c r="L8"/>
  <c r="M8"/>
  <c r="N8"/>
  <c r="O8"/>
  <c r="P8"/>
  <c r="R8"/>
  <c r="S8"/>
  <c r="Q9"/>
  <c r="Q10" s="1"/>
  <c r="U9"/>
  <c r="B10"/>
  <c r="C10"/>
  <c r="D10"/>
  <c r="E10"/>
  <c r="F10"/>
  <c r="G10"/>
  <c r="H10"/>
  <c r="I10"/>
  <c r="J10"/>
  <c r="K10"/>
  <c r="L10"/>
  <c r="M10"/>
  <c r="N10"/>
  <c r="O10"/>
  <c r="P10"/>
  <c r="R10"/>
  <c r="S10"/>
  <c r="Q11"/>
  <c r="Q12" s="1"/>
  <c r="U11"/>
  <c r="B12"/>
  <c r="C12"/>
  <c r="D12"/>
  <c r="E12"/>
  <c r="F12"/>
  <c r="G12"/>
  <c r="H12"/>
  <c r="I12"/>
  <c r="J12"/>
  <c r="K12"/>
  <c r="L12"/>
  <c r="M12"/>
  <c r="N12"/>
  <c r="O12"/>
  <c r="P12"/>
  <c r="R12"/>
  <c r="S12"/>
  <c r="Q13"/>
  <c r="Q14" s="1"/>
  <c r="U13"/>
  <c r="B14"/>
  <c r="C14"/>
  <c r="D14"/>
  <c r="E14"/>
  <c r="F14"/>
  <c r="G14"/>
  <c r="H14"/>
  <c r="I14"/>
  <c r="J14"/>
  <c r="K14"/>
  <c r="L14"/>
  <c r="M14"/>
  <c r="N14"/>
  <c r="O14"/>
  <c r="P14"/>
  <c r="R14"/>
  <c r="S14"/>
  <c r="Q15"/>
  <c r="Q16" s="1"/>
  <c r="B16"/>
  <c r="C16"/>
  <c r="D16"/>
  <c r="E16"/>
  <c r="F16"/>
  <c r="G16"/>
  <c r="H16"/>
  <c r="I16"/>
  <c r="J16"/>
  <c r="K16"/>
  <c r="L16"/>
  <c r="M16"/>
  <c r="N16"/>
  <c r="O16"/>
  <c r="P16"/>
  <c r="R16"/>
  <c r="S16"/>
  <c r="Q17"/>
  <c r="Q18" s="1"/>
  <c r="U17"/>
  <c r="B18"/>
  <c r="C18"/>
  <c r="D18"/>
  <c r="E18"/>
  <c r="F18"/>
  <c r="G18"/>
  <c r="H18"/>
  <c r="I18"/>
  <c r="J18"/>
  <c r="K18"/>
  <c r="L18"/>
  <c r="M18"/>
  <c r="N18"/>
  <c r="O18"/>
  <c r="P18"/>
  <c r="R18"/>
  <c r="S18"/>
  <c r="Q19"/>
  <c r="R19" s="1"/>
  <c r="R20" s="1"/>
  <c r="U19"/>
  <c r="B20"/>
  <c r="C20"/>
  <c r="D20"/>
  <c r="E20"/>
  <c r="F20"/>
  <c r="G20"/>
  <c r="H20"/>
  <c r="I20"/>
  <c r="J20"/>
  <c r="K20"/>
  <c r="L20"/>
  <c r="M20"/>
  <c r="N20"/>
  <c r="O20"/>
  <c r="P20"/>
  <c r="S20"/>
  <c r="Q21"/>
  <c r="S21" s="1"/>
  <c r="Q23"/>
  <c r="S23" s="1"/>
  <c r="Q25"/>
  <c r="S25" s="1"/>
  <c r="Q27"/>
  <c r="S27" s="1"/>
  <c r="Q29"/>
  <c r="S29" s="1"/>
  <c r="Q31"/>
  <c r="S31" s="1"/>
  <c r="Q33"/>
  <c r="S33" s="1"/>
  <c r="C34" s="1"/>
  <c r="Q35"/>
  <c r="S35" s="1"/>
  <c r="Q37"/>
  <c r="S37" s="1"/>
  <c r="Q39"/>
  <c r="S39" s="1"/>
  <c r="Q41"/>
  <c r="S41" s="1"/>
  <c r="Q43"/>
  <c r="S43" s="1"/>
  <c r="Q45"/>
  <c r="S45" s="1"/>
  <c r="Q47"/>
  <c r="S47" s="1"/>
  <c r="M48" s="1"/>
  <c r="B15" i="50"/>
  <c r="C15"/>
  <c r="D15"/>
  <c r="F15"/>
  <c r="G15"/>
  <c r="H15"/>
  <c r="B18"/>
  <c r="C18"/>
  <c r="D18"/>
  <c r="F18"/>
  <c r="G18"/>
  <c r="H18"/>
  <c r="B21"/>
  <c r="C21"/>
  <c r="D21"/>
  <c r="F21"/>
  <c r="G21"/>
  <c r="H21"/>
  <c r="B24"/>
  <c r="C24"/>
  <c r="D24"/>
  <c r="F24"/>
  <c r="G24"/>
  <c r="H24"/>
  <c r="B27"/>
  <c r="C27"/>
  <c r="D27"/>
  <c r="F27"/>
  <c r="G27"/>
  <c r="H27"/>
  <c r="B29"/>
  <c r="C29"/>
  <c r="D29"/>
  <c r="F32"/>
  <c r="G32"/>
  <c r="H32"/>
  <c r="C33"/>
  <c r="D33"/>
  <c r="B36"/>
  <c r="C36"/>
  <c r="D36"/>
  <c r="D6" i="6"/>
  <c r="G6"/>
  <c r="J6"/>
  <c r="K6"/>
  <c r="U6"/>
  <c r="D7"/>
  <c r="G7"/>
  <c r="J7"/>
  <c r="K7"/>
  <c r="U7"/>
  <c r="U8"/>
  <c r="V8" s="1"/>
  <c r="U9"/>
  <c r="V9" s="1"/>
  <c r="B12"/>
  <c r="C12"/>
  <c r="E12"/>
  <c r="F12"/>
  <c r="H12"/>
  <c r="I12"/>
  <c r="K12"/>
  <c r="L12"/>
  <c r="P12"/>
  <c r="Q12"/>
  <c r="R12"/>
  <c r="S12"/>
  <c r="T12"/>
  <c r="D13"/>
  <c r="G13"/>
  <c r="J13"/>
  <c r="M13"/>
  <c r="U13"/>
  <c r="D14"/>
  <c r="G14"/>
  <c r="J14"/>
  <c r="M14"/>
  <c r="U14"/>
  <c r="D15"/>
  <c r="G15"/>
  <c r="J15"/>
  <c r="M15"/>
  <c r="U15"/>
  <c r="D16"/>
  <c r="G16"/>
  <c r="J16"/>
  <c r="M16"/>
  <c r="U16"/>
  <c r="B17"/>
  <c r="C17"/>
  <c r="E17"/>
  <c r="F17"/>
  <c r="H17"/>
  <c r="I17"/>
  <c r="K17"/>
  <c r="L17"/>
  <c r="P17"/>
  <c r="Q17"/>
  <c r="R17"/>
  <c r="S17"/>
  <c r="T17"/>
  <c r="D18"/>
  <c r="G18"/>
  <c r="J18"/>
  <c r="M18"/>
  <c r="U18"/>
  <c r="D19"/>
  <c r="G19"/>
  <c r="J19"/>
  <c r="M19"/>
  <c r="U19"/>
  <c r="D20"/>
  <c r="G20"/>
  <c r="J20"/>
  <c r="M20"/>
  <c r="U20"/>
  <c r="D21"/>
  <c r="G21"/>
  <c r="J21"/>
  <c r="M21"/>
  <c r="U21"/>
  <c r="F6" i="36"/>
  <c r="I6"/>
  <c r="F7"/>
  <c r="I7"/>
  <c r="F8"/>
  <c r="I8"/>
  <c r="F9"/>
  <c r="I9"/>
  <c r="I8" i="5"/>
  <c r="L8"/>
  <c r="I9"/>
  <c r="L9"/>
  <c r="I10"/>
  <c r="L10"/>
  <c r="I11"/>
  <c r="L11"/>
  <c r="I12"/>
  <c r="L12"/>
  <c r="G8" i="51"/>
  <c r="I8" s="1"/>
  <c r="J8" s="1"/>
  <c r="G9"/>
  <c r="I9" s="1"/>
  <c r="J9" s="1"/>
  <c r="G10"/>
  <c r="I10" s="1"/>
  <c r="J10" s="1"/>
  <c r="G11"/>
  <c r="I11" s="1"/>
  <c r="J11" s="1"/>
  <c r="G12"/>
  <c r="I12" s="1"/>
  <c r="J12" s="1"/>
  <c r="G8" i="4"/>
  <c r="G9"/>
  <c r="G10"/>
  <c r="D9" i="3"/>
  <c r="G9"/>
  <c r="J9"/>
  <c r="D10"/>
  <c r="G10"/>
  <c r="J10"/>
  <c r="D11"/>
  <c r="G11"/>
  <c r="J11"/>
  <c r="D12"/>
  <c r="G12"/>
  <c r="J12"/>
  <c r="D13"/>
  <c r="L7" i="1"/>
  <c r="N7" s="1"/>
  <c r="V7" s="1"/>
  <c r="W7" s="1"/>
  <c r="S7"/>
  <c r="T7" s="1"/>
  <c r="AD7"/>
  <c r="AH7"/>
  <c r="AL7"/>
  <c r="AM7"/>
  <c r="AN7"/>
  <c r="AO7"/>
  <c r="AX7"/>
  <c r="AY7" s="1"/>
  <c r="AZ7" s="1"/>
  <c r="BH7"/>
  <c r="BU7"/>
  <c r="BW7"/>
  <c r="CA7"/>
  <c r="AY8"/>
  <c r="AZ8" s="1"/>
  <c r="AY9"/>
  <c r="AZ9" s="1"/>
  <c r="I50" i="38"/>
  <c r="S50"/>
  <c r="G50"/>
  <c r="N50"/>
  <c r="J18" l="1"/>
  <c r="O18"/>
  <c r="U37" i="37"/>
  <c r="P38"/>
  <c r="J38"/>
  <c r="B38"/>
  <c r="R38"/>
  <c r="H38"/>
  <c r="U29"/>
  <c r="H30"/>
  <c r="P30"/>
  <c r="U21"/>
  <c r="P22"/>
  <c r="H22"/>
  <c r="K42" i="38"/>
  <c r="O42"/>
  <c r="H42"/>
  <c r="P42"/>
  <c r="C42"/>
  <c r="S42"/>
  <c r="H34"/>
  <c r="D34"/>
  <c r="U47"/>
  <c r="S48"/>
  <c r="C48"/>
  <c r="E48"/>
  <c r="R48"/>
  <c r="K48"/>
  <c r="L48"/>
  <c r="D48"/>
  <c r="B48"/>
  <c r="O48"/>
  <c r="C40"/>
  <c r="H40"/>
  <c r="U39"/>
  <c r="Q40"/>
  <c r="I40"/>
  <c r="P40"/>
  <c r="B12"/>
  <c r="H12"/>
  <c r="N12"/>
  <c r="C42" i="37"/>
  <c r="D42"/>
  <c r="P42"/>
  <c r="B28" i="38"/>
  <c r="N28"/>
  <c r="E20"/>
  <c r="D20"/>
  <c r="N20"/>
  <c r="B20"/>
  <c r="J20"/>
  <c r="H20"/>
  <c r="P20"/>
  <c r="I20"/>
  <c r="R20"/>
  <c r="L46"/>
  <c r="E26"/>
  <c r="E18"/>
  <c r="E10"/>
  <c r="D50"/>
  <c r="P50"/>
  <c r="M50"/>
  <c r="H50"/>
  <c r="K50"/>
  <c r="B50"/>
  <c r="J50"/>
  <c r="G46"/>
  <c r="F50"/>
  <c r="U49"/>
  <c r="Q50"/>
  <c r="E50"/>
  <c r="O50"/>
  <c r="R50"/>
  <c r="C50"/>
  <c r="K16" i="33"/>
  <c r="K15" s="1"/>
  <c r="J15"/>
  <c r="G32" i="6"/>
  <c r="E33" i="50"/>
  <c r="E40"/>
  <c r="B50" i="37"/>
  <c r="U49"/>
  <c r="G50"/>
  <c r="L50"/>
  <c r="D50"/>
  <c r="I50"/>
  <c r="R50"/>
  <c r="N50"/>
  <c r="Q50"/>
  <c r="M50"/>
  <c r="C50"/>
  <c r="S50"/>
  <c r="E50"/>
  <c r="K50"/>
  <c r="F50"/>
  <c r="H50"/>
  <c r="O50"/>
  <c r="P50"/>
  <c r="J50"/>
  <c r="C26"/>
  <c r="P26"/>
  <c r="D26"/>
  <c r="L26"/>
  <c r="H26"/>
  <c r="U45"/>
  <c r="F46"/>
  <c r="N46"/>
  <c r="D46"/>
  <c r="H46"/>
  <c r="P46"/>
  <c r="L46"/>
  <c r="B46"/>
  <c r="J46"/>
  <c r="R46"/>
  <c r="N38" i="38"/>
  <c r="L34" i="37"/>
  <c r="N30"/>
  <c r="F30"/>
  <c r="Q30"/>
  <c r="N22"/>
  <c r="F22"/>
  <c r="Q22"/>
  <c r="J38" i="38"/>
  <c r="M28"/>
  <c r="E28"/>
  <c r="M12"/>
  <c r="E12"/>
  <c r="P34" i="37"/>
  <c r="Q48"/>
  <c r="F48" i="38"/>
  <c r="J48"/>
  <c r="I48"/>
  <c r="L42" i="37"/>
  <c r="N38"/>
  <c r="F38"/>
  <c r="Q38"/>
  <c r="H34"/>
  <c r="L30"/>
  <c r="D30"/>
  <c r="S22"/>
  <c r="L22"/>
  <c r="D22"/>
  <c r="M40" i="38"/>
  <c r="E40"/>
  <c r="F38"/>
  <c r="P34"/>
  <c r="R28"/>
  <c r="J28"/>
  <c r="D28"/>
  <c r="O26"/>
  <c r="R12"/>
  <c r="J12"/>
  <c r="D12"/>
  <c r="O10"/>
  <c r="O15" i="7"/>
  <c r="M32" i="6"/>
  <c r="I43" i="50"/>
  <c r="H28" i="38"/>
  <c r="E27" i="50"/>
  <c r="E21"/>
  <c r="E15"/>
  <c r="Q46" i="37"/>
  <c r="H42"/>
  <c r="L38"/>
  <c r="D38"/>
  <c r="D34"/>
  <c r="R30"/>
  <c r="J30"/>
  <c r="B30"/>
  <c r="R22"/>
  <c r="J22"/>
  <c r="B22"/>
  <c r="L40" i="38"/>
  <c r="D40"/>
  <c r="R38"/>
  <c r="Q32"/>
  <c r="P28"/>
  <c r="I28"/>
  <c r="J26"/>
  <c r="M20"/>
  <c r="P12"/>
  <c r="I12"/>
  <c r="J10"/>
  <c r="D32" i="6"/>
  <c r="U32"/>
  <c r="O48" i="37"/>
  <c r="S48"/>
  <c r="R48"/>
  <c r="H48"/>
  <c r="D48"/>
  <c r="N48"/>
  <c r="E48"/>
  <c r="F48"/>
  <c r="G48"/>
  <c r="L48"/>
  <c r="C48"/>
  <c r="B48"/>
  <c r="U47"/>
  <c r="P48"/>
  <c r="K48"/>
  <c r="J48"/>
  <c r="I48"/>
  <c r="B44"/>
  <c r="F44"/>
  <c r="J44"/>
  <c r="N44"/>
  <c r="R44"/>
  <c r="C44"/>
  <c r="G44"/>
  <c r="K44"/>
  <c r="O44"/>
  <c r="S44"/>
  <c r="D44"/>
  <c r="H44"/>
  <c r="L44"/>
  <c r="P44"/>
  <c r="U43"/>
  <c r="E44"/>
  <c r="I44"/>
  <c r="M44"/>
  <c r="D24"/>
  <c r="H24"/>
  <c r="L24"/>
  <c r="P24"/>
  <c r="U23"/>
  <c r="E24"/>
  <c r="I24"/>
  <c r="M24"/>
  <c r="Q24"/>
  <c r="B24"/>
  <c r="F24"/>
  <c r="J24"/>
  <c r="N24"/>
  <c r="R24"/>
  <c r="C24"/>
  <c r="G24"/>
  <c r="K24"/>
  <c r="O24"/>
  <c r="S24"/>
  <c r="D32"/>
  <c r="H32"/>
  <c r="L32"/>
  <c r="P32"/>
  <c r="U31"/>
  <c r="E32"/>
  <c r="I32"/>
  <c r="M32"/>
  <c r="Q32"/>
  <c r="B32"/>
  <c r="F32"/>
  <c r="J32"/>
  <c r="N32"/>
  <c r="R32"/>
  <c r="C32"/>
  <c r="G32"/>
  <c r="K32"/>
  <c r="O32"/>
  <c r="S32"/>
  <c r="B28"/>
  <c r="F28"/>
  <c r="J28"/>
  <c r="N28"/>
  <c r="R28"/>
  <c r="C28"/>
  <c r="G28"/>
  <c r="K28"/>
  <c r="O28"/>
  <c r="S28"/>
  <c r="D28"/>
  <c r="H28"/>
  <c r="L28"/>
  <c r="P28"/>
  <c r="U27"/>
  <c r="E28"/>
  <c r="I28"/>
  <c r="M28"/>
  <c r="D40"/>
  <c r="H40"/>
  <c r="L40"/>
  <c r="P40"/>
  <c r="U39"/>
  <c r="E40"/>
  <c r="I40"/>
  <c r="M40"/>
  <c r="Q40"/>
  <c r="B40"/>
  <c r="F40"/>
  <c r="J40"/>
  <c r="N40"/>
  <c r="R40"/>
  <c r="C40"/>
  <c r="G40"/>
  <c r="K40"/>
  <c r="O40"/>
  <c r="S40"/>
  <c r="B36"/>
  <c r="F36"/>
  <c r="J36"/>
  <c r="N36"/>
  <c r="R36"/>
  <c r="C36"/>
  <c r="G36"/>
  <c r="K36"/>
  <c r="O36"/>
  <c r="S36"/>
  <c r="D36"/>
  <c r="H36"/>
  <c r="L36"/>
  <c r="P36"/>
  <c r="U35"/>
  <c r="E36"/>
  <c r="I36"/>
  <c r="M36"/>
  <c r="U17" i="6"/>
  <c r="B32" i="50"/>
  <c r="E36"/>
  <c r="E29"/>
  <c r="E24"/>
  <c r="E18"/>
  <c r="Q44" i="37"/>
  <c r="R42"/>
  <c r="N42"/>
  <c r="J42"/>
  <c r="F42"/>
  <c r="B42"/>
  <c r="Q36"/>
  <c r="R34"/>
  <c r="N34"/>
  <c r="J34"/>
  <c r="F34"/>
  <c r="B34"/>
  <c r="Q28"/>
  <c r="R26"/>
  <c r="N26"/>
  <c r="J26"/>
  <c r="F26"/>
  <c r="B26"/>
  <c r="Q20"/>
  <c r="U45" i="38"/>
  <c r="E46"/>
  <c r="I46"/>
  <c r="M46"/>
  <c r="D46"/>
  <c r="U31"/>
  <c r="E32"/>
  <c r="B32"/>
  <c r="G32"/>
  <c r="K32"/>
  <c r="O32"/>
  <c r="S32"/>
  <c r="C32"/>
  <c r="H32"/>
  <c r="L32"/>
  <c r="P32"/>
  <c r="F32"/>
  <c r="J32"/>
  <c r="N32"/>
  <c r="R32"/>
  <c r="U15"/>
  <c r="E16"/>
  <c r="I16"/>
  <c r="M16"/>
  <c r="B16"/>
  <c r="G16"/>
  <c r="L16"/>
  <c r="R16"/>
  <c r="C16"/>
  <c r="H16"/>
  <c r="N16"/>
  <c r="S16"/>
  <c r="D16"/>
  <c r="J16"/>
  <c r="O16"/>
  <c r="F16"/>
  <c r="K16"/>
  <c r="P16"/>
  <c r="I32" i="50"/>
  <c r="I24"/>
  <c r="I18"/>
  <c r="S46" i="37"/>
  <c r="O46"/>
  <c r="K46"/>
  <c r="G46"/>
  <c r="C46"/>
  <c r="Q42"/>
  <c r="M42"/>
  <c r="I42"/>
  <c r="E42"/>
  <c r="U41"/>
  <c r="S38"/>
  <c r="O38"/>
  <c r="K38"/>
  <c r="G38"/>
  <c r="C38"/>
  <c r="Q34"/>
  <c r="M34"/>
  <c r="I34"/>
  <c r="E34"/>
  <c r="U33"/>
  <c r="S30"/>
  <c r="O30"/>
  <c r="K30"/>
  <c r="G30"/>
  <c r="C30"/>
  <c r="Q26"/>
  <c r="M26"/>
  <c r="I26"/>
  <c r="E26"/>
  <c r="U25"/>
  <c r="O22"/>
  <c r="K22"/>
  <c r="G22"/>
  <c r="C22"/>
  <c r="P46" i="38"/>
  <c r="K46"/>
  <c r="F46"/>
  <c r="B42"/>
  <c r="F42"/>
  <c r="J42"/>
  <c r="N42"/>
  <c r="R42"/>
  <c r="U41"/>
  <c r="E42"/>
  <c r="I42"/>
  <c r="M42"/>
  <c r="S35"/>
  <c r="M32"/>
  <c r="O46"/>
  <c r="J46"/>
  <c r="C46"/>
  <c r="G42"/>
  <c r="Q42"/>
  <c r="B34"/>
  <c r="F34"/>
  <c r="J34"/>
  <c r="N34"/>
  <c r="R34"/>
  <c r="C34"/>
  <c r="G34"/>
  <c r="K34"/>
  <c r="O34"/>
  <c r="S34"/>
  <c r="U33"/>
  <c r="E34"/>
  <c r="I34"/>
  <c r="M34"/>
  <c r="I32"/>
  <c r="U23"/>
  <c r="E24"/>
  <c r="I24"/>
  <c r="M24"/>
  <c r="B24"/>
  <c r="G24"/>
  <c r="L24"/>
  <c r="R24"/>
  <c r="C24"/>
  <c r="H24"/>
  <c r="N24"/>
  <c r="S24"/>
  <c r="D24"/>
  <c r="J24"/>
  <c r="O24"/>
  <c r="F24"/>
  <c r="K24"/>
  <c r="P24"/>
  <c r="U7"/>
  <c r="E8"/>
  <c r="I8"/>
  <c r="M8"/>
  <c r="B8"/>
  <c r="G8"/>
  <c r="L8"/>
  <c r="R8"/>
  <c r="C8"/>
  <c r="H8"/>
  <c r="N8"/>
  <c r="S8"/>
  <c r="D8"/>
  <c r="J8"/>
  <c r="O8"/>
  <c r="F8"/>
  <c r="K8"/>
  <c r="P8"/>
  <c r="H48"/>
  <c r="G48"/>
  <c r="P48"/>
  <c r="M48"/>
  <c r="N48"/>
  <c r="Q48"/>
  <c r="I27" i="50"/>
  <c r="I21"/>
  <c r="I15"/>
  <c r="M46" i="37"/>
  <c r="I46"/>
  <c r="E46"/>
  <c r="S42"/>
  <c r="O42"/>
  <c r="K42"/>
  <c r="G42"/>
  <c r="M38"/>
  <c r="I38"/>
  <c r="E38"/>
  <c r="S34"/>
  <c r="O34"/>
  <c r="K34"/>
  <c r="G34"/>
  <c r="M30"/>
  <c r="I30"/>
  <c r="E30"/>
  <c r="S26"/>
  <c r="O26"/>
  <c r="K26"/>
  <c r="G26"/>
  <c r="M22"/>
  <c r="I22"/>
  <c r="E22"/>
  <c r="S46" i="38"/>
  <c r="N46"/>
  <c r="H46"/>
  <c r="B46"/>
  <c r="S43"/>
  <c r="Q44" s="1"/>
  <c r="L42"/>
  <c r="D42"/>
  <c r="D38"/>
  <c r="H38"/>
  <c r="L38"/>
  <c r="P38"/>
  <c r="U37"/>
  <c r="E38"/>
  <c r="I38"/>
  <c r="M38"/>
  <c r="Q38"/>
  <c r="C38"/>
  <c r="G38"/>
  <c r="K38"/>
  <c r="O38"/>
  <c r="S38"/>
  <c r="L34"/>
  <c r="Q34"/>
  <c r="D32"/>
  <c r="R40"/>
  <c r="N40"/>
  <c r="J40"/>
  <c r="F40"/>
  <c r="B40"/>
  <c r="S29"/>
  <c r="C28"/>
  <c r="G28"/>
  <c r="K28"/>
  <c r="O28"/>
  <c r="S28"/>
  <c r="Q26"/>
  <c r="K26"/>
  <c r="F26"/>
  <c r="S21"/>
  <c r="C20"/>
  <c r="G20"/>
  <c r="K20"/>
  <c r="O20"/>
  <c r="S20"/>
  <c r="Q18"/>
  <c r="K18"/>
  <c r="F18"/>
  <c r="S13"/>
  <c r="C12"/>
  <c r="G12"/>
  <c r="K12"/>
  <c r="O12"/>
  <c r="S12"/>
  <c r="Q10"/>
  <c r="K10"/>
  <c r="F10"/>
  <c r="S5"/>
  <c r="Q6" s="1"/>
  <c r="D26"/>
  <c r="H26"/>
  <c r="L26"/>
  <c r="P26"/>
  <c r="Q24"/>
  <c r="D18"/>
  <c r="H18"/>
  <c r="L18"/>
  <c r="P18"/>
  <c r="Q16"/>
  <c r="D10"/>
  <c r="H10"/>
  <c r="L10"/>
  <c r="P10"/>
  <c r="Q8"/>
  <c r="S26"/>
  <c r="N26"/>
  <c r="I26"/>
  <c r="C26"/>
  <c r="S18"/>
  <c r="N18"/>
  <c r="I18"/>
  <c r="C18"/>
  <c r="S10"/>
  <c r="N10"/>
  <c r="I10"/>
  <c r="C10"/>
  <c r="Q46"/>
  <c r="S40"/>
  <c r="O40"/>
  <c r="K40"/>
  <c r="G40"/>
  <c r="Q28"/>
  <c r="L28"/>
  <c r="F28"/>
  <c r="U27"/>
  <c r="R26"/>
  <c r="M26"/>
  <c r="G26"/>
  <c r="B26"/>
  <c r="Q20"/>
  <c r="L20"/>
  <c r="F20"/>
  <c r="U19"/>
  <c r="R18"/>
  <c r="M18"/>
  <c r="G18"/>
  <c r="B18"/>
  <c r="Q12"/>
  <c r="L12"/>
  <c r="F12"/>
  <c r="U11"/>
  <c r="R10"/>
  <c r="M10"/>
  <c r="G10"/>
  <c r="B10"/>
  <c r="J32" i="6"/>
  <c r="I39" i="50"/>
  <c r="B39"/>
  <c r="E43"/>
  <c r="AM17" i="7"/>
  <c r="AM15" s="1"/>
  <c r="AL15"/>
  <c r="L15"/>
  <c r="P12" i="5"/>
  <c r="R12" s="1"/>
  <c r="S12" s="1"/>
  <c r="P10"/>
  <c r="R10" s="1"/>
  <c r="S10" s="1"/>
  <c r="P8"/>
  <c r="R8" s="1"/>
  <c r="S8" s="1"/>
  <c r="P20"/>
  <c r="R20" s="1"/>
  <c r="S20" s="1"/>
  <c r="AP19" i="1"/>
  <c r="BV19" s="1"/>
  <c r="BV22"/>
  <c r="K9" i="36"/>
  <c r="L20" i="3"/>
  <c r="N20" s="1"/>
  <c r="L12"/>
  <c r="BC7" i="1"/>
  <c r="AP17"/>
  <c r="BV17" s="1"/>
  <c r="AX19"/>
  <c r="AY19" s="1"/>
  <c r="AZ19" s="1"/>
  <c r="BU19"/>
  <c r="L22" i="3"/>
  <c r="N22" s="1"/>
  <c r="O22" s="1"/>
  <c r="BU20" i="1"/>
  <c r="AX21"/>
  <c r="AY21" s="1"/>
  <c r="AZ21" s="1"/>
  <c r="P11" i="5"/>
  <c r="R11" s="1"/>
  <c r="S11" s="1"/>
  <c r="L11" i="3"/>
  <c r="N11" s="1"/>
  <c r="L19"/>
  <c r="N19" s="1"/>
  <c r="O19" s="1"/>
  <c r="L21"/>
  <c r="N21" s="1"/>
  <c r="O21" s="1"/>
  <c r="L23"/>
  <c r="N23" s="1"/>
  <c r="O23" s="1"/>
  <c r="N6" i="6"/>
  <c r="V6" s="1"/>
  <c r="AN16" i="7"/>
  <c r="AN20"/>
  <c r="AO20" s="1"/>
  <c r="D32" i="50"/>
  <c r="D39"/>
  <c r="C39"/>
  <c r="C32"/>
  <c r="N21" i="6"/>
  <c r="V21" s="1"/>
  <c r="G17"/>
  <c r="N20"/>
  <c r="V20" s="1"/>
  <c r="N19"/>
  <c r="V19" s="1"/>
  <c r="J17"/>
  <c r="N7"/>
  <c r="V7" s="1"/>
  <c r="M17"/>
  <c r="N16"/>
  <c r="V16" s="1"/>
  <c r="G12"/>
  <c r="J12"/>
  <c r="M12"/>
  <c r="U12"/>
  <c r="N15"/>
  <c r="V15" s="1"/>
  <c r="D12"/>
  <c r="D17"/>
  <c r="N14"/>
  <c r="V14" s="1"/>
  <c r="N13"/>
  <c r="N18"/>
  <c r="K8" i="36"/>
  <c r="K6"/>
  <c r="K16"/>
  <c r="K17"/>
  <c r="K18"/>
  <c r="K19"/>
  <c r="K7"/>
  <c r="K20"/>
  <c r="P9" i="5"/>
  <c r="R9" s="1"/>
  <c r="S9" s="1"/>
  <c r="P22"/>
  <c r="R22" s="1"/>
  <c r="S22" s="1"/>
  <c r="P18"/>
  <c r="R18" s="1"/>
  <c r="S18" s="1"/>
  <c r="P19"/>
  <c r="R19" s="1"/>
  <c r="S19" s="1"/>
  <c r="P21"/>
  <c r="R21" s="1"/>
  <c r="S21" s="1"/>
  <c r="K19" i="35"/>
  <c r="K17"/>
  <c r="K18"/>
  <c r="K16"/>
  <c r="L10" i="3"/>
  <c r="N10" s="1"/>
  <c r="L9"/>
  <c r="N9" s="1"/>
  <c r="O9" s="1"/>
  <c r="O20"/>
  <c r="BW18" i="1"/>
  <c r="AP7"/>
  <c r="BT7" s="1"/>
  <c r="AX17"/>
  <c r="AY17" s="1"/>
  <c r="AZ17" s="1"/>
  <c r="AX18"/>
  <c r="AY18" s="1"/>
  <c r="AZ18" s="1"/>
  <c r="BU21"/>
  <c r="BW17"/>
  <c r="AX20"/>
  <c r="AY20" s="1"/>
  <c r="AZ20" s="1"/>
  <c r="AP21"/>
  <c r="BV21" s="1"/>
  <c r="AP18"/>
  <c r="BT18" s="1"/>
  <c r="AP20"/>
  <c r="BV20" s="1"/>
  <c r="N22"/>
  <c r="V22" s="1"/>
  <c r="W22" s="1"/>
  <c r="BC19"/>
  <c r="N17"/>
  <c r="V17" s="1"/>
  <c r="W17" s="1"/>
  <c r="N21"/>
  <c r="V21" s="1"/>
  <c r="W21" s="1"/>
  <c r="BC20"/>
  <c r="BC18"/>
  <c r="AN19" i="7"/>
  <c r="AO19" s="1"/>
  <c r="AN18"/>
  <c r="AO18" s="1"/>
  <c r="AN21"/>
  <c r="AO21" s="1"/>
  <c r="K20"/>
  <c r="K15" s="1"/>
  <c r="AN17" l="1"/>
  <c r="AO17" s="1"/>
  <c r="B30" i="38"/>
  <c r="F30"/>
  <c r="J30"/>
  <c r="N30"/>
  <c r="R30"/>
  <c r="U29"/>
  <c r="G30"/>
  <c r="L30"/>
  <c r="C30"/>
  <c r="H30"/>
  <c r="M30"/>
  <c r="S30"/>
  <c r="D30"/>
  <c r="I30"/>
  <c r="O30"/>
  <c r="E30"/>
  <c r="K30"/>
  <c r="P30"/>
  <c r="Q30"/>
  <c r="B6"/>
  <c r="F6"/>
  <c r="J6"/>
  <c r="N6"/>
  <c r="R6"/>
  <c r="U5"/>
  <c r="G6"/>
  <c r="L6"/>
  <c r="C6"/>
  <c r="H6"/>
  <c r="M6"/>
  <c r="S6"/>
  <c r="D6"/>
  <c r="I6"/>
  <c r="O6"/>
  <c r="E6"/>
  <c r="K6"/>
  <c r="P6"/>
  <c r="V32" i="6"/>
  <c r="N32"/>
  <c r="E39" i="50"/>
  <c r="B14" i="38"/>
  <c r="F14"/>
  <c r="J14"/>
  <c r="N14"/>
  <c r="R14"/>
  <c r="U13"/>
  <c r="G14"/>
  <c r="L14"/>
  <c r="C14"/>
  <c r="H14"/>
  <c r="M14"/>
  <c r="S14"/>
  <c r="D14"/>
  <c r="I14"/>
  <c r="O14"/>
  <c r="E14"/>
  <c r="K14"/>
  <c r="P14"/>
  <c r="U35"/>
  <c r="E36"/>
  <c r="I36"/>
  <c r="M36"/>
  <c r="B36"/>
  <c r="F36"/>
  <c r="J36"/>
  <c r="N36"/>
  <c r="R36"/>
  <c r="D36"/>
  <c r="H36"/>
  <c r="L36"/>
  <c r="P36"/>
  <c r="G36"/>
  <c r="K36"/>
  <c r="O36"/>
  <c r="C36"/>
  <c r="S36"/>
  <c r="E32" i="50"/>
  <c r="B22" i="38"/>
  <c r="F22"/>
  <c r="J22"/>
  <c r="N22"/>
  <c r="R22"/>
  <c r="U21"/>
  <c r="G22"/>
  <c r="L22"/>
  <c r="C22"/>
  <c r="H22"/>
  <c r="M22"/>
  <c r="S22"/>
  <c r="D22"/>
  <c r="I22"/>
  <c r="O22"/>
  <c r="E22"/>
  <c r="K22"/>
  <c r="P22"/>
  <c r="Q22"/>
  <c r="U43"/>
  <c r="E44"/>
  <c r="I44"/>
  <c r="M44"/>
  <c r="D44"/>
  <c r="H44"/>
  <c r="L44"/>
  <c r="P44"/>
  <c r="G44"/>
  <c r="O44"/>
  <c r="B44"/>
  <c r="J44"/>
  <c r="R44"/>
  <c r="C44"/>
  <c r="K44"/>
  <c r="S44"/>
  <c r="F44"/>
  <c r="N44"/>
  <c r="Q14"/>
  <c r="Q36"/>
  <c r="AO16" i="7"/>
  <c r="BT17" i="1"/>
  <c r="BT21"/>
  <c r="BV18"/>
  <c r="BT19"/>
  <c r="BV7"/>
  <c r="BT20"/>
  <c r="N17" i="6"/>
  <c r="V18"/>
  <c r="V17" s="1"/>
  <c r="N12"/>
  <c r="V13"/>
  <c r="V12" s="1"/>
  <c r="AN15" i="7" l="1"/>
  <c r="AO15"/>
</calcChain>
</file>

<file path=xl/sharedStrings.xml><?xml version="1.0" encoding="utf-8"?>
<sst xmlns="http://schemas.openxmlformats.org/spreadsheetml/2006/main" count="10491" uniqueCount="2892">
  <si>
    <t>(In million US$)</t>
  </si>
  <si>
    <t>28.01.09</t>
  </si>
  <si>
    <t>25.02.09</t>
  </si>
  <si>
    <t>25.02.29</t>
  </si>
  <si>
    <t>08.07.09</t>
  </si>
  <si>
    <t>08.07.19</t>
  </si>
  <si>
    <t>25.03.09</t>
  </si>
  <si>
    <t>25.03.29</t>
  </si>
  <si>
    <t>05.08.09</t>
  </si>
  <si>
    <t>05.08.19</t>
  </si>
  <si>
    <t>29.04.09</t>
  </si>
  <si>
    <t>29.04.29</t>
  </si>
  <si>
    <t>02.09.09</t>
  </si>
  <si>
    <t>02.09.19</t>
  </si>
  <si>
    <t>27.05.09</t>
  </si>
  <si>
    <t>27.05.29</t>
  </si>
  <si>
    <t>24.06.09</t>
  </si>
  <si>
    <t>24.06.29</t>
  </si>
  <si>
    <t>29.07.09</t>
  </si>
  <si>
    <t>29.07.29</t>
  </si>
  <si>
    <t>26.08.09</t>
  </si>
  <si>
    <t>26.08.29</t>
  </si>
  <si>
    <t>Source :</t>
  </si>
  <si>
    <t>RATES OF INTEREST ON NON-RESIDENT FOREIGN CURRENCY DEPOSIT (NFCD) ACCOUNT                             PRIVATE BANKS</t>
  </si>
  <si>
    <t>RATES OF INTEREST ON NON-RESIDENT FOREIGN CURRENCY DEPOSIT (NFCD) ACCOUNT                              FOREIGN BANKS</t>
  </si>
  <si>
    <t>Clothing &amp; Footwear</t>
  </si>
  <si>
    <t>Gross rent, Fuel &amp; Lighting</t>
  </si>
  <si>
    <t xml:space="preserve">GROSS DOMESTIC PRODUCT OF </t>
  </si>
  <si>
    <t xml:space="preserve"> Period</t>
  </si>
  <si>
    <t>DMBs Borrowings</t>
  </si>
  <si>
    <t>DMBs Deposits (Excluding BSBL &amp; Inter-Bank)</t>
  </si>
  <si>
    <t>(Taka in crore)</t>
  </si>
  <si>
    <t>Rate of Interest After Maturity (%)</t>
  </si>
  <si>
    <t>Particulars</t>
  </si>
  <si>
    <t>Rate of Interest After Maturity  (%)</t>
  </si>
  <si>
    <t>Savings Deposits:</t>
  </si>
  <si>
    <t>Fixed Deposits:</t>
  </si>
  <si>
    <t xml:space="preserve">                     </t>
  </si>
  <si>
    <t>Term Loan to Small Industry</t>
  </si>
  <si>
    <t>Net Profit After Tax</t>
  </si>
  <si>
    <t>Note:</t>
  </si>
  <si>
    <t>23.01.08</t>
  </si>
  <si>
    <t>27.02.08</t>
  </si>
  <si>
    <t>27.03.08</t>
  </si>
  <si>
    <t>23.04.08</t>
  </si>
  <si>
    <t>28.05.08</t>
  </si>
  <si>
    <t>25.06.08</t>
  </si>
  <si>
    <t>23.07.08</t>
  </si>
  <si>
    <t>27.08.08</t>
  </si>
  <si>
    <t>24.09.08</t>
  </si>
  <si>
    <t>29.10.08</t>
  </si>
  <si>
    <t>26.11.08</t>
  </si>
  <si>
    <t>24.12.08</t>
  </si>
  <si>
    <r>
      <t xml:space="preserve">United States </t>
    </r>
    <r>
      <rPr>
        <sz val="6"/>
        <color indexed="8"/>
        <rFont val="Times New Roman"/>
        <family val="1"/>
      </rPr>
      <t>(Rotterdam)</t>
    </r>
  </si>
  <si>
    <t>28.01.29</t>
  </si>
  <si>
    <t>23.01.28</t>
  </si>
  <si>
    <t>27.02.28</t>
  </si>
  <si>
    <t>27.03.28</t>
  </si>
  <si>
    <t>23.04.28</t>
  </si>
  <si>
    <t>28.05.28</t>
  </si>
  <si>
    <t>25.06.28</t>
  </si>
  <si>
    <t>23.07.28</t>
  </si>
  <si>
    <t>24.09.28</t>
  </si>
  <si>
    <t>29.10.28</t>
  </si>
  <si>
    <t>26.11.28</t>
  </si>
  <si>
    <t>24.12.28</t>
  </si>
  <si>
    <t>(Taka in Crore)</t>
  </si>
  <si>
    <t xml:space="preserve">Tk. in Crore </t>
  </si>
  <si>
    <t>-</t>
  </si>
  <si>
    <t>Mudaraba Short Term Deposits</t>
  </si>
  <si>
    <t>Mudaraba Hajj Savings Deposits :</t>
  </si>
  <si>
    <t>Cash Waqf.</t>
  </si>
  <si>
    <t>Chinese  Yuan</t>
  </si>
  <si>
    <t>RATES OF INTEREST ON NON-RESIDENT FOREIGN CURRENCY DEPOSIT (NFCD) ACCOUNT                                       STATE OWNED COMMERCIAL BANKS</t>
  </si>
  <si>
    <t>Hong Kong Dollar</t>
  </si>
  <si>
    <t>Japanese Yen</t>
  </si>
  <si>
    <t xml:space="preserve">Year/Month </t>
  </si>
  <si>
    <t xml:space="preserve">No. of Persons </t>
  </si>
  <si>
    <t xml:space="preserve">Remittances </t>
  </si>
  <si>
    <t>Saudi Arabia</t>
  </si>
  <si>
    <t>Kuwait</t>
  </si>
  <si>
    <t>Libya</t>
  </si>
  <si>
    <t>Qatar</t>
  </si>
  <si>
    <t>Oman</t>
  </si>
  <si>
    <t>Singapore</t>
  </si>
  <si>
    <t>Germany</t>
  </si>
  <si>
    <t>Bahrain</t>
  </si>
  <si>
    <t>Iran</t>
  </si>
  <si>
    <t>Japan</t>
  </si>
  <si>
    <t>Other Countries</t>
  </si>
  <si>
    <t>Total Income</t>
  </si>
  <si>
    <t>Total Expenditure</t>
  </si>
  <si>
    <t>Bangladesh Bank (Central Bank)</t>
  </si>
  <si>
    <t>Specialized Banks</t>
  </si>
  <si>
    <t>Total Manpower</t>
  </si>
  <si>
    <t>1 month</t>
  </si>
  <si>
    <t>1 year</t>
  </si>
  <si>
    <t>Pound Sterling</t>
  </si>
  <si>
    <t>2009-10</t>
  </si>
  <si>
    <t>A.</t>
  </si>
  <si>
    <t>Bank Rate</t>
  </si>
  <si>
    <t>C.</t>
  </si>
  <si>
    <t>2008-09</t>
  </si>
  <si>
    <t>    </t>
  </si>
  <si>
    <t>Engineering </t>
  </si>
  <si>
    <t>Jute Industries</t>
  </si>
  <si>
    <t>Exports</t>
  </si>
  <si>
    <t>Cement Industries</t>
  </si>
  <si>
    <t>Total Market Capitalisation</t>
  </si>
  <si>
    <t>Retail Market Price of Dhaka City</t>
  </si>
  <si>
    <t>Inflation (Food)</t>
  </si>
  <si>
    <t>Inflation (Non-food)</t>
  </si>
  <si>
    <t>Point -to- Point</t>
  </si>
  <si>
    <t>12- Month Average</t>
  </si>
  <si>
    <t xml:space="preserve">Social Islami Bank </t>
  </si>
  <si>
    <t>State Owned Commercial Banks</t>
  </si>
  <si>
    <t>5 years</t>
  </si>
  <si>
    <t>8 years</t>
  </si>
  <si>
    <t>Double Benefit Scheme</t>
  </si>
  <si>
    <t>Triple Benefit Scheme</t>
  </si>
  <si>
    <t>Mudaraba Steady Money</t>
  </si>
  <si>
    <t>Mudaraba Super Savings</t>
  </si>
  <si>
    <t>Mudaraba Multi Plus Savings</t>
  </si>
  <si>
    <t>Mudaraba Smart Saver Deposits</t>
  </si>
  <si>
    <t>Mudaraba Lakhopati Deposits Scheme</t>
  </si>
  <si>
    <t>Mudaraba Future Deposits Scheme</t>
  </si>
  <si>
    <t>Mudaraba Housing  Savings Scheme</t>
  </si>
  <si>
    <t>Children Savings Scheme</t>
  </si>
  <si>
    <t>Point -to-Point</t>
  </si>
  <si>
    <t>Jute goods (including Carpet)</t>
  </si>
  <si>
    <t>Tea</t>
  </si>
  <si>
    <t>Fish &amp; Shrimp</t>
  </si>
  <si>
    <t>80202</t>
  </si>
  <si>
    <t>19790</t>
  </si>
  <si>
    <t>6152</t>
  </si>
  <si>
    <t>93901</t>
  </si>
  <si>
    <t>6070</t>
  </si>
  <si>
    <t>43854</t>
  </si>
  <si>
    <t>78220</t>
  </si>
  <si>
    <t>3889</t>
  </si>
  <si>
    <t>56907</t>
  </si>
  <si>
    <t>8955</t>
  </si>
  <si>
    <t>38058</t>
  </si>
  <si>
    <t>14427</t>
  </si>
  <si>
    <t>13532</t>
  </si>
  <si>
    <t>11819</t>
  </si>
  <si>
    <t>545822</t>
  </si>
  <si>
    <t>INDUSTRIAL COMMODITIES</t>
  </si>
  <si>
    <t xml:space="preserve">August </t>
  </si>
  <si>
    <t>Clinker</t>
  </si>
  <si>
    <t>Dyeing &amp; Tanning Materials</t>
  </si>
  <si>
    <t>Cotton</t>
  </si>
  <si>
    <t>Banking Sector</t>
  </si>
  <si>
    <t>TRADE</t>
  </si>
  <si>
    <t>FOREIGN</t>
  </si>
  <si>
    <t xml:space="preserve">PRODUCTION OF MAJOR </t>
  </si>
  <si>
    <t>AGRICULTURAL COMMODITIES</t>
  </si>
  <si>
    <t>Currency in Circulation</t>
  </si>
  <si>
    <t>From</t>
  </si>
  <si>
    <t>PAYMENTS</t>
  </si>
  <si>
    <t>BALANCE OF</t>
  </si>
  <si>
    <t>Monetary Aggregates</t>
  </si>
  <si>
    <t>14.61</t>
  </si>
  <si>
    <t>192</t>
  </si>
  <si>
    <t xml:space="preserve">SELECTED ECONOMIC </t>
  </si>
  <si>
    <t>INDICATORS  </t>
  </si>
  <si>
    <t>BB</t>
  </si>
  <si>
    <t>DMBs</t>
  </si>
  <si>
    <t>Advances &amp; Bills</t>
  </si>
  <si>
    <t>Percentage change over end of the last June</t>
  </si>
  <si>
    <t>Income Velocity of  Money</t>
  </si>
  <si>
    <t xml:space="preserve">  </t>
  </si>
  <si>
    <t>Credit (Net) to Gover- nment</t>
  </si>
  <si>
    <t>Credit to Other Public Sector</t>
  </si>
  <si>
    <t>Amounts</t>
  </si>
  <si>
    <t>Bank Rate </t>
  </si>
  <si>
    <t>Deposits</t>
  </si>
  <si>
    <t xml:space="preserve"> Advances </t>
  </si>
  <si>
    <t>TABLE- IV (Contd.)</t>
  </si>
  <si>
    <t>Total Domestic credit</t>
  </si>
  <si>
    <t>End of period</t>
  </si>
  <si>
    <t>(Base:1995-96</t>
  </si>
  <si>
    <t>Interest Rates on</t>
  </si>
  <si>
    <t>Specialised Banks</t>
  </si>
  <si>
    <t>Private Banks</t>
  </si>
  <si>
    <t>RAKUB</t>
  </si>
  <si>
    <t>UCBL</t>
  </si>
  <si>
    <t xml:space="preserve"> jute goods)</t>
  </si>
  <si>
    <t>(Other than</t>
  </si>
  <si>
    <t>TABLE- IIE</t>
  </si>
  <si>
    <t xml:space="preserve">Lending Rates: </t>
  </si>
  <si>
    <t>Agriculture</t>
  </si>
  <si>
    <t>Sub-Category-1</t>
  </si>
  <si>
    <t>Sub-Category-2</t>
  </si>
  <si>
    <t>Non-Financial  Corporation</t>
  </si>
  <si>
    <t xml:space="preserve">         Deposit Liabilities</t>
  </si>
  <si>
    <t>Electri-city         Gas &amp; Water Supply</t>
  </si>
  <si>
    <t xml:space="preserve">         - =Not applicable</t>
  </si>
  <si>
    <r>
      <t>* Dubai Mediam, Fateh 32</t>
    </r>
    <r>
      <rPr>
        <vertAlign val="superscript"/>
        <sz val="6.5"/>
        <color indexed="8"/>
        <rFont val="Times New Roman"/>
        <family val="1"/>
      </rPr>
      <t xml:space="preserve">o </t>
    </r>
    <r>
      <rPr>
        <sz val="6.5"/>
        <color indexed="8"/>
        <rFont val="Times New Roman"/>
        <family val="1"/>
      </rPr>
      <t>API, Spot, f.o.b. U.K.</t>
    </r>
  </si>
  <si>
    <r>
      <t xml:space="preserve"> @ United Kingdom Light, Brent 38</t>
    </r>
    <r>
      <rPr>
        <vertAlign val="superscript"/>
        <sz val="6.5"/>
        <color indexed="8"/>
        <rFont val="Times New Roman"/>
        <family val="1"/>
      </rPr>
      <t>o</t>
    </r>
    <r>
      <rPr>
        <sz val="6.5"/>
        <color indexed="8"/>
        <rFont val="Times New Roman"/>
        <family val="1"/>
      </rPr>
      <t xml:space="preserve"> API, Spot, f.o.b. U.K.</t>
    </r>
  </si>
  <si>
    <t>Term Loan to Large &amp; Medium Scale Industry</t>
  </si>
  <si>
    <t xml:space="preserve">  Sub-Category-1</t>
  </si>
  <si>
    <t xml:space="preserve">  Sub-Category-2</t>
  </si>
  <si>
    <t>NBDCs</t>
  </si>
  <si>
    <t>Working Capital to Industry</t>
  </si>
  <si>
    <t xml:space="preserve">Trade Financing </t>
  </si>
  <si>
    <t xml:space="preserve">Housing Loan </t>
  </si>
  <si>
    <t xml:space="preserve">Consumer Credit </t>
  </si>
  <si>
    <t xml:space="preserve">Others </t>
  </si>
  <si>
    <t>NCCBL</t>
  </si>
  <si>
    <t>BCBL</t>
  </si>
  <si>
    <t>Bank Asia</t>
  </si>
  <si>
    <t>Woori Bank</t>
  </si>
  <si>
    <t>MERCHANDISE EXPORTS</t>
  </si>
  <si>
    <t>MERCHANDISE IMPORTS</t>
  </si>
  <si>
    <t>MERCHANDISE</t>
  </si>
  <si>
    <t>IMPORTS</t>
  </si>
  <si>
    <t>Aus Rice</t>
  </si>
  <si>
    <t>Aman Rice</t>
  </si>
  <si>
    <t>Boro Rice</t>
  </si>
  <si>
    <t>Currency     in Tills of DMBs</t>
  </si>
  <si>
    <t>Deposit Money Banks  (DMBs)</t>
  </si>
  <si>
    <t>To      Private</t>
  </si>
  <si>
    <t>To    Public</t>
  </si>
  <si>
    <t>Public    Bills</t>
  </si>
  <si>
    <t xml:space="preserve">                       Public                                                                  Sector</t>
  </si>
  <si>
    <t>Cash Reserve Require-ment</t>
  </si>
  <si>
    <t>Invest-ment</t>
  </si>
  <si>
    <t>Credit     to    Private Sector</t>
  </si>
  <si>
    <t>Total No. of    Branches    of Scheduled Banks</t>
  </si>
  <si>
    <t>Average Deposits  per DMB  Branch     (in crore) </t>
  </si>
  <si>
    <t>Other                                 Public Sector</t>
  </si>
  <si>
    <t>CPI of Major Non-Food Items / Groups</t>
  </si>
  <si>
    <t>Note    :</t>
  </si>
  <si>
    <t>91 percent of savings deposits are included in time deposits with effect from July 2007</t>
  </si>
  <si>
    <t>From       Govern-    ment</t>
  </si>
  <si>
    <t>To     Banks</t>
  </si>
  <si>
    <t xml:space="preserve">                      Rates,             Ratios         &amp;         Average         </t>
  </si>
  <si>
    <t>Jute      Textiles</t>
  </si>
  <si>
    <t>Wholesale Price Indices of  Base:  1969-70=100</t>
  </si>
  <si>
    <t>Foreign Trade (during the period)</t>
  </si>
  <si>
    <t>2010-11</t>
  </si>
  <si>
    <t xml:space="preserve"> Bangladesh Bureau of Statistics</t>
  </si>
  <si>
    <t xml:space="preserve">                 </t>
  </si>
  <si>
    <t>TABLE-IB</t>
  </si>
  <si>
    <t>TABLE-IIA</t>
  </si>
  <si>
    <r>
      <t>Note :</t>
    </r>
    <r>
      <rPr>
        <sz val="7"/>
        <rFont val="Times New Roman"/>
        <family val="1"/>
      </rPr>
      <t xml:space="preserve"> </t>
    </r>
  </si>
  <si>
    <r>
      <t xml:space="preserve">Source    </t>
    </r>
    <r>
      <rPr>
        <sz val="7"/>
        <rFont val="Times New Roman"/>
        <family val="1"/>
      </rPr>
      <t xml:space="preserve">: </t>
    </r>
  </si>
  <si>
    <r>
      <t xml:space="preserve">Note        </t>
    </r>
    <r>
      <rPr>
        <sz val="7"/>
        <rFont val="Times New Roman"/>
        <family val="1"/>
      </rPr>
      <t>: </t>
    </r>
  </si>
  <si>
    <t>Government       (Net)</t>
  </si>
  <si>
    <t>5= (3+4)</t>
  </si>
  <si>
    <t>8= (6+7)</t>
  </si>
  <si>
    <t>In FC   Clearing A/C</t>
  </si>
  <si>
    <t>Deposits with BB</t>
  </si>
  <si>
    <t>By  DMBs</t>
  </si>
  <si>
    <t>TABLE-IIC</t>
  </si>
  <si>
    <t>TABLE-IID</t>
  </si>
  <si>
    <t xml:space="preserve">Net Foreign Assets </t>
  </si>
  <si>
    <t>Deposit Money Banks</t>
  </si>
  <si>
    <r>
      <t xml:space="preserve">Total </t>
    </r>
    <r>
      <rPr>
        <sz val="8"/>
        <rFont val="Times New Roman"/>
        <family val="1"/>
      </rPr>
      <t>(2+3+4+5)</t>
    </r>
  </si>
  <si>
    <t>Net Domestic Assets (6+7)</t>
  </si>
  <si>
    <t>Reserve Money (1+8)</t>
  </si>
  <si>
    <t>Currency      in Tills of DMBs</t>
  </si>
  <si>
    <t xml:space="preserve">Note           : </t>
  </si>
  <si>
    <t xml:space="preserve">Source       : </t>
  </si>
  <si>
    <t>TABLE-IIF</t>
  </si>
  <si>
    <t>5 = (3+4)</t>
  </si>
  <si>
    <t>10 = (1+2+5+8+9)</t>
  </si>
  <si>
    <t xml:space="preserve">Note :  </t>
  </si>
  <si>
    <t>8 = (6+7)</t>
  </si>
  <si>
    <t>Commodities  ( others than food grains )</t>
  </si>
  <si>
    <t>( Taka in crore )</t>
  </si>
  <si>
    <t>Pharma-ceutical Products</t>
  </si>
  <si>
    <t>Capital machinery</t>
  </si>
  <si>
    <t>Total Exports     (1         through    10)</t>
  </si>
  <si>
    <t>Commodities                                                                                                ( other than food grains )</t>
  </si>
  <si>
    <t>TABLE-IV (Concld.)</t>
  </si>
  <si>
    <t xml:space="preserve">           </t>
  </si>
  <si>
    <t>Financial Institutions</t>
  </si>
  <si>
    <t>Mutual Funds</t>
  </si>
  <si>
    <t>13=(3+6+9+12)</t>
  </si>
  <si>
    <t>BALANCE   OF   PAYMENTS</t>
  </si>
  <si>
    <t>TABLE-V (Contd.)</t>
  </si>
  <si>
    <t>… =  Not available</t>
  </si>
  <si>
    <t>Tax Revenue Receipts (under NBR)</t>
  </si>
  <si>
    <t xml:space="preserve">SELECTED TAX REVENUE RECEIPTS  </t>
  </si>
  <si>
    <t>Telecomm-unication</t>
  </si>
  <si>
    <t>000'  sq. Metres</t>
  </si>
  <si>
    <t>Source : </t>
  </si>
  <si>
    <t xml:space="preserve">                  </t>
  </si>
  <si>
    <t xml:space="preserve">               </t>
  </si>
  <si>
    <t xml:space="preserve">                </t>
  </si>
  <si>
    <t>Monthly Profit Based Deposits</t>
  </si>
  <si>
    <t>Hajj Deposit (Term)</t>
  </si>
  <si>
    <t>Iranian Riyal</t>
  </si>
  <si>
    <t>Myanmar Kyat</t>
  </si>
  <si>
    <t>South Korean Won</t>
  </si>
  <si>
    <t>Thai Bath</t>
  </si>
  <si>
    <t>Soya bean Oil     (US $ /MT)</t>
  </si>
  <si>
    <t>Glass       Sheets</t>
  </si>
  <si>
    <t>Food      Products</t>
  </si>
  <si>
    <t>Oil      Products</t>
  </si>
  <si>
    <t xml:space="preserve">KEY INDICATORS OF </t>
  </si>
  <si>
    <t>NATIONAL ACCOUNTS</t>
  </si>
  <si>
    <t>GDP at Current Market Price</t>
  </si>
  <si>
    <t>GNI at Current Market Price</t>
  </si>
  <si>
    <t>Net  Current Transfer from Abroad</t>
  </si>
  <si>
    <t>Gross Domestic Savings at Current Market Price</t>
  </si>
  <si>
    <t>Gross National Savings at  Current Market Price</t>
  </si>
  <si>
    <t>National Savings as % of GDP at Current Market Price</t>
  </si>
  <si>
    <t>GDP at Constant Market Price</t>
  </si>
  <si>
    <t>GNI at Constant Market Price</t>
  </si>
  <si>
    <t>Per Capita (Amount in unit)</t>
  </si>
  <si>
    <t>Income at Current Market Price</t>
  </si>
  <si>
    <t>82.00</t>
  </si>
  <si>
    <t>(46988)</t>
  </si>
  <si>
    <t>(48626)</t>
  </si>
  <si>
    <t>(433)</t>
  </si>
  <si>
    <t>(49060)</t>
  </si>
  <si>
    <t>(38532)</t>
  </si>
  <si>
    <t>(8456)</t>
  </si>
  <si>
    <t>(10528)</t>
  </si>
  <si>
    <t>(10848)</t>
  </si>
  <si>
    <t>(362)</t>
  </si>
  <si>
    <t>(374)</t>
  </si>
  <si>
    <t>273201</t>
  </si>
  <si>
    <t>285744</t>
  </si>
  <si>
    <t>1890</t>
  </si>
  <si>
    <t>287634</t>
  </si>
  <si>
    <t>223596</t>
  </si>
  <si>
    <t>81.84</t>
  </si>
  <si>
    <t>49605</t>
  </si>
  <si>
    <t>64038</t>
  </si>
  <si>
    <t>22.44</t>
  </si>
  <si>
    <t>63239</t>
  </si>
  <si>
    <t>21713</t>
  </si>
  <si>
    <t>(47571)</t>
  </si>
  <si>
    <t>(49755)</t>
  </si>
  <si>
    <t>(329)</t>
  </si>
  <si>
    <t>(50048)</t>
  </si>
  <si>
    <t>(38934)</t>
  </si>
  <si>
    <t>(8637)</t>
  </si>
  <si>
    <t>(11151)</t>
  </si>
  <si>
    <t>(11011)</t>
  </si>
  <si>
    <t>(361)</t>
  </si>
  <si>
    <t>(378)</t>
  </si>
  <si>
    <t>300580</t>
  </si>
  <si>
    <t>(51914)</t>
  </si>
  <si>
    <t>(54778)</t>
  </si>
  <si>
    <t>(373)</t>
  </si>
  <si>
    <t>(55151)</t>
  </si>
  <si>
    <t>(42458)</t>
  </si>
  <si>
    <t>(9456)</t>
  </si>
  <si>
    <t>(12633)</t>
  </si>
  <si>
    <t>(12151)</t>
  </si>
  <si>
    <t>(389)</t>
  </si>
  <si>
    <t>(407)</t>
  </si>
  <si>
    <t>332973</t>
  </si>
  <si>
    <t>(56493)</t>
  </si>
  <si>
    <t>(59472)</t>
  </si>
  <si>
    <t>(422)</t>
  </si>
  <si>
    <t>(59832)</t>
  </si>
  <si>
    <t>(45458)</t>
  </si>
  <si>
    <t>(11036)</t>
  </si>
  <si>
    <t>(14374)</t>
  </si>
  <si>
    <t>(13572)</t>
  </si>
  <si>
    <t>(421)</t>
  </si>
  <si>
    <t>(440)</t>
  </si>
  <si>
    <t>90924</t>
  </si>
  <si>
    <t>13.70</t>
  </si>
  <si>
    <t>(60386)</t>
  </si>
  <si>
    <t>(63469)</t>
  </si>
  <si>
    <t>(437)</t>
  </si>
  <si>
    <t>(63906)</t>
  </si>
  <si>
    <t>(48300)</t>
  </si>
  <si>
    <t>(12086)</t>
  </si>
  <si>
    <t>(15606)</t>
  </si>
  <si>
    <t>(14811)</t>
  </si>
  <si>
    <t>(441)</t>
  </si>
  <si>
    <t>(463)</t>
  </si>
  <si>
    <t>446588</t>
  </si>
  <si>
    <t>6.63</t>
  </si>
  <si>
    <t>(61975)</t>
  </si>
  <si>
    <t>(66031)</t>
  </si>
  <si>
    <t>(546)</t>
  </si>
  <si>
    <t>(66575)</t>
  </si>
  <si>
    <t>(49426)</t>
  </si>
  <si>
    <t>(12549)</t>
  </si>
  <si>
    <t>(17149)</t>
  </si>
  <si>
    <t>(15277)</t>
  </si>
  <si>
    <t>(447)</t>
  </si>
  <si>
    <t>(476)</t>
  </si>
  <si>
    <t>507752</t>
  </si>
  <si>
    <t>3988</t>
  </si>
  <si>
    <t>511741</t>
  </si>
  <si>
    <t>376317</t>
  </si>
  <si>
    <t>79.65</t>
  </si>
  <si>
    <t>96160</t>
  </si>
  <si>
    <t>135424</t>
  </si>
  <si>
    <t>28.66</t>
  </si>
  <si>
    <t xml:space="preserve"> 115590</t>
  </si>
  <si>
    <t>24.46</t>
  </si>
  <si>
    <t>302971</t>
  </si>
  <si>
    <t>325591</t>
  </si>
  <si>
    <t>13.65</t>
  </si>
  <si>
    <t>6.43</t>
  </si>
  <si>
    <t>156</t>
  </si>
  <si>
    <t>33607</t>
  </si>
  <si>
    <t>21550</t>
  </si>
  <si>
    <t>36116</t>
  </si>
  <si>
    <t>23159</t>
  </si>
  <si>
    <t>(68445)</t>
  </si>
  <si>
    <t>(73555)</t>
  </si>
  <si>
    <t>(578)</t>
  </si>
  <si>
    <t>(74133)</t>
  </si>
  <si>
    <t>(54515)</t>
  </si>
  <si>
    <t>(13930)</t>
  </si>
  <si>
    <t>(19618)</t>
  </si>
  <si>
    <t>(16745)</t>
  </si>
  <si>
    <t>(487)</t>
  </si>
  <si>
    <t>(523)</t>
  </si>
  <si>
    <t>5671</t>
  </si>
  <si>
    <t>599883</t>
  </si>
  <si>
    <t>434971</t>
  </si>
  <si>
    <t>79.69</t>
  </si>
  <si>
    <t>110851</t>
  </si>
  <si>
    <t>164912</t>
  </si>
  <si>
    <t>30.21</t>
  </si>
  <si>
    <t>132132</t>
  </si>
  <si>
    <t>24.21</t>
  </si>
  <si>
    <t>321726</t>
  </si>
  <si>
    <t>15.52</t>
  </si>
  <si>
    <t>6.19</t>
  </si>
  <si>
    <t>170</t>
  </si>
  <si>
    <t>14.24</t>
  </si>
  <si>
    <t>22593</t>
  </si>
  <si>
    <t>14.42</t>
  </si>
  <si>
    <t>P = Provisional</t>
  </si>
  <si>
    <t>Non-Food</t>
  </si>
  <si>
    <t>Transport &amp; Communi-cations</t>
  </si>
  <si>
    <t>Recreation, Entertain-ment, Education &amp; Cultural Services</t>
  </si>
  <si>
    <t>Source:</t>
  </si>
  <si>
    <r>
      <t>Source</t>
    </r>
    <r>
      <rPr>
        <sz val="7"/>
        <color indexed="8"/>
        <rFont val="Times New Roman"/>
        <family val="1"/>
      </rPr>
      <t>: Bangladesh Bureau of Statistics</t>
    </r>
  </si>
  <si>
    <t>Import Duty</t>
  </si>
  <si>
    <t>Net Primary Income from Abroad</t>
  </si>
  <si>
    <t>Manufa-cturing</t>
  </si>
  <si>
    <t>Constr-uctions</t>
  </si>
  <si>
    <t>Finan-cial     Inter-medi-ations</t>
  </si>
  <si>
    <t>Educa-tion</t>
  </si>
  <si>
    <t>BANGLADESH AT CONSTANT MARKET PRICE</t>
  </si>
  <si>
    <t>TABLE-X</t>
  </si>
  <si>
    <t>Electri-city      Gas &amp; Water Supply</t>
  </si>
  <si>
    <r>
      <t>Source   :</t>
    </r>
    <r>
      <rPr>
        <sz val="8"/>
        <color indexed="8"/>
        <rFont val="Times New Roman"/>
        <family val="1"/>
      </rPr>
      <t xml:space="preserve">   </t>
    </r>
  </si>
  <si>
    <r>
      <t>Note       :</t>
    </r>
    <r>
      <rPr>
        <sz val="8"/>
        <color indexed="8"/>
        <rFont val="Times New Roman"/>
        <family val="1"/>
      </rPr>
      <t xml:space="preserve"> </t>
    </r>
  </si>
  <si>
    <r>
      <t>Source   :</t>
    </r>
    <r>
      <rPr>
        <sz val="8"/>
        <color indexed="8"/>
        <rFont val="Times New Roman"/>
        <family val="1"/>
      </rPr>
      <t xml:space="preserve"> </t>
    </r>
  </si>
  <si>
    <t>Gross Disposable National  Income at Current Market Price</t>
  </si>
  <si>
    <t>Total Consum-ption at Current Market Price</t>
  </si>
  <si>
    <t>Income at Constant Market Price</t>
  </si>
  <si>
    <t>Annual Growth     of GDP at Constant Market Price %</t>
  </si>
  <si>
    <t>Miscella-neous </t>
  </si>
  <si>
    <t>u)</t>
  </si>
  <si>
    <t>Mudaraba Marriage Savings Scheme</t>
  </si>
  <si>
    <t>Jul-Dec</t>
  </si>
  <si>
    <t>Jan-Jun</t>
  </si>
  <si>
    <t>DMBs Total Assets/ Liabilities</t>
  </si>
  <si>
    <t>Taka in crore</t>
  </si>
  <si>
    <t xml:space="preserve">Taka in crore         </t>
  </si>
  <si>
    <t>Total Invest-ments as    % of GDP at Current Market Price</t>
  </si>
  <si>
    <t>Total Consum-ption as % of GDP at Current Market Price</t>
  </si>
  <si>
    <t>Export Duty</t>
  </si>
  <si>
    <t xml:space="preserve"> Weighted Average Exchange Rate</t>
  </si>
  <si>
    <t>ii)  Loan above Tk. 15 lacs</t>
  </si>
  <si>
    <t>i)  Loan upto Tk. 15 lacs</t>
  </si>
  <si>
    <t xml:space="preserve">Source      : </t>
  </si>
  <si>
    <t>Sugar Cane</t>
  </si>
  <si>
    <t>Rape &amp; Mustard</t>
  </si>
  <si>
    <t>TABLE-V (Concld.)</t>
  </si>
  <si>
    <t>Moong</t>
  </si>
  <si>
    <t>Masur</t>
  </si>
  <si>
    <t>Tobacco</t>
  </si>
  <si>
    <t>Jute</t>
  </si>
  <si>
    <t>…</t>
  </si>
  <si>
    <t>Mode of Payments</t>
  </si>
  <si>
    <t>Principal</t>
  </si>
  <si>
    <t>Interest</t>
  </si>
  <si>
    <t>After Maturity</t>
  </si>
  <si>
    <t>Half Yearly</t>
  </si>
  <si>
    <t xml:space="preserve">ii) </t>
  </si>
  <si>
    <t xml:space="preserve">iii) </t>
  </si>
  <si>
    <t xml:space="preserve">iv) </t>
  </si>
  <si>
    <t>iii)</t>
  </si>
  <si>
    <t>iv)</t>
  </si>
  <si>
    <t>09.01.08</t>
  </si>
  <si>
    <t>13.02.08</t>
  </si>
  <si>
    <t>09.04.08</t>
  </si>
  <si>
    <t>14.05.08</t>
  </si>
  <si>
    <t>11.06.08</t>
  </si>
  <si>
    <t>13.08.08</t>
  </si>
  <si>
    <t>15.10.08</t>
  </si>
  <si>
    <t>12.11.08</t>
  </si>
  <si>
    <t>09.01.23</t>
  </si>
  <si>
    <t>13.02.23</t>
  </si>
  <si>
    <t>09.04.23</t>
  </si>
  <si>
    <t>14.05.23</t>
  </si>
  <si>
    <t>11.06.23</t>
  </si>
  <si>
    <t>13.08.23</t>
  </si>
  <si>
    <t>15.10.23</t>
  </si>
  <si>
    <t>12.11.23</t>
  </si>
  <si>
    <t>Banking)</t>
  </si>
  <si>
    <t>INDICATORS</t>
  </si>
  <si>
    <t>TABLE-IA (Contd.)</t>
  </si>
  <si>
    <t>Yearly</t>
  </si>
  <si>
    <t>01.07.20</t>
  </si>
  <si>
    <t xml:space="preserve"> Euro</t>
  </si>
  <si>
    <t>v)</t>
  </si>
  <si>
    <t>f)</t>
  </si>
  <si>
    <t>i)</t>
  </si>
  <si>
    <t>j)</t>
  </si>
  <si>
    <t>k)</t>
  </si>
  <si>
    <t>l)</t>
  </si>
  <si>
    <t>m)</t>
  </si>
  <si>
    <t>n)</t>
  </si>
  <si>
    <t>o)</t>
  </si>
  <si>
    <t>p)</t>
  </si>
  <si>
    <t xml:space="preserve">Domestic  </t>
  </si>
  <si>
    <t>INFLATION RATE IN BANGLADESH</t>
  </si>
  <si>
    <t xml:space="preserve">AVERAGE PRICES OF </t>
  </si>
  <si>
    <t>SELECTED COMMODITIES</t>
  </si>
  <si>
    <t>BANGLADESH AT CURRENT MARKET PRICE</t>
  </si>
  <si>
    <t>AT INTERNATIONAL MARKET</t>
  </si>
  <si>
    <t>TABLE-IIIB</t>
  </si>
  <si>
    <t>Cotton (U.S. Cents/ pound)</t>
  </si>
  <si>
    <t>Gold (US $/ Troy Ounce)</t>
  </si>
  <si>
    <t xml:space="preserve">APPRECIATION / DEPRECIATION OF SELECTED </t>
  </si>
  <si>
    <t>CURRENCIES AGAINST US DOLLAR</t>
  </si>
  <si>
    <t>(Taka per</t>
  </si>
  <si>
    <t>RATES</t>
  </si>
  <si>
    <t>Currencies)</t>
  </si>
  <si>
    <t>EXCHANGE</t>
  </si>
  <si>
    <t xml:space="preserve">REMITTANCES </t>
  </si>
  <si>
    <t>35276</t>
  </si>
  <si>
    <t>50200</t>
  </si>
  <si>
    <t>36.37 Litres</t>
  </si>
  <si>
    <r>
      <t>1(</t>
    </r>
    <r>
      <rPr>
        <vertAlign val="superscript"/>
        <sz val="9"/>
        <color indexed="8"/>
        <rFont val="Times New Roman"/>
        <family val="1"/>
      </rPr>
      <t>0</t>
    </r>
    <r>
      <rPr>
        <sz val="9"/>
        <color indexed="8"/>
        <rFont val="Times New Roman"/>
        <family val="1"/>
      </rPr>
      <t>F)</t>
    </r>
  </si>
  <si>
    <r>
      <t>1.8(</t>
    </r>
    <r>
      <rPr>
        <vertAlign val="superscript"/>
        <sz val="9"/>
        <color indexed="8"/>
        <rFont val="Times New Roman"/>
        <family val="1"/>
      </rPr>
      <t>0</t>
    </r>
    <r>
      <rPr>
        <sz val="9"/>
        <color indexed="8"/>
        <rFont val="Times New Roman"/>
        <family val="1"/>
      </rPr>
      <t>C) + 32</t>
    </r>
  </si>
  <si>
    <t>100 Decimals</t>
  </si>
  <si>
    <t xml:space="preserve">Appendix : </t>
  </si>
  <si>
    <t>TABLE-IIB</t>
  </si>
  <si>
    <t>Services</t>
  </si>
  <si>
    <t>2007-08</t>
  </si>
  <si>
    <t xml:space="preserve">March </t>
  </si>
  <si>
    <t>Effective Date</t>
  </si>
  <si>
    <t>Liverpool  Index</t>
  </si>
  <si>
    <t>Inflows</t>
  </si>
  <si>
    <t>Stocks</t>
  </si>
  <si>
    <t xml:space="preserve">Total               </t>
  </si>
  <si>
    <t xml:space="preserve">Total                </t>
  </si>
  <si>
    <t>25.09.19</t>
  </si>
  <si>
    <t>25.09.20</t>
  </si>
  <si>
    <t>25.09.21</t>
  </si>
  <si>
    <t>07.10.09</t>
  </si>
  <si>
    <t>07.10.19</t>
  </si>
  <si>
    <t>02.12.09</t>
  </si>
  <si>
    <t>02.12.19</t>
  </si>
  <si>
    <t>03.02.10</t>
  </si>
  <si>
    <t>03.02.20</t>
  </si>
  <si>
    <t>03.03.10</t>
  </si>
  <si>
    <t>14.10.09</t>
  </si>
  <si>
    <t>14.10.24</t>
  </si>
  <si>
    <t>09.12.09</t>
  </si>
  <si>
    <t>09.12.24</t>
  </si>
  <si>
    <t>13.01.10</t>
  </si>
  <si>
    <t>13.01.25</t>
  </si>
  <si>
    <t>10.02.10</t>
  </si>
  <si>
    <t>10.02.25</t>
  </si>
  <si>
    <t>10.03.10</t>
  </si>
  <si>
    <t>10.03.25</t>
  </si>
  <si>
    <t>28.10.09</t>
  </si>
  <si>
    <t>28.10.29</t>
  </si>
  <si>
    <t>23.12.09</t>
  </si>
  <si>
    <t>23.12.29</t>
  </si>
  <si>
    <t>24.02.10</t>
  </si>
  <si>
    <t>24.02.30</t>
  </si>
  <si>
    <t>24.03.10</t>
  </si>
  <si>
    <t>24.03.30</t>
  </si>
  <si>
    <t>TABLE-XVI</t>
  </si>
  <si>
    <t xml:space="preserve">g)  </t>
  </si>
  <si>
    <t>Mudaraba Special Deposit  Pension Scheme</t>
  </si>
  <si>
    <t>12 years</t>
  </si>
  <si>
    <t xml:space="preserve"> i) </t>
  </si>
  <si>
    <t xml:space="preserve"> ii) </t>
  </si>
  <si>
    <t>15 years</t>
  </si>
  <si>
    <t>20 years</t>
  </si>
  <si>
    <t>25 years</t>
  </si>
  <si>
    <t>10 years</t>
  </si>
  <si>
    <t>Non Resident Bond</t>
  </si>
  <si>
    <t xml:space="preserve">h) </t>
  </si>
  <si>
    <t xml:space="preserve">e)     </t>
  </si>
  <si>
    <t>Benefit Scheme</t>
  </si>
  <si>
    <t xml:space="preserve">f) </t>
  </si>
  <si>
    <t>Millionaire Scheme Deposit</t>
  </si>
  <si>
    <t>ii)  11 to 25  years</t>
  </si>
  <si>
    <t>iii)  One Time Hajj Deposits</t>
  </si>
  <si>
    <t>i)    1 to 10 years</t>
  </si>
  <si>
    <t>MMPDR / Hajj Deposit (Monthly)</t>
  </si>
  <si>
    <t>... =Not applicable</t>
  </si>
  <si>
    <t>P= Provisional</t>
  </si>
  <si>
    <t xml:space="preserve">               </t>
  </si>
  <si>
    <t>… = Not Available</t>
  </si>
  <si>
    <t xml:space="preserve">Source :      </t>
  </si>
  <si>
    <t xml:space="preserve">Source : </t>
  </si>
  <si>
    <t xml:space="preserve">            </t>
  </si>
  <si>
    <t xml:space="preserve"> … =Not Available</t>
  </si>
  <si>
    <t xml:space="preserve"> …=Not Available</t>
  </si>
  <si>
    <t>TABLE-XVIII</t>
  </si>
  <si>
    <t>Source    :</t>
  </si>
  <si>
    <t>MONETARY</t>
  </si>
  <si>
    <t xml:space="preserve">COUNTRY-WISE WORKERS' </t>
  </si>
  <si>
    <t>Bangladeshi Taka</t>
  </si>
  <si>
    <t>South Korean  Won</t>
  </si>
  <si>
    <t>Sri  Lankan Rupee</t>
  </si>
  <si>
    <t xml:space="preserve">Source   : </t>
  </si>
  <si>
    <t xml:space="preserve">Note      :          </t>
  </si>
  <si>
    <t>Deposits with BB other than DMBs</t>
  </si>
  <si>
    <t>DMBs Advances</t>
  </si>
  <si>
    <t>DMBs Investment</t>
  </si>
  <si>
    <t>Other Financial Corporation &amp; NBDCs</t>
  </si>
  <si>
    <t>Public</t>
  </si>
  <si>
    <t>Non-Financial Corporation</t>
  </si>
  <si>
    <t>10=(1+2+5+8+9)</t>
  </si>
  <si>
    <t xml:space="preserve">Total </t>
  </si>
  <si>
    <t>1 Maund</t>
  </si>
  <si>
    <t>=</t>
  </si>
  <si>
    <t>37.324 Kgs.</t>
  </si>
  <si>
    <t>1 Bale</t>
  </si>
  <si>
    <t>180 Kgs.</t>
  </si>
  <si>
    <t>82.285 lbs.</t>
  </si>
  <si>
    <t>4.823 Mds.</t>
  </si>
  <si>
    <t>1 Seer</t>
  </si>
  <si>
    <t>0.933 Kg.</t>
  </si>
  <si>
    <t>1 Metric Ton</t>
  </si>
  <si>
    <t>1000 Kgs.</t>
  </si>
  <si>
    <t>Public Sector</t>
  </si>
  <si>
    <t>26.792 Mds.</t>
  </si>
  <si>
    <t>1 Pound (lb)</t>
  </si>
  <si>
    <t>0.4536 Kg.</t>
  </si>
  <si>
    <t>1 Long Ton</t>
  </si>
  <si>
    <t>1016.05 Kgs.</t>
  </si>
  <si>
    <t>1 Tola</t>
  </si>
  <si>
    <t>11.66 gms.</t>
  </si>
  <si>
    <t>27.223 Mds.</t>
  </si>
  <si>
    <t>1 Metre</t>
  </si>
  <si>
    <t>39.37 Inches</t>
  </si>
  <si>
    <t>1 Ounce</t>
  </si>
  <si>
    <t>2.43 Tola</t>
  </si>
  <si>
    <t>3.2808 Ft.</t>
  </si>
  <si>
    <t>28.35 gms.</t>
  </si>
  <si>
    <t>1 Sq. Metre</t>
  </si>
  <si>
    <t>10.764 Sq. Ft.</t>
  </si>
  <si>
    <t>1 Troy ounce</t>
  </si>
  <si>
    <t>1 Mile</t>
  </si>
  <si>
    <t>1.6093 Km.</t>
  </si>
  <si>
    <t>2.666 Tola</t>
  </si>
  <si>
    <t>0.3048 Metre</t>
  </si>
  <si>
    <t>1 Quintal</t>
  </si>
  <si>
    <t>100 Kgs.</t>
  </si>
  <si>
    <t>1 Sq. Ft.</t>
  </si>
  <si>
    <t>0.0929 Sq. Metre</t>
  </si>
  <si>
    <t>220.5 lbs.</t>
  </si>
  <si>
    <t>1 Bigha</t>
  </si>
  <si>
    <t>0.3306 Acre</t>
  </si>
  <si>
    <t>2.679 Mds.</t>
  </si>
  <si>
    <t xml:space="preserve">TABLE-III A (Contd.) </t>
  </si>
  <si>
    <t>TABLE-III A (Concld.)</t>
  </si>
  <si>
    <t>1600 Sq. Yards</t>
  </si>
  <si>
    <t>0.1 Metric Ton</t>
  </si>
  <si>
    <t xml:space="preserve">MONETARY </t>
  </si>
  <si>
    <t>BY DEPOSITORY CORPORATIONS</t>
  </si>
  <si>
    <t>BY THE BANKING SYSTEM</t>
  </si>
  <si>
    <t>1.65 Decimal</t>
  </si>
  <si>
    <t>1 Litre</t>
  </si>
  <si>
    <t>0.22 Gallon</t>
  </si>
  <si>
    <t>720 Sq. Ft.</t>
  </si>
  <si>
    <t>1000 CC</t>
  </si>
  <si>
    <t>66.89 Sq. Metre</t>
  </si>
  <si>
    <t>0.027 Bushel</t>
  </si>
  <si>
    <t>1 Decimal</t>
  </si>
  <si>
    <t>435.6 Sq. Ft.</t>
  </si>
  <si>
    <t>1 Barrel</t>
  </si>
  <si>
    <t>34.9726 Gallon</t>
  </si>
  <si>
    <t>1 Acre</t>
  </si>
  <si>
    <t>0.405 Hectare</t>
  </si>
  <si>
    <t>0.125 M. T.</t>
  </si>
  <si>
    <t>4840 Sq. Yards</t>
  </si>
  <si>
    <t>1 Crore</t>
  </si>
  <si>
    <t>10 Millions</t>
  </si>
  <si>
    <t>100 Lacs.</t>
  </si>
  <si>
    <t>1 Hectare</t>
  </si>
  <si>
    <t>2.47 Acres</t>
  </si>
  <si>
    <t>0.01 Billion</t>
  </si>
  <si>
    <t>1 Megawatt</t>
  </si>
  <si>
    <t>1000 Kilo Watts.</t>
  </si>
  <si>
    <t xml:space="preserve"> --- = Not applicable</t>
  </si>
  <si>
    <t>11.07.22</t>
  </si>
  <si>
    <t>12.09.07</t>
  </si>
  <si>
    <t>25.09.07</t>
  </si>
  <si>
    <t>11.10.07</t>
  </si>
  <si>
    <t>q)</t>
  </si>
  <si>
    <t>Mudaraba Muhar Savings(10yrs.)</t>
  </si>
  <si>
    <t>r)</t>
  </si>
  <si>
    <t>BDBL</t>
  </si>
  <si>
    <t>Mudaraba Muhar Savings(5yrs.)</t>
  </si>
  <si>
    <t>s)</t>
  </si>
  <si>
    <t>t)</t>
  </si>
  <si>
    <t>14.11.07</t>
  </si>
  <si>
    <t>12.12.07</t>
  </si>
  <si>
    <t>12.09.22</t>
  </si>
  <si>
    <t>25.09.22</t>
  </si>
  <si>
    <t>11.10.22</t>
  </si>
  <si>
    <t>14.11.22</t>
  </si>
  <si>
    <t>12.12.22</t>
  </si>
  <si>
    <t>26.09.07</t>
  </si>
  <si>
    <t>24.10.07</t>
  </si>
  <si>
    <t>28.11.07</t>
  </si>
  <si>
    <t>26.12.07</t>
  </si>
  <si>
    <t>26.09.27</t>
  </si>
  <si>
    <t>24.10.27</t>
  </si>
  <si>
    <t>28.11.27</t>
  </si>
  <si>
    <t>26.12.27</t>
  </si>
  <si>
    <t>ii)</t>
  </si>
  <si>
    <t>1 Katha</t>
  </si>
  <si>
    <t>4046.8468 Sq. Metre</t>
  </si>
  <si>
    <t>1 Feet</t>
  </si>
  <si>
    <t>End of Period</t>
  </si>
  <si>
    <t>Banks</t>
  </si>
  <si>
    <t>Total</t>
  </si>
  <si>
    <t>Private</t>
  </si>
  <si>
    <t>Domestic</t>
  </si>
  <si>
    <t>Average</t>
  </si>
  <si>
    <t>Period</t>
  </si>
  <si>
    <t>Net Foreign Assets</t>
  </si>
  <si>
    <t>Domestic Credit</t>
  </si>
  <si>
    <t>Government (Net)</t>
  </si>
  <si>
    <t>Other Public Sector</t>
  </si>
  <si>
    <t>Goods</t>
  </si>
  <si>
    <t>Receipts</t>
  </si>
  <si>
    <t>Payments</t>
  </si>
  <si>
    <t>Official</t>
  </si>
  <si>
    <t>Others</t>
  </si>
  <si>
    <t>Food grains</t>
  </si>
  <si>
    <t>Rice</t>
  </si>
  <si>
    <t>Wheat</t>
  </si>
  <si>
    <t>Spices</t>
  </si>
  <si>
    <t>Yarn</t>
  </si>
  <si>
    <t>Paper</t>
  </si>
  <si>
    <t>Cigarettes</t>
  </si>
  <si>
    <t>Food</t>
  </si>
  <si>
    <t>Chemicals</t>
  </si>
  <si>
    <t>Matches</t>
  </si>
  <si>
    <t>CPI</t>
  </si>
  <si>
    <t>General</t>
  </si>
  <si>
    <t>Inflation (General)</t>
  </si>
  <si>
    <t>Fishing</t>
  </si>
  <si>
    <t>Textile Industries</t>
  </si>
  <si>
    <t>Insurance</t>
  </si>
  <si>
    <t>B.</t>
  </si>
  <si>
    <t>(Percent per annum)</t>
  </si>
  <si>
    <t>Maturity of Deposits</t>
  </si>
  <si>
    <t>Borrowing Rate</t>
  </si>
  <si>
    <t>Highest</t>
  </si>
  <si>
    <t>Lowest</t>
  </si>
  <si>
    <t>Lending Rate</t>
  </si>
  <si>
    <t>Malaysia</t>
  </si>
  <si>
    <t>ACU Dollar</t>
  </si>
  <si>
    <t>Bahrain Dinar</t>
  </si>
  <si>
    <t>Canadian Dollar</t>
  </si>
  <si>
    <t>Danish Krone</t>
  </si>
  <si>
    <t>Indian Rupee</t>
  </si>
  <si>
    <t>Indonesian Rupiah</t>
  </si>
  <si>
    <t>Kuwaiti Dinar</t>
  </si>
  <si>
    <t>Nepalese Rupee</t>
  </si>
  <si>
    <t>New Zealand Dollar</t>
  </si>
  <si>
    <t>Norwegian Krone</t>
  </si>
  <si>
    <t>Omani Riyal</t>
  </si>
  <si>
    <t>Pakistani Rupee</t>
  </si>
  <si>
    <t>Philippines Peso</t>
  </si>
  <si>
    <t>Qatar Riyal</t>
  </si>
  <si>
    <t>Russian Ruble</t>
  </si>
  <si>
    <t>Saudi Arabian Riyal</t>
  </si>
  <si>
    <t>Singapore Dollar</t>
  </si>
  <si>
    <t>Swedish Krona</t>
  </si>
  <si>
    <t>SDR</t>
  </si>
  <si>
    <t>UAE Dirham</t>
  </si>
  <si>
    <t>US Dollar</t>
  </si>
  <si>
    <t>Australia</t>
  </si>
  <si>
    <t>Ukraine</t>
  </si>
  <si>
    <t>Argentina</t>
  </si>
  <si>
    <t>VAT</t>
  </si>
  <si>
    <t>Import</t>
  </si>
  <si>
    <t>Supplementary Tax</t>
  </si>
  <si>
    <t>Registration</t>
  </si>
  <si>
    <t>1993-94</t>
  </si>
  <si>
    <t>1994-95</t>
  </si>
  <si>
    <t>1995-96</t>
  </si>
  <si>
    <t>1996-97</t>
  </si>
  <si>
    <t>1997-98</t>
  </si>
  <si>
    <t>1998-99</t>
  </si>
  <si>
    <t>1999-00</t>
  </si>
  <si>
    <t>2000-01</t>
  </si>
  <si>
    <t>2001-02</t>
  </si>
  <si>
    <t>2002-03</t>
  </si>
  <si>
    <t>2003-04</t>
  </si>
  <si>
    <t>2004-05</t>
  </si>
  <si>
    <t>September</t>
  </si>
  <si>
    <t>December</t>
  </si>
  <si>
    <t>March</t>
  </si>
  <si>
    <t>June</t>
  </si>
  <si>
    <t>2005-06</t>
  </si>
  <si>
    <t>July</t>
  </si>
  <si>
    <t>August</t>
  </si>
  <si>
    <t>October</t>
  </si>
  <si>
    <t>November</t>
  </si>
  <si>
    <t>January</t>
  </si>
  <si>
    <t>February</t>
  </si>
  <si>
    <t>April</t>
  </si>
  <si>
    <t>May</t>
  </si>
  <si>
    <t>2006-07</t>
  </si>
  <si>
    <t>Weight</t>
  </si>
  <si>
    <t>Credit</t>
  </si>
  <si>
    <t xml:space="preserve">Domestic                                       </t>
  </si>
  <si>
    <t>Demand Deposits</t>
  </si>
  <si>
    <t>TABLE-IA (concld.)</t>
  </si>
  <si>
    <t>Nature of Deposits</t>
  </si>
  <si>
    <t>Cotton Yarn</t>
  </si>
  <si>
    <t>Cotton Cloth</t>
  </si>
  <si>
    <t>Newsprint</t>
  </si>
  <si>
    <t>Fertilizers</t>
  </si>
  <si>
    <t>Production Indices</t>
  </si>
  <si>
    <t>Agricultural Products</t>
  </si>
  <si>
    <t>Industrial Products</t>
  </si>
  <si>
    <t>70124</t>
  </si>
  <si>
    <t>17783</t>
  </si>
  <si>
    <t>5322</t>
  </si>
  <si>
    <t>81178</t>
  </si>
  <si>
    <t>5590</t>
  </si>
  <si>
    <t>37543</t>
  </si>
  <si>
    <t>66011</t>
  </si>
  <si>
    <t>3289</t>
  </si>
  <si>
    <t>48908</t>
  </si>
  <si>
    <t>7744</t>
  </si>
  <si>
    <t>34929</t>
  </si>
  <si>
    <t>12743</t>
  </si>
  <si>
    <t>11776</t>
  </si>
  <si>
    <t>10307</t>
  </si>
  <si>
    <t>43568</t>
  </si>
  <si>
    <t>15663</t>
  </si>
  <si>
    <t>472477</t>
  </si>
  <si>
    <t>Private Sector</t>
  </si>
  <si>
    <t>Total Domestic Credit (6+9+10)</t>
  </si>
  <si>
    <t>Other Revenue Receipts</t>
  </si>
  <si>
    <t>Post Office Revenue</t>
  </si>
  <si>
    <t>...</t>
  </si>
  <si>
    <t>Items</t>
  </si>
  <si>
    <t>Country of Origin &amp; Market</t>
  </si>
  <si>
    <t>U.K. (London)</t>
  </si>
  <si>
    <t>---</t>
  </si>
  <si>
    <t>Sugar</t>
  </si>
  <si>
    <t>1)</t>
  </si>
  <si>
    <t>2)</t>
  </si>
  <si>
    <t>3)</t>
  </si>
  <si>
    <t>4)</t>
  </si>
  <si>
    <t>5)</t>
  </si>
  <si>
    <t xml:space="preserve">Note     : </t>
  </si>
  <si>
    <t xml:space="preserve">SOME SELECTED COMMODITY PRICES </t>
  </si>
  <si>
    <t>Dubai* Fateh</t>
  </si>
  <si>
    <t>U.K. @ Brent</t>
  </si>
  <si>
    <t>United States (US Gulf Ports)</t>
  </si>
  <si>
    <t>Malaysia (NW Europe)</t>
  </si>
  <si>
    <t>All Origins (Dutch Ports)</t>
  </si>
  <si>
    <t>Working Capital to Large &amp; Medium Scale Industry</t>
  </si>
  <si>
    <t>Working Capital to Small Industry</t>
  </si>
  <si>
    <t>TABLE-XV (Contd.)</t>
  </si>
  <si>
    <t xml:space="preserve">Private                                                                                                                                          Banks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</si>
  <si>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Private                                                                                                                                 Banks</t>
  </si>
  <si>
    <t>Foreign                                                                                                                              Banks</t>
  </si>
  <si>
    <t>HSBC</t>
  </si>
  <si>
    <t>TABLE-XV (Concld.)</t>
  </si>
  <si>
    <t>Thailand (Bangkok)</t>
  </si>
  <si>
    <t>Thailand </t>
  </si>
  <si>
    <t>Australia </t>
  </si>
  <si>
    <t>E.U Import Price</t>
  </si>
  <si>
    <t>Free Market</t>
  </si>
  <si>
    <t>U.S. Import Price</t>
  </si>
  <si>
    <t>(In Percent) </t>
  </si>
  <si>
    <t>Australian Dollar</t>
  </si>
  <si>
    <t>Malaysian Ringgit</t>
  </si>
  <si>
    <t>Syrian Pound</t>
  </si>
  <si>
    <t>Mudaraba Savings Deposits</t>
  </si>
  <si>
    <t>Mudaraba Term Deposits</t>
  </si>
  <si>
    <t>a)</t>
  </si>
  <si>
    <t>3 years</t>
  </si>
  <si>
    <t>b)</t>
  </si>
  <si>
    <t>2 years</t>
  </si>
  <si>
    <t>c)</t>
  </si>
  <si>
    <t>d)</t>
  </si>
  <si>
    <t>6 months</t>
  </si>
  <si>
    <t>e)</t>
  </si>
  <si>
    <t>3 months</t>
  </si>
  <si>
    <t>Mudaraba Special Notice Deposits</t>
  </si>
  <si>
    <t>Monthly Term Savings Deposit</t>
  </si>
  <si>
    <t>Monthly Savings Investment Deposit</t>
  </si>
  <si>
    <t xml:space="preserve"> </t>
  </si>
  <si>
    <t xml:space="preserve">Deposits with </t>
  </si>
  <si>
    <t xml:space="preserve">MARKET CAPITALISATION (VALUE) OF ORDINARY SHARES OF COMPANIES </t>
  </si>
  <si>
    <t>Banks' Clearing House A/C during the Period</t>
  </si>
  <si>
    <t>Euro</t>
  </si>
  <si>
    <t>…= Not available</t>
  </si>
  <si>
    <t xml:space="preserve">Note :      </t>
  </si>
  <si>
    <t xml:space="preserve">Net             </t>
  </si>
  <si>
    <t xml:space="preserve">Net                 </t>
  </si>
  <si>
    <t>9 = (7-8)</t>
  </si>
  <si>
    <t>6 = (4-5)</t>
  </si>
  <si>
    <t>3 = (1-2)</t>
  </si>
  <si>
    <t xml:space="preserve">Total             </t>
  </si>
  <si>
    <t>12 = (10+11)</t>
  </si>
  <si>
    <t xml:space="preserve">Total                        </t>
  </si>
  <si>
    <t xml:space="preserve">Total           </t>
  </si>
  <si>
    <t>14=(12+13)</t>
  </si>
  <si>
    <t>37=(14+36)</t>
  </si>
  <si>
    <t>38=(11-37)</t>
  </si>
  <si>
    <t>Others (Inclu-ding EPZ)</t>
  </si>
  <si>
    <t>10.09.08</t>
  </si>
  <si>
    <t>10.09.23</t>
  </si>
  <si>
    <t>14.01.09</t>
  </si>
  <si>
    <t>14.01.24</t>
  </si>
  <si>
    <t>11.02.09</t>
  </si>
  <si>
    <t>11.02.24</t>
  </si>
  <si>
    <t>11.03.09</t>
  </si>
  <si>
    <t>11.03.24</t>
  </si>
  <si>
    <t>15.04.09</t>
  </si>
  <si>
    <t>15.04.24</t>
  </si>
  <si>
    <t>13.05.09</t>
  </si>
  <si>
    <t>13.05.24</t>
  </si>
  <si>
    <t>10.06.09</t>
  </si>
  <si>
    <t>10.06.24</t>
  </si>
  <si>
    <t>15.07.09</t>
  </si>
  <si>
    <t>15.07.24</t>
  </si>
  <si>
    <t>12.08.09</t>
  </si>
  <si>
    <t>12.08.24</t>
  </si>
  <si>
    <t>09.09.09</t>
  </si>
  <si>
    <t>09.09.24</t>
  </si>
  <si>
    <t>GDP at Current Producer Price     (1 to 15)</t>
  </si>
  <si>
    <t>GDP at Current Market Price (16+17)</t>
  </si>
  <si>
    <t>Gross National Income (GNI) (18+19)</t>
  </si>
  <si>
    <t>GDP at Constant Producer Price     (1 to 15)</t>
  </si>
  <si>
    <t>GDP at Constant Market Price (16+17)</t>
  </si>
  <si>
    <t>03.03.20</t>
  </si>
  <si>
    <t>Monetary Assets (14+15)</t>
  </si>
  <si>
    <t>Total Advances  (excluding    inter-bank)    (18+19)</t>
  </si>
  <si>
    <t>Total Bills   (excluding inter-bank) (22+23)</t>
  </si>
  <si>
    <t>Total Investment  (excluding        inter-bank)      (26+27)</t>
  </si>
  <si>
    <t>To            Banks     (17+21+25)</t>
  </si>
  <si>
    <t>Total    Deposit Liabilities    (37+38)</t>
  </si>
  <si>
    <t xml:space="preserve">Total Credit to Government (Gross) by the                Banking System </t>
  </si>
  <si>
    <t>Swiss Franc</t>
  </si>
  <si>
    <r>
      <rPr>
        <b/>
        <sz val="8"/>
        <color indexed="8"/>
        <rFont val="Times New Roman"/>
        <family val="1"/>
      </rPr>
      <t>Source:</t>
    </r>
    <r>
      <rPr>
        <sz val="8"/>
        <color indexed="8"/>
        <rFont val="Times New Roman"/>
        <family val="1"/>
      </rPr>
      <t xml:space="preserve"> </t>
    </r>
  </si>
  <si>
    <t>100588</t>
  </si>
  <si>
    <t>24223</t>
  </si>
  <si>
    <t>8114</t>
  </si>
  <si>
    <t>120108</t>
  </si>
  <si>
    <t>7195</t>
  </si>
  <si>
    <t>55658</t>
  </si>
  <si>
    <t>100295</t>
  </si>
  <si>
    <t>5150</t>
  </si>
  <si>
    <t>71880</t>
  </si>
  <si>
    <t>12300</t>
  </si>
  <si>
    <t>360845</t>
  </si>
  <si>
    <t>12.94</t>
  </si>
  <si>
    <t>6.07</t>
  </si>
  <si>
    <t>47536</t>
  </si>
  <si>
    <t>51959</t>
  </si>
  <si>
    <t>394419</t>
  </si>
  <si>
    <t>24705</t>
  </si>
  <si>
    <t>27003</t>
  </si>
  <si>
    <t>Foreign Trade &amp; Foreign Exchange  Reserves (Million US $)</t>
  </si>
  <si>
    <t>16.03.16</t>
  </si>
  <si>
    <t>07.04.10</t>
  </si>
  <si>
    <t>07.04.20</t>
  </si>
  <si>
    <t>05.05.10</t>
  </si>
  <si>
    <t>05.05.20</t>
  </si>
  <si>
    <t>02.06.10</t>
  </si>
  <si>
    <t>02.06.20</t>
  </si>
  <si>
    <t>07.07.10</t>
  </si>
  <si>
    <t>07.07.20</t>
  </si>
  <si>
    <t>04.08.10</t>
  </si>
  <si>
    <t>04.08.20</t>
  </si>
  <si>
    <t>08.09.20</t>
  </si>
  <si>
    <t>06.10.10</t>
  </si>
  <si>
    <t>03.11.10</t>
  </si>
  <si>
    <t>03.11.20</t>
  </si>
  <si>
    <t>08.12.10</t>
  </si>
  <si>
    <t>08.12.20</t>
  </si>
  <si>
    <t>05.01.11</t>
  </si>
  <si>
    <t>05.01.21</t>
  </si>
  <si>
    <t>02.02.11</t>
  </si>
  <si>
    <t>02.02.21</t>
  </si>
  <si>
    <t>02.03.11</t>
  </si>
  <si>
    <t>02.03.21</t>
  </si>
  <si>
    <t>16.01.11</t>
  </si>
  <si>
    <t>15.04.10</t>
  </si>
  <si>
    <t>15.04.25</t>
  </si>
  <si>
    <t>12.05.10</t>
  </si>
  <si>
    <t>12.05.25</t>
  </si>
  <si>
    <t>09.06.10</t>
  </si>
  <si>
    <t>09.06.25</t>
  </si>
  <si>
    <t>11.08.10</t>
  </si>
  <si>
    <t>11.08.25</t>
  </si>
  <si>
    <t>15.09.10</t>
  </si>
  <si>
    <t>15.09.25</t>
  </si>
  <si>
    <t>13.10.10</t>
  </si>
  <si>
    <t>13.10.25</t>
  </si>
  <si>
    <t>10.11.10</t>
  </si>
  <si>
    <t>10.11.25</t>
  </si>
  <si>
    <t>15.12.10</t>
  </si>
  <si>
    <t>15.12.25</t>
  </si>
  <si>
    <t>09.02.11</t>
  </si>
  <si>
    <t>09.02.26</t>
  </si>
  <si>
    <t>09.03.11</t>
  </si>
  <si>
    <t>09.03.26</t>
  </si>
  <si>
    <t>28.04.10</t>
  </si>
  <si>
    <t>28.04.30</t>
  </si>
  <si>
    <t>26.05.10</t>
  </si>
  <si>
    <t>26.05.30</t>
  </si>
  <si>
    <t>23.06.10</t>
  </si>
  <si>
    <t>23.06.30</t>
  </si>
  <si>
    <t>29.07.10</t>
  </si>
  <si>
    <t>29.07.30</t>
  </si>
  <si>
    <t>25.08.10</t>
  </si>
  <si>
    <t>25.08.30</t>
  </si>
  <si>
    <t>29.09.10</t>
  </si>
  <si>
    <t>29.09.30</t>
  </si>
  <si>
    <t>27.10.10</t>
  </si>
  <si>
    <t>27.10.30</t>
  </si>
  <si>
    <t>24.11.10</t>
  </si>
  <si>
    <t>24.11.30</t>
  </si>
  <si>
    <t>29.12.10</t>
  </si>
  <si>
    <t>26.01.11</t>
  </si>
  <si>
    <t>26.01.31</t>
  </si>
  <si>
    <t>23.02.11</t>
  </si>
  <si>
    <t>23.02.31</t>
  </si>
  <si>
    <t>23.03.11</t>
  </si>
  <si>
    <t>23.03.31</t>
  </si>
  <si>
    <t>20.04.16</t>
  </si>
  <si>
    <t>06.04.11</t>
  </si>
  <si>
    <t>06.04.21</t>
  </si>
  <si>
    <t>16.01.21</t>
  </si>
  <si>
    <t>13.04.11</t>
  </si>
  <si>
    <t>13.04.26</t>
  </si>
  <si>
    <t>27.04.11</t>
  </si>
  <si>
    <t>27.04.31</t>
  </si>
  <si>
    <t>Note :</t>
  </si>
  <si>
    <t>64604</t>
  </si>
  <si>
    <r>
      <rPr>
        <b/>
        <sz val="8"/>
        <color indexed="8"/>
        <rFont val="Times New Roman"/>
        <family val="1"/>
      </rPr>
      <t>Note:</t>
    </r>
    <r>
      <rPr>
        <sz val="8"/>
        <color indexed="8"/>
        <rFont val="Times New Roman"/>
        <family val="1"/>
      </rPr>
      <t xml:space="preserve">   </t>
    </r>
  </si>
  <si>
    <t>I</t>
  </si>
  <si>
    <t>II</t>
  </si>
  <si>
    <t>III</t>
  </si>
  <si>
    <t>IV</t>
  </si>
  <si>
    <t>V</t>
  </si>
  <si>
    <t>VI</t>
  </si>
  <si>
    <t>VII</t>
  </si>
  <si>
    <t>VIII</t>
  </si>
  <si>
    <t>IX</t>
  </si>
  <si>
    <t>X</t>
  </si>
  <si>
    <t>XI</t>
  </si>
  <si>
    <t>XII</t>
  </si>
  <si>
    <t>XIII</t>
  </si>
  <si>
    <t>XIV</t>
  </si>
  <si>
    <t>XV</t>
  </si>
  <si>
    <t>XVI</t>
  </si>
  <si>
    <t>XVII</t>
  </si>
  <si>
    <t>XVIII</t>
  </si>
  <si>
    <t>XIX</t>
  </si>
  <si>
    <t>XX</t>
  </si>
  <si>
    <t>XXI</t>
  </si>
  <si>
    <t>XXII</t>
  </si>
  <si>
    <t>XXIII</t>
  </si>
  <si>
    <t>XXIV</t>
  </si>
  <si>
    <t>XXV</t>
  </si>
  <si>
    <t>XXVI</t>
  </si>
  <si>
    <t>XXVII</t>
  </si>
  <si>
    <t>XXVIII</t>
  </si>
  <si>
    <t>XXIX</t>
  </si>
  <si>
    <t>XXX</t>
  </si>
  <si>
    <t>XXXI</t>
  </si>
  <si>
    <t>XXXII</t>
  </si>
  <si>
    <t>XXXIII</t>
  </si>
  <si>
    <t>XXXIV</t>
  </si>
  <si>
    <t>XXXV</t>
  </si>
  <si>
    <t>XXXVI</t>
  </si>
  <si>
    <t>XXXVII</t>
  </si>
  <si>
    <t>XXXVIII</t>
  </si>
  <si>
    <t>XXXIX</t>
  </si>
  <si>
    <t>XL</t>
  </si>
  <si>
    <t>XLI</t>
  </si>
  <si>
    <t>XLII</t>
  </si>
  <si>
    <t>XLIII</t>
  </si>
  <si>
    <t>XLIV</t>
  </si>
  <si>
    <t>XLV</t>
  </si>
  <si>
    <t>XLVI</t>
  </si>
  <si>
    <t>XLVII</t>
  </si>
  <si>
    <t>XLVIII</t>
  </si>
  <si>
    <t>XLIX</t>
  </si>
  <si>
    <t>L</t>
  </si>
  <si>
    <t>LI</t>
  </si>
  <si>
    <t>LII</t>
  </si>
  <si>
    <t>LIII</t>
  </si>
  <si>
    <t>LIV</t>
  </si>
  <si>
    <t>LV</t>
  </si>
  <si>
    <t>LVI</t>
  </si>
  <si>
    <t>LVII</t>
  </si>
  <si>
    <t>LVIII</t>
  </si>
  <si>
    <t>LIX</t>
  </si>
  <si>
    <t>LX</t>
  </si>
  <si>
    <t>LXI</t>
  </si>
  <si>
    <t>LXII</t>
  </si>
  <si>
    <t>LXIII</t>
  </si>
  <si>
    <t>LXIV</t>
  </si>
  <si>
    <t>LXV</t>
  </si>
  <si>
    <t>LXVI</t>
  </si>
  <si>
    <t>LXVII</t>
  </si>
  <si>
    <t>LXVIII</t>
  </si>
  <si>
    <t>LXIX</t>
  </si>
  <si>
    <t>LXX</t>
  </si>
  <si>
    <t>LXXI</t>
  </si>
  <si>
    <t>LXXII</t>
  </si>
  <si>
    <t>LXXIII</t>
  </si>
  <si>
    <t>LXXIV</t>
  </si>
  <si>
    <t>Interest free</t>
  </si>
  <si>
    <t>Italy</t>
  </si>
  <si>
    <t xml:space="preserve">Note   : </t>
  </si>
  <si>
    <t xml:space="preserve">     Source :</t>
  </si>
  <si>
    <t xml:space="preserve">     Note :</t>
  </si>
  <si>
    <t>2011-12</t>
  </si>
  <si>
    <t>South Korea</t>
  </si>
  <si>
    <t xml:space="preserve">Source :   </t>
  </si>
  <si>
    <t>1 Bushel</t>
  </si>
  <si>
    <t>STATISTICAL TABLES</t>
  </si>
  <si>
    <t>IA</t>
  </si>
  <si>
    <t>IB</t>
  </si>
  <si>
    <t>IIA</t>
  </si>
  <si>
    <t>IIB</t>
  </si>
  <si>
    <t>Claims on Resident Sector by the Banking System</t>
  </si>
  <si>
    <t>IIC</t>
  </si>
  <si>
    <t>IID</t>
  </si>
  <si>
    <t>IIE</t>
  </si>
  <si>
    <t>IIF</t>
  </si>
  <si>
    <t>IIIA</t>
  </si>
  <si>
    <t>Balance of  Payments</t>
  </si>
  <si>
    <t>IIIB</t>
  </si>
  <si>
    <t>Foreign Trade</t>
  </si>
  <si>
    <t xml:space="preserve">Production of Major Agricultural Commodities </t>
  </si>
  <si>
    <t xml:space="preserve">Production of Major Industrial Commodities (Other than Jute Goods) </t>
  </si>
  <si>
    <t>Average Prices of Selected Commodities</t>
  </si>
  <si>
    <t>Gross Domestic Product of Bangladesh at Current Market Price</t>
  </si>
  <si>
    <t xml:space="preserve">Gross Domestic Product of Bangladesh at Constant Market Price </t>
  </si>
  <si>
    <t>Key Indicators of National Accounts</t>
  </si>
  <si>
    <t xml:space="preserve">Interest Rate Structure of Government Securities/Bonds and Savings Instruments </t>
  </si>
  <si>
    <t xml:space="preserve">Rate of Interest on Non-resident Foreign Currency Deposit (NFCD) Accounts </t>
  </si>
  <si>
    <t>Monthly Average Call Money Market Rates</t>
  </si>
  <si>
    <t>Some Indicators of Income, Expenditure &amp; Profitability of the Banking Sector</t>
  </si>
  <si>
    <t>Country-wise Workers’ Remittances</t>
  </si>
  <si>
    <t>Exchange Rates (Taka Per Currencies)</t>
  </si>
  <si>
    <t>Appreciation/Depreciation of Some Selected Currencies Against U.S. Dollar</t>
  </si>
  <si>
    <t>Some Selected Commodity Prices at International Markets</t>
  </si>
  <si>
    <t>Mudaraba Education Deposit Scheme</t>
  </si>
  <si>
    <t>Mudaraba Monthly Profit Deposit Scheme (5 yrs.)</t>
  </si>
  <si>
    <t>Mudaraba Monthly Profit Deposit Scheme (3 yrs.)</t>
  </si>
  <si>
    <t>Market Capitalisation (Value) of Ordinary Shares of Companies Listed with the Dhaka Stock Exchange Ltd.</t>
  </si>
  <si>
    <t>Monetary Survey (M2)</t>
  </si>
  <si>
    <t xml:space="preserve">Monetary Survey (M3)  </t>
  </si>
  <si>
    <t>10.00-13.00</t>
  </si>
  <si>
    <t>Cash     Base     of the Economy (3+42)</t>
  </si>
  <si>
    <t>Portfolio  Investment</t>
  </si>
  <si>
    <t>Other Investment</t>
  </si>
  <si>
    <t>Reserve Assets</t>
  </si>
  <si>
    <t xml:space="preserve">   Lea-  ther</t>
  </si>
  <si>
    <t>Ready made Garments    (including   Knit Wear  &amp; Hosiery)</t>
  </si>
  <si>
    <t>News  Print</t>
  </si>
  <si>
    <t>Ferti-lizers</t>
  </si>
  <si>
    <t>Oil  seeds</t>
  </si>
  <si>
    <t xml:space="preserve">    Edible      oil</t>
  </si>
  <si>
    <t>Chemi-  cals</t>
  </si>
  <si>
    <t>Staple fibres</t>
  </si>
  <si>
    <t>Iron  &amp; Steel</t>
  </si>
  <si>
    <t xml:space="preserve">      Qatar     Riyal</t>
  </si>
  <si>
    <t xml:space="preserve">     Swiss    Franc</t>
  </si>
  <si>
    <t xml:space="preserve">   Customs     Duty</t>
  </si>
  <si>
    <t xml:space="preserve">     Income   Tax</t>
  </si>
  <si>
    <t>LXXV</t>
  </si>
  <si>
    <t>LXXVI</t>
  </si>
  <si>
    <t>LXXVII</t>
  </si>
  <si>
    <t>LXXVIII</t>
  </si>
  <si>
    <t>LXXIX</t>
  </si>
  <si>
    <t>LXXX</t>
  </si>
  <si>
    <t>Soybean  (US $/ MT)</t>
  </si>
  <si>
    <t>  Total Credit    (excluding        inter-bank)  (20+24+28)</t>
  </si>
  <si>
    <t>Average Credit per    DMB       Branch    (in crore)</t>
  </si>
  <si>
    <t>Total (excluding inter-bank) (7+10)</t>
  </si>
  <si>
    <t xml:space="preserve">  Other Resident      Sector </t>
  </si>
  <si>
    <t xml:space="preserve">     Other Resident           Sector</t>
  </si>
  <si>
    <t xml:space="preserve">    Equity    Capital</t>
  </si>
  <si>
    <t xml:space="preserve">   Equity    Capital</t>
  </si>
  <si>
    <t xml:space="preserve">A.  Government Treasury Bonds </t>
  </si>
  <si>
    <t xml:space="preserve">    Total   Manpower</t>
  </si>
  <si>
    <t>Total   Manpower</t>
  </si>
  <si>
    <t xml:space="preserve">  Net Profit After Tax</t>
  </si>
  <si>
    <t xml:space="preserve">     Net      Profit</t>
  </si>
  <si>
    <t xml:space="preserve">    Total       Income</t>
  </si>
  <si>
    <t xml:space="preserve">     Total    Manpower</t>
  </si>
  <si>
    <t xml:space="preserve">    In taka    A/C</t>
  </si>
  <si>
    <t xml:space="preserve">  Govern-     ment    (Net)</t>
  </si>
  <si>
    <t xml:space="preserve">  Banking Sector</t>
  </si>
  <si>
    <t xml:space="preserve">  Total (1+2+3)</t>
  </si>
  <si>
    <t xml:space="preserve">   Total  (5+6+7)</t>
  </si>
  <si>
    <t>Total (9+10)</t>
  </si>
  <si>
    <t xml:space="preserve">   Banking  Sector</t>
  </si>
  <si>
    <t>Total  (12+13)</t>
  </si>
  <si>
    <t>Editorial Committee</t>
  </si>
  <si>
    <t>Chairman</t>
  </si>
  <si>
    <t xml:space="preserve">Members </t>
  </si>
  <si>
    <t xml:space="preserve">Statistics Department </t>
  </si>
  <si>
    <t xml:space="preserve">Bangladesh Bank         </t>
  </si>
  <si>
    <t>Ratio of DMBs Credit to Deposits  (in percent) </t>
  </si>
  <si>
    <t xml:space="preserve">       Coal            (US $/MT)</t>
  </si>
  <si>
    <t>Date/ Period of Maturity</t>
  </si>
  <si>
    <t>Category of Instruments</t>
  </si>
  <si>
    <t>Effective Date</t>
  </si>
  <si>
    <t>Reinvested  Earning</t>
  </si>
  <si>
    <t xml:space="preserve">  Intra-company Loans</t>
  </si>
  <si>
    <t>Intra-company Loans</t>
  </si>
  <si>
    <t>Reinvested Earning</t>
  </si>
  <si>
    <t>Petro- leum Products</t>
  </si>
  <si>
    <t>Others (Including EPZ)</t>
  </si>
  <si>
    <t xml:space="preserve">  Pulses     (all sorts)</t>
  </si>
  <si>
    <t xml:space="preserve">        Area       (in '000' acres)</t>
  </si>
  <si>
    <t xml:space="preserve">      Total          Manpower</t>
  </si>
  <si>
    <t xml:space="preserve"> Net Profit After Tax</t>
  </si>
  <si>
    <t xml:space="preserve">    Total   Income</t>
  </si>
  <si>
    <t xml:space="preserve">    Total    Income</t>
  </si>
  <si>
    <t>04.05.11</t>
  </si>
  <si>
    <t>08.06.11</t>
  </si>
  <si>
    <t>13.07.11</t>
  </si>
  <si>
    <t>10.08.11</t>
  </si>
  <si>
    <t>04.05.21</t>
  </si>
  <si>
    <t>08.06.21</t>
  </si>
  <si>
    <t>13.07.21</t>
  </si>
  <si>
    <t>10.08.21</t>
  </si>
  <si>
    <t>LXXXII</t>
  </si>
  <si>
    <t>LXXXIII</t>
  </si>
  <si>
    <t>LXXXIV</t>
  </si>
  <si>
    <t>LXXXV</t>
  </si>
  <si>
    <t>LXXXVI</t>
  </si>
  <si>
    <t>LXXXVII</t>
  </si>
  <si>
    <t>LXXXVIII</t>
  </si>
  <si>
    <t>LXXXIX</t>
  </si>
  <si>
    <t>( Inflation, Production Index, Foreign Trade,</t>
  </si>
  <si>
    <t xml:space="preserve">CLAIMS ON RESIDENT SECTORS </t>
  </si>
  <si>
    <t xml:space="preserve"> 25.01.12</t>
  </si>
  <si>
    <t xml:space="preserve"> 25.01.32</t>
  </si>
  <si>
    <t xml:space="preserve"> 28.12.31</t>
  </si>
  <si>
    <t xml:space="preserve"> 26.10.31</t>
  </si>
  <si>
    <t xml:space="preserve"> 01.07.95</t>
  </si>
  <si>
    <t>12.00-13.00</t>
  </si>
  <si>
    <t xml:space="preserve"> &lt; 1.00 crore</t>
  </si>
  <si>
    <t>1.00 crore but  &lt; 25.00 crore</t>
  </si>
  <si>
    <t>25.00 crore but  &lt; 50.00 crore</t>
  </si>
  <si>
    <t>50.00 crore but  &lt; 100.00 crore</t>
  </si>
  <si>
    <t>3 months but &lt;6 months</t>
  </si>
  <si>
    <t>6 months but &lt; 1 year</t>
  </si>
  <si>
    <t>1 year but&lt; 2 years</t>
  </si>
  <si>
    <t>2 years but &lt; 3 years</t>
  </si>
  <si>
    <t>3 years &amp; above</t>
  </si>
  <si>
    <t>Special Notice Deposits (SND):</t>
  </si>
  <si>
    <t xml:space="preserve">   Effective   Date</t>
  </si>
  <si>
    <t xml:space="preserve">5-year  (BD) Govt. Treasury Bond </t>
  </si>
  <si>
    <t>10-year (BD) Govt. Treasury Bond</t>
  </si>
  <si>
    <t>15 year (BD) Govt.  Treasury Bond</t>
  </si>
  <si>
    <t>20 year  (BD) Govt. Treasury Bond</t>
  </si>
  <si>
    <t>12 year (BPC) Govt. Special Treasury Bond</t>
  </si>
  <si>
    <t>13 year (BPC) Govt. Special Treasury Bond</t>
  </si>
  <si>
    <t>14 year (BPC) Govt. Special Treasury Bond</t>
  </si>
  <si>
    <t>BJMC &amp; BTMC special T. Bonds</t>
  </si>
  <si>
    <t>11-year (BJMC)(Sonali Bank) T. Bond</t>
  </si>
  <si>
    <t>11-year (BJMC) (Janata Bank)T. Bond</t>
  </si>
  <si>
    <t>11-year (BJMC) (Agrani Bank) T. Bond</t>
  </si>
  <si>
    <t>13-year (BJMC) (Sonali Bank)T. Bond</t>
  </si>
  <si>
    <t>13-year (BJMC) (Janata Bank) T. Bond</t>
  </si>
  <si>
    <t>13-year (BJMC) (Agrani Bank) T. Bond</t>
  </si>
  <si>
    <t xml:space="preserve">9-year  (BJMC)(Sonali Bank) T. Bond </t>
  </si>
  <si>
    <t>15 year (BPC) Govt. Special Treasury Bond</t>
  </si>
  <si>
    <t xml:space="preserve">9-year  (BJMC) (Janata Bank) T. Bond </t>
  </si>
  <si>
    <t>9-year  (BJMC)(Agrani Bank) T. Bond</t>
  </si>
  <si>
    <t xml:space="preserve"> 29.02.12</t>
  </si>
  <si>
    <t>25-year (Jute) Treasury Bond</t>
  </si>
  <si>
    <t xml:space="preserve"> - = Nil</t>
  </si>
  <si>
    <t>Reserve Money (1+2+3+5)</t>
  </si>
  <si>
    <t>Commercial Banks</t>
  </si>
  <si>
    <t>SOME INDICATORS OF INCOME, EXPENDITURE &amp;</t>
  </si>
  <si>
    <t>PROFITABILITY OF THE BANKING SECTOR</t>
  </si>
  <si>
    <t>State Owned Banks</t>
  </si>
  <si>
    <t xml:space="preserve">      Total Income</t>
  </si>
  <si>
    <t xml:space="preserve"> Financial  Corporation</t>
  </si>
  <si>
    <t xml:space="preserve">BANK WISE ANNOUNCED INTEREST RATE STRUCTURE </t>
  </si>
  <si>
    <t xml:space="preserve">Claims on Resident Sectors by Depository Corporations </t>
  </si>
  <si>
    <t xml:space="preserve"> 29.02.32</t>
  </si>
  <si>
    <t xml:space="preserve"> 28.03.12</t>
  </si>
  <si>
    <t xml:space="preserve"> 28.03.32</t>
  </si>
  <si>
    <t xml:space="preserve"> 25.04.12</t>
  </si>
  <si>
    <t xml:space="preserve"> 25.04.32</t>
  </si>
  <si>
    <t>385050</t>
  </si>
  <si>
    <t>14.75</t>
  </si>
  <si>
    <t>6.71</t>
  </si>
  <si>
    <t>14.97</t>
  </si>
  <si>
    <t>15.16</t>
  </si>
  <si>
    <t>207</t>
  </si>
  <si>
    <t>25721</t>
  </si>
  <si>
    <t>420097</t>
  </si>
  <si>
    <t>28072</t>
  </si>
  <si>
    <t>Annual Growth    of GDP at Current Market Price %</t>
  </si>
  <si>
    <t>72514</t>
  </si>
  <si>
    <t>GDP Deflator</t>
  </si>
  <si>
    <r>
      <rPr>
        <b/>
        <sz val="8"/>
        <rFont val="Times New Roman"/>
        <family val="1"/>
      </rPr>
      <t>Source :</t>
    </r>
    <r>
      <rPr>
        <sz val="8"/>
        <rFont val="Times New Roman"/>
        <family val="1"/>
      </rPr>
      <t xml:space="preserve"> </t>
    </r>
  </si>
  <si>
    <t xml:space="preserve">Deputy General Manager            </t>
  </si>
  <si>
    <t>2012-13</t>
  </si>
  <si>
    <t>Currency Out side Banks</t>
  </si>
  <si>
    <t>Point- to- Point (Base: 2005-06=100)</t>
  </si>
  <si>
    <t>Point- to- Point (Base: 1995-96=100)</t>
  </si>
  <si>
    <t>12- Month Average (Base: 2005-06=100)</t>
  </si>
  <si>
    <t>12- Month Average (Base: 1995-96=100)</t>
  </si>
  <si>
    <r>
      <t xml:space="preserve">Rate of Inflation in Bangladesh </t>
    </r>
    <r>
      <rPr>
        <b/>
        <sz val="9"/>
        <color indexed="8"/>
        <rFont val="Times New Roman"/>
        <family val="1"/>
      </rPr>
      <t xml:space="preserve">  Measured by Consumer  Price Index  (CPI)      </t>
    </r>
  </si>
  <si>
    <t>General (Mfg)</t>
  </si>
  <si>
    <t>Chinese Yuan</t>
  </si>
  <si>
    <t xml:space="preserve"> Danish Krone</t>
  </si>
  <si>
    <t xml:space="preserve"> Hongkong Dollar</t>
  </si>
  <si>
    <t>Indone-sian   Rupiah</t>
  </si>
  <si>
    <t>Japanese  Yen</t>
  </si>
  <si>
    <t>Kuwait Dinar</t>
  </si>
  <si>
    <t>Malay-sian Ringgit</t>
  </si>
  <si>
    <t>Myan-mar Kyat</t>
  </si>
  <si>
    <t>Pakistan Rupee</t>
  </si>
  <si>
    <t>Russian Rouble</t>
  </si>
  <si>
    <t xml:space="preserve">  Saudi    Riyal</t>
  </si>
  <si>
    <t xml:space="preserve"> Singapore    Dollar</t>
  </si>
  <si>
    <t xml:space="preserve"> Swedish  Krona</t>
  </si>
  <si>
    <t>Sri Lankan Rupee</t>
  </si>
  <si>
    <t>Thai  Bhat</t>
  </si>
  <si>
    <t xml:space="preserve">   Index of Industrial Production     Base:  1988-89=100</t>
  </si>
  <si>
    <t>Foreign Banks</t>
  </si>
  <si>
    <t xml:space="preserve">SOME INDICATORS OF INCOME, EXPENDITURE &amp; </t>
  </si>
  <si>
    <t>APPRECIATION / DEPRECIATION OF SELECTED</t>
  </si>
  <si>
    <t xml:space="preserve"> 30.05.12</t>
  </si>
  <si>
    <t xml:space="preserve"> 27.06.12</t>
  </si>
  <si>
    <t xml:space="preserve"> 25.07.12</t>
  </si>
  <si>
    <t xml:space="preserve"> 30.05.32</t>
  </si>
  <si>
    <t xml:space="preserve"> 27.06.32</t>
  </si>
  <si>
    <t xml:space="preserve"> 25.07.32</t>
  </si>
  <si>
    <t xml:space="preserve"> Debt Management Department, Bangladesh Bank</t>
  </si>
  <si>
    <t xml:space="preserve">2011-12 </t>
  </si>
  <si>
    <t>Commercial                                                                    Banks</t>
  </si>
  <si>
    <t xml:space="preserve">     Total  Manpower</t>
  </si>
  <si>
    <t xml:space="preserve"> 29.08.12</t>
  </si>
  <si>
    <t xml:space="preserve"> 29.08.32</t>
  </si>
  <si>
    <t>Bangladesh Bank</t>
  </si>
  <si>
    <t xml:space="preserve">Monthly </t>
  </si>
  <si>
    <t>Economic Trends</t>
  </si>
  <si>
    <t>No interest</t>
  </si>
  <si>
    <t xml:space="preserve">No interest </t>
  </si>
  <si>
    <t xml:space="preserve"> No interest</t>
  </si>
  <si>
    <t>i) Before six months from the date of issue</t>
  </si>
  <si>
    <t>ii) On completion of six months but before one year</t>
  </si>
  <si>
    <t>iii) On completion of one year but before 1½ year</t>
  </si>
  <si>
    <t>iv) On completion of 1½ years but before two year</t>
  </si>
  <si>
    <t>v) On completion of two years and thereafter</t>
  </si>
  <si>
    <t xml:space="preserve">vi) On completion of five years and thereafter </t>
  </si>
  <si>
    <t>a) Ordinary Account</t>
  </si>
  <si>
    <t>a) Dhaka and Chittagong Metropolitan Cities</t>
  </si>
  <si>
    <t>b) Other Divisional/District Head Quarters.</t>
  </si>
  <si>
    <t>c) Fixed Deposit Account (Interest after 6 months)</t>
  </si>
  <si>
    <t xml:space="preserve">i) Within one year from the date of issue </t>
  </si>
  <si>
    <t>ii) After completion of one year but within two years</t>
  </si>
  <si>
    <t>iii) After completion of two years but within three years</t>
  </si>
  <si>
    <t>iii) For three years</t>
  </si>
  <si>
    <t>ii) For two years</t>
  </si>
  <si>
    <t>i) For one year</t>
  </si>
  <si>
    <t>b) Fixed Deposit Account (Interest after maturity)</t>
  </si>
  <si>
    <t xml:space="preserve">  Furniture, Furnishing   &amp; Others</t>
  </si>
  <si>
    <t xml:space="preserve">  Misc. Goods &amp; Services</t>
  </si>
  <si>
    <t>15-year (BD) Govt.  Treasury Bond</t>
  </si>
  <si>
    <t>20-year  (BD) Govt. Treasury Bond</t>
  </si>
  <si>
    <t xml:space="preserve"> 26.09.12</t>
  </si>
  <si>
    <t xml:space="preserve"> 29.09.32</t>
  </si>
  <si>
    <t xml:space="preserve">With effect from 01.07.06  </t>
  </si>
  <si>
    <t>Interest Rates on Deposits with Directorate of National Savings</t>
  </si>
  <si>
    <t>i) Tin Mas Antar Munafa Vittik Sanchayapatra</t>
  </si>
  <si>
    <t>ii) 5-year  Bangladesh Sanchayapatra</t>
  </si>
  <si>
    <t>iii) 5-year  Pensioner Sanchaya Patra after 3-month interest</t>
  </si>
  <si>
    <t>iv) 5-year  Paribar Sanchayapatra after monthly interest</t>
  </si>
  <si>
    <t>iv) After completion of three years</t>
  </si>
  <si>
    <t>With effect from   22.02.97</t>
  </si>
  <si>
    <t>With effect from 01.07.97</t>
  </si>
  <si>
    <t>With effect from  24.11.97</t>
  </si>
  <si>
    <t>With effect from 29.08.99</t>
  </si>
  <si>
    <t>With effect from 24.10.01</t>
  </si>
  <si>
    <t>With effect from 30.10.01</t>
  </si>
  <si>
    <t xml:space="preserve">    With effect from 01.11.02</t>
  </si>
  <si>
    <t>With effect from 08.11.03</t>
  </si>
  <si>
    <t xml:space="preserve">With effect from 17.07.04   </t>
  </si>
  <si>
    <t xml:space="preserve">With effect from 04.12.05   </t>
  </si>
  <si>
    <t xml:space="preserve">With effect from 13.06.07  </t>
  </si>
  <si>
    <t xml:space="preserve">With effect from 01.07.10  </t>
  </si>
  <si>
    <t xml:space="preserve">  With effect from 01.07.11  </t>
  </si>
  <si>
    <t>With effect from 01.03.12</t>
  </si>
  <si>
    <t>Interest Rates on Construction Loans Provided by House Building Finance Corporation</t>
  </si>
  <si>
    <t xml:space="preserve">INTEREST RATE STRUCTURE OF </t>
  </si>
  <si>
    <t xml:space="preserve">GOVERNMENT SECURITIES / BONDS </t>
  </si>
  <si>
    <t>INTEREST RATE STRUCTURE OF</t>
  </si>
  <si>
    <t xml:space="preserve"> GOVERNMENT SECURITIES/BONDS</t>
  </si>
  <si>
    <t xml:space="preserve">GOVERNMENT SECURITIES/BONDS </t>
  </si>
  <si>
    <t>GOVERNMENT SECURITIES/BONDS</t>
  </si>
  <si>
    <t>d)  Savings Bond (Islami Bond)</t>
  </si>
  <si>
    <t xml:space="preserve">      Total  Domestic         Credit </t>
  </si>
  <si>
    <t>13.00-16.00</t>
  </si>
  <si>
    <t>XC</t>
  </si>
  <si>
    <t>XCI</t>
  </si>
  <si>
    <t>XCII</t>
  </si>
  <si>
    <t>XCIII</t>
  </si>
  <si>
    <t>XCIV</t>
  </si>
  <si>
    <t>XCV</t>
  </si>
  <si>
    <t>XCVI</t>
  </si>
  <si>
    <t>XCVII</t>
  </si>
  <si>
    <t>XCIX</t>
  </si>
  <si>
    <t>C</t>
  </si>
  <si>
    <t xml:space="preserve"> 25.10.12</t>
  </si>
  <si>
    <t xml:space="preserve"> 25.10.32</t>
  </si>
  <si>
    <t xml:space="preserve"> 28.11.12</t>
  </si>
  <si>
    <t xml:space="preserve"> 28.11.32</t>
  </si>
  <si>
    <t>CI</t>
  </si>
  <si>
    <t>15.00-18.00</t>
  </si>
  <si>
    <t>14.00-17.00</t>
  </si>
  <si>
    <t>10.00-18.00</t>
  </si>
  <si>
    <t>11.00-14.00</t>
  </si>
  <si>
    <t>12.00-15.00</t>
  </si>
  <si>
    <t>Income / Primary Income</t>
  </si>
  <si>
    <t>Current Transfers (Net)/ Secondary Income (Net)</t>
  </si>
  <si>
    <t>19=(15+16+17+18)</t>
  </si>
  <si>
    <t xml:space="preserve"> Financial    Account  (Net)</t>
  </si>
  <si>
    <t>Capital Account (Net)</t>
  </si>
  <si>
    <t>Direct  Investment</t>
  </si>
  <si>
    <t xml:space="preserve"> 26.12.12</t>
  </si>
  <si>
    <t xml:space="preserve"> 26.12.32</t>
  </si>
  <si>
    <t>CII</t>
  </si>
  <si>
    <t xml:space="preserve"> 23.01.13</t>
  </si>
  <si>
    <t>CIII</t>
  </si>
  <si>
    <t>End            of        Period</t>
  </si>
  <si>
    <t>Total          (7+8)</t>
  </si>
  <si>
    <t xml:space="preserve"> Private       Sector</t>
  </si>
  <si>
    <t xml:space="preserve"> Net          Other   Assets</t>
  </si>
  <si>
    <t>Net          Domestic      Assets     (11+12)</t>
  </si>
  <si>
    <t>End                   of             Period</t>
  </si>
  <si>
    <t>End                     of             Period</t>
  </si>
  <si>
    <t>Total Domestic Credit</t>
  </si>
  <si>
    <t>Local               Authorities</t>
  </si>
  <si>
    <t>End               of          Period</t>
  </si>
  <si>
    <t>Net  Other Assets</t>
  </si>
  <si>
    <t>End              of        Period</t>
  </si>
  <si>
    <r>
      <t xml:space="preserve">Total         Domestic        Credit       </t>
    </r>
    <r>
      <rPr>
        <sz val="8"/>
        <color indexed="8"/>
        <rFont val="Times New Roman"/>
        <family val="1"/>
      </rPr>
      <t>(8+11+14)</t>
    </r>
  </si>
  <si>
    <t>Net            Other      Assets</t>
  </si>
  <si>
    <t>Net            Domestic         Assets      (15+16)</t>
  </si>
  <si>
    <t xml:space="preserve">Export        (f.o.b) </t>
  </si>
  <si>
    <t>Import        (f.o.b)</t>
  </si>
  <si>
    <t xml:space="preserve">Trade       Balance </t>
  </si>
  <si>
    <t xml:space="preserve">Current            Account        Balance         </t>
  </si>
  <si>
    <t>Crude Petroleum</t>
  </si>
  <si>
    <t xml:space="preserve">Total     Imports        </t>
  </si>
  <si>
    <t>Total   (15 through 35)</t>
  </si>
  <si>
    <t xml:space="preserve">Balance   of Trade         </t>
  </si>
  <si>
    <t xml:space="preserve"> '000'          Metres </t>
  </si>
  <si>
    <t xml:space="preserve"> '000'          Bales</t>
  </si>
  <si>
    <t xml:space="preserve"> Metric      Tons</t>
  </si>
  <si>
    <t xml:space="preserve">  Lac            Sticks</t>
  </si>
  <si>
    <t xml:space="preserve">  Metric   Tons</t>
  </si>
  <si>
    <t xml:space="preserve"> '000'        Gross Box</t>
  </si>
  <si>
    <t xml:space="preserve"> Metric     Tons</t>
  </si>
  <si>
    <t xml:space="preserve"> Metric        Tons</t>
  </si>
  <si>
    <t>End of    Period</t>
  </si>
  <si>
    <t>End of        Period</t>
  </si>
  <si>
    <t xml:space="preserve">  End of          Period</t>
  </si>
  <si>
    <t xml:space="preserve">  End of       Period</t>
  </si>
  <si>
    <t>Excise         Duty</t>
  </si>
  <si>
    <t>Land                 Revenue</t>
  </si>
  <si>
    <t>Other          Taxes</t>
  </si>
  <si>
    <t>Total              Tax</t>
  </si>
  <si>
    <t xml:space="preserve"> Forest       Revenue</t>
  </si>
  <si>
    <t>Foreign           Exchange       Reserves      (end period)</t>
  </si>
  <si>
    <t xml:space="preserve"> Raw Jute</t>
  </si>
  <si>
    <t>Total (1+2)</t>
  </si>
  <si>
    <t>End                  of             Period</t>
  </si>
  <si>
    <t xml:space="preserve"> 27.02.13</t>
  </si>
  <si>
    <t>CIV</t>
  </si>
  <si>
    <t xml:space="preserve">  1) Post Office Savings Deposits</t>
  </si>
  <si>
    <t xml:space="preserve">  2) Interest Rates on National Savings Certificates</t>
  </si>
  <si>
    <t>18.05.16</t>
  </si>
  <si>
    <t>22.06.16</t>
  </si>
  <si>
    <t>23.10.11</t>
  </si>
  <si>
    <t>23.10.20</t>
  </si>
  <si>
    <t>11.04.12</t>
  </si>
  <si>
    <t>16.05.12</t>
  </si>
  <si>
    <t>11.04.22</t>
  </si>
  <si>
    <t>16.05.22</t>
  </si>
  <si>
    <t>13.06.12</t>
  </si>
  <si>
    <t>13.06.22</t>
  </si>
  <si>
    <t>11.07.12</t>
  </si>
  <si>
    <t>22.08.12</t>
  </si>
  <si>
    <t>22.08.22</t>
  </si>
  <si>
    <t>12.09.12</t>
  </si>
  <si>
    <t>10.10.12</t>
  </si>
  <si>
    <t>10.10.22</t>
  </si>
  <si>
    <t>14.11.12</t>
  </si>
  <si>
    <t>12.12.12</t>
  </si>
  <si>
    <t>09.01.13</t>
  </si>
  <si>
    <t>13.02.13</t>
  </si>
  <si>
    <t>13.03.13</t>
  </si>
  <si>
    <t>13.03.23</t>
  </si>
  <si>
    <t>23.10.23</t>
  </si>
  <si>
    <t>23.10.24</t>
  </si>
  <si>
    <t>18.04.12</t>
  </si>
  <si>
    <t>18.04.27</t>
  </si>
  <si>
    <t>23.05.12</t>
  </si>
  <si>
    <t>23.05.27</t>
  </si>
  <si>
    <t>20.06.12</t>
  </si>
  <si>
    <t>20.06.27</t>
  </si>
  <si>
    <t>18.07.12</t>
  </si>
  <si>
    <t>18.07.27</t>
  </si>
  <si>
    <t>19.09.12</t>
  </si>
  <si>
    <t>19.09.27</t>
  </si>
  <si>
    <t>17.10.12</t>
  </si>
  <si>
    <t>17.10.27</t>
  </si>
  <si>
    <t>21.11.12</t>
  </si>
  <si>
    <t>21.11.27</t>
  </si>
  <si>
    <t>19.12.12</t>
  </si>
  <si>
    <t>19.12.27</t>
  </si>
  <si>
    <t>16.01.13</t>
  </si>
  <si>
    <t>16.01.28</t>
  </si>
  <si>
    <t>20.02.13</t>
  </si>
  <si>
    <t>20.02.28</t>
  </si>
  <si>
    <t xml:space="preserve"> 24.08.31</t>
  </si>
  <si>
    <t>23.11.11</t>
  </si>
  <si>
    <t>23.11.31</t>
  </si>
  <si>
    <t>Currency    Outside       Banks        (3-4)</t>
  </si>
  <si>
    <t>End            of       Period</t>
  </si>
  <si>
    <t>From      Banks</t>
  </si>
  <si>
    <t>Time     Deposits</t>
  </si>
  <si>
    <t>Total   (8+9)</t>
  </si>
  <si>
    <t>Post     Office Deposits</t>
  </si>
  <si>
    <t>Inter          Bank    Bills</t>
  </si>
  <si>
    <t xml:space="preserve"> Private    Bills</t>
  </si>
  <si>
    <t>Inter         Bank          Invest-   ment</t>
  </si>
  <si>
    <t>To       Public</t>
  </si>
  <si>
    <t>To         Private</t>
  </si>
  <si>
    <t>To          Public      (18+22+26) </t>
  </si>
  <si>
    <t>To             Private     (19+23+27)</t>
  </si>
  <si>
    <t>From      Govern-   ment</t>
  </si>
  <si>
    <t xml:space="preserve">  From        BB</t>
  </si>
  <si>
    <t>From      Other Financial Institutions</t>
  </si>
  <si>
    <t xml:space="preserve">                           DMBs  Credit                            (Advances + Bills + Investment) </t>
  </si>
  <si>
    <t xml:space="preserve">  From        Inter-    Banks</t>
  </si>
  <si>
    <t>14.09.11</t>
  </si>
  <si>
    <t>14.09.21</t>
  </si>
  <si>
    <t>12.10.11</t>
  </si>
  <si>
    <t>12.10.21</t>
  </si>
  <si>
    <t>10.11.11</t>
  </si>
  <si>
    <t>10.11.21</t>
  </si>
  <si>
    <t>14.12.11</t>
  </si>
  <si>
    <t>14.12.21</t>
  </si>
  <si>
    <t>11.01.12</t>
  </si>
  <si>
    <t>11.01.22</t>
  </si>
  <si>
    <t>15.02.12</t>
  </si>
  <si>
    <t>15.02.22</t>
  </si>
  <si>
    <t>14.03.12</t>
  </si>
  <si>
    <t>14.03.22</t>
  </si>
  <si>
    <t>11.05.11</t>
  </si>
  <si>
    <t>11.05.26</t>
  </si>
  <si>
    <t>15.06.11</t>
  </si>
  <si>
    <t>15.06.26</t>
  </si>
  <si>
    <t>17.08.11</t>
  </si>
  <si>
    <t>17.08.26</t>
  </si>
  <si>
    <t>21.09.11</t>
  </si>
  <si>
    <t>21.09.26</t>
  </si>
  <si>
    <t>19.10.11</t>
  </si>
  <si>
    <t>19.10.26</t>
  </si>
  <si>
    <t>16.11.11</t>
  </si>
  <si>
    <t>16.11.26</t>
  </si>
  <si>
    <t>21.12.11</t>
  </si>
  <si>
    <t>21.12.26</t>
  </si>
  <si>
    <t>18.01.12</t>
  </si>
  <si>
    <t>18.01.27</t>
  </si>
  <si>
    <t>22.02.12</t>
  </si>
  <si>
    <t>22.02.27</t>
  </si>
  <si>
    <t>21.03.12</t>
  </si>
  <si>
    <t>21.03.27</t>
  </si>
  <si>
    <t xml:space="preserve">Note  : </t>
  </si>
  <si>
    <t>10.04.13</t>
  </si>
  <si>
    <t>10.04.23</t>
  </si>
  <si>
    <t>20.03.13</t>
  </si>
  <si>
    <t>20.03.28</t>
  </si>
  <si>
    <t xml:space="preserve"> 27.03.13</t>
  </si>
  <si>
    <t>13.24*</t>
  </si>
  <si>
    <t>08.05.18</t>
  </si>
  <si>
    <t>15.05.13</t>
  </si>
  <si>
    <t>15.05.23</t>
  </si>
  <si>
    <t>17.04.13</t>
  </si>
  <si>
    <t>17.04.28</t>
  </si>
  <si>
    <t xml:space="preserve"> 24.04.13</t>
  </si>
  <si>
    <t>15.24</t>
  </si>
  <si>
    <t>6.23</t>
  </si>
  <si>
    <t>12.06.13</t>
  </si>
  <si>
    <t>12.06.23</t>
  </si>
  <si>
    <t>22.05.13</t>
  </si>
  <si>
    <t>22.05.28</t>
  </si>
  <si>
    <t xml:space="preserve"> 29.05.13</t>
  </si>
  <si>
    <t xml:space="preserve"> 23.01.33</t>
  </si>
  <si>
    <t xml:space="preserve"> 27.02.33</t>
  </si>
  <si>
    <t xml:space="preserve"> 27.03.33</t>
  </si>
  <si>
    <t xml:space="preserve"> 24.04.33</t>
  </si>
  <si>
    <t xml:space="preserve"> 29.05.33</t>
  </si>
  <si>
    <t>448839</t>
  </si>
  <si>
    <t>225</t>
  </si>
  <si>
    <t>26982</t>
  </si>
  <si>
    <t>29607</t>
  </si>
  <si>
    <t>19.06.13</t>
  </si>
  <si>
    <t>19.06.28</t>
  </si>
  <si>
    <t xml:space="preserve"> 26.06.13</t>
  </si>
  <si>
    <t xml:space="preserve"> 26.06.33</t>
  </si>
  <si>
    <t xml:space="preserve">2-year (BD)Govt. Treasury Bond </t>
  </si>
  <si>
    <t>10 years (Agrani Bank) SPTB</t>
  </si>
  <si>
    <t>29.06.13</t>
  </si>
  <si>
    <t>29.06.23</t>
  </si>
  <si>
    <t>10 years (Janata Bank) SPTB</t>
  </si>
  <si>
    <t>10 years (Sonali Bank) SPTB</t>
  </si>
  <si>
    <t>7 years (BPC)(Agrani Bank) SPTB</t>
  </si>
  <si>
    <t>29.06.20</t>
  </si>
  <si>
    <t>29.06.21</t>
  </si>
  <si>
    <t>8 years (Agrani Bank) SPTB</t>
  </si>
  <si>
    <t>09.07.08</t>
  </si>
  <si>
    <t>09.07.23</t>
  </si>
  <si>
    <t>7 years (BPC)(Janata Bank) SPTB</t>
  </si>
  <si>
    <t>7 years (BPC)(Sonali Bank) SPTB</t>
  </si>
  <si>
    <t>8 years (Janata Bank) SPTB</t>
  </si>
  <si>
    <t>8 years (Sonali Bank) SPTB</t>
  </si>
  <si>
    <t>No. of Instruments</t>
  </si>
  <si>
    <t>Total No. of Branches of State Owned Commerc-ial Banks </t>
  </si>
  <si>
    <t>Ratio of Cash in hand and balances with the BB to Deposits (in percent)</t>
  </si>
  <si>
    <t>Note  :</t>
  </si>
  <si>
    <t>1. Weighted average rates of interest on scheduled banks deposits &amp; advances have been introduced monthly basis instead of  quarterly</t>
  </si>
  <si>
    <t>2013-14</t>
  </si>
  <si>
    <t xml:space="preserve">  24.07.13</t>
  </si>
  <si>
    <t xml:space="preserve"> 24.07.13</t>
  </si>
  <si>
    <t xml:space="preserve"> 24.07.33</t>
  </si>
  <si>
    <t xml:space="preserve">   Urea        (US $/ MT)</t>
  </si>
  <si>
    <t xml:space="preserve">    Sugar                                              (US cents/pound)</t>
  </si>
  <si>
    <t>Rice             (US $/MT)</t>
  </si>
  <si>
    <t xml:space="preserve">  Petroleum              (US$/ Barrel)</t>
  </si>
  <si>
    <t xml:space="preserve"> DSE Broad                   Index</t>
  </si>
  <si>
    <t>17.07.13</t>
  </si>
  <si>
    <t>17.07.23</t>
  </si>
  <si>
    <t>21.08.13</t>
  </si>
  <si>
    <t>21.08.23</t>
  </si>
  <si>
    <t xml:space="preserve">  29.08.13</t>
  </si>
  <si>
    <t xml:space="preserve">  24.07.28</t>
  </si>
  <si>
    <t xml:space="preserve"> 29.08.28</t>
  </si>
  <si>
    <t xml:space="preserve"> 29.08.13</t>
  </si>
  <si>
    <t xml:space="preserve"> 29.08.33</t>
  </si>
  <si>
    <t xml:space="preserve"> Total                        (1+2)</t>
  </si>
  <si>
    <t xml:space="preserve">                      BANK WISE ANNOUNCED INTEREST RATE STRUCTURE </t>
  </si>
  <si>
    <t xml:space="preserve"> Rice                 (US $/MT) </t>
  </si>
  <si>
    <t xml:space="preserve">  Super        phosphate       (US $/ MT)</t>
  </si>
  <si>
    <t>Period      Average</t>
  </si>
  <si>
    <t>End          Period</t>
  </si>
  <si>
    <t xml:space="preserve"> End                  Period</t>
  </si>
  <si>
    <t>End Period</t>
  </si>
  <si>
    <t>Period Average</t>
  </si>
  <si>
    <t xml:space="preserve">  25.09.13</t>
  </si>
  <si>
    <t xml:space="preserve">  25.09.28</t>
  </si>
  <si>
    <t xml:space="preserve">  23.10.13</t>
  </si>
  <si>
    <t xml:space="preserve"> 23.10.28</t>
  </si>
  <si>
    <t xml:space="preserve"> 25.09.13</t>
  </si>
  <si>
    <t xml:space="preserve"> 25.09.33</t>
  </si>
  <si>
    <t xml:space="preserve"> 23.10.13</t>
  </si>
  <si>
    <t xml:space="preserve"> 23.10.33</t>
  </si>
  <si>
    <t xml:space="preserve">         SOME INDICATORS OF INCOME, EXPENDITURE &amp; </t>
  </si>
  <si>
    <t xml:space="preserve">   PROFITABILITY  OF THE BANKING SECTOR</t>
  </si>
  <si>
    <t>20.11.13</t>
  </si>
  <si>
    <t>20.11.23</t>
  </si>
  <si>
    <t xml:space="preserve">  27.11.13</t>
  </si>
  <si>
    <t xml:space="preserve"> 27.11.28</t>
  </si>
  <si>
    <t xml:space="preserve"> 27.11.13</t>
  </si>
  <si>
    <t xml:space="preserve"> 27.11.33</t>
  </si>
  <si>
    <t>2012-13*</t>
  </si>
  <si>
    <t>26.12.13</t>
  </si>
  <si>
    <t>26.12.28</t>
  </si>
  <si>
    <t>26.12.33</t>
  </si>
  <si>
    <t xml:space="preserve">Figures relating to Islamic Investment Bond is re-classified as claims on other public sector instead of other assets </t>
  </si>
  <si>
    <t>29.01.14</t>
  </si>
  <si>
    <t>29.01.34</t>
  </si>
  <si>
    <t>29.01.29</t>
  </si>
  <si>
    <t>26.02.14</t>
  </si>
  <si>
    <t>26.02.34</t>
  </si>
  <si>
    <t>26.02.29</t>
  </si>
  <si>
    <t>19.03.14</t>
  </si>
  <si>
    <t>19.03.24</t>
  </si>
  <si>
    <t>8.00-11.00</t>
  </si>
  <si>
    <t>Short Term FC Deposit Liabilities</t>
  </si>
  <si>
    <t>27.03.14</t>
  </si>
  <si>
    <t>27.03.29</t>
  </si>
  <si>
    <t>23.04.14</t>
  </si>
  <si>
    <t>23.04.29</t>
  </si>
  <si>
    <t>27.03.34</t>
  </si>
  <si>
    <t>23.04.34</t>
  </si>
  <si>
    <t>6.00-7.00</t>
  </si>
  <si>
    <t>9.00-12.00</t>
  </si>
  <si>
    <t>06.10.20</t>
  </si>
  <si>
    <t>LXXXI</t>
  </si>
  <si>
    <t>28.05.14</t>
  </si>
  <si>
    <t>28.05.34</t>
  </si>
  <si>
    <t>25.06.34</t>
  </si>
  <si>
    <t>25.06.14</t>
  </si>
  <si>
    <t>28.05.29</t>
  </si>
  <si>
    <t>25.06.29</t>
  </si>
  <si>
    <t>2011-12*</t>
  </si>
  <si>
    <t>646342</t>
  </si>
  <si>
    <t>14.83</t>
  </si>
  <si>
    <t>6.46</t>
  </si>
  <si>
    <t>688493</t>
  </si>
  <si>
    <t>15.22</t>
  </si>
  <si>
    <t>6.52</t>
  </si>
  <si>
    <t>729897</t>
  </si>
  <si>
    <t>6.01</t>
  </si>
  <si>
    <t>13.62</t>
  </si>
  <si>
    <t>15.37</t>
  </si>
  <si>
    <t>15.58</t>
  </si>
  <si>
    <t>09.07.14</t>
  </si>
  <si>
    <t>09.07.19</t>
  </si>
  <si>
    <t>16.07.14</t>
  </si>
  <si>
    <t>16.07.24</t>
  </si>
  <si>
    <t>2014-15</t>
  </si>
  <si>
    <t>13.08.14</t>
  </si>
  <si>
    <t>13.08.19</t>
  </si>
  <si>
    <t>23.07.14</t>
  </si>
  <si>
    <t>23.07.29</t>
  </si>
  <si>
    <t>27.08.14</t>
  </si>
  <si>
    <t>27.08.29</t>
  </si>
  <si>
    <t>23.07.34</t>
  </si>
  <si>
    <t>27.08.34</t>
  </si>
  <si>
    <t>10.09.14</t>
  </si>
  <si>
    <t>10.09.19</t>
  </si>
  <si>
    <t>24.09.14</t>
  </si>
  <si>
    <t>24.09.29</t>
  </si>
  <si>
    <t>24.09.34</t>
  </si>
  <si>
    <t>788602</t>
  </si>
  <si>
    <t>746761</t>
  </si>
  <si>
    <t>697469</t>
  </si>
  <si>
    <t>51311</t>
  </si>
  <si>
    <t>49265</t>
  </si>
  <si>
    <t>46610</t>
  </si>
  <si>
    <t>12.59**</t>
  </si>
  <si>
    <t>13.19***</t>
  </si>
  <si>
    <t>13.45****</t>
  </si>
  <si>
    <t>11.80*****</t>
  </si>
  <si>
    <t>12.00*****</t>
  </si>
  <si>
    <t>15.10.14</t>
  </si>
  <si>
    <t>15.10.19</t>
  </si>
  <si>
    <t xml:space="preserve">                                                                  BANK WISE ANNOUNCED INTEREST RATE STRUCTURE </t>
  </si>
  <si>
    <t>2012**</t>
  </si>
  <si>
    <t>12.11.14</t>
  </si>
  <si>
    <t>12.11.19</t>
  </si>
  <si>
    <t>19.11.14</t>
  </si>
  <si>
    <t>19.11.24</t>
  </si>
  <si>
    <t>29.10.14</t>
  </si>
  <si>
    <t>29.10.29</t>
  </si>
  <si>
    <t>26.11.14</t>
  </si>
  <si>
    <t>26.11.29</t>
  </si>
  <si>
    <t>26.11.34</t>
  </si>
  <si>
    <t>29.10.34</t>
  </si>
  <si>
    <t>29.12.30</t>
  </si>
  <si>
    <t>Iron Ore (US $ /MT)</t>
  </si>
  <si>
    <t>China (CFR Tianjin Port)</t>
  </si>
  <si>
    <t>10.12.14</t>
  </si>
  <si>
    <t>10.12.19</t>
  </si>
  <si>
    <t>IIG</t>
  </si>
  <si>
    <t>E-Banking &amp; E-Commerce Statistics</t>
  </si>
  <si>
    <t>IXA</t>
  </si>
  <si>
    <t>IXB</t>
  </si>
  <si>
    <t>IXC</t>
  </si>
  <si>
    <t>XIIA</t>
  </si>
  <si>
    <t>XIIB</t>
  </si>
  <si>
    <t>TABLE-VI</t>
  </si>
  <si>
    <t xml:space="preserve">TABLE- VII </t>
  </si>
  <si>
    <t>TABLE-VIII</t>
  </si>
  <si>
    <t>TABLE-IXA</t>
  </si>
  <si>
    <t>TABLE-IXB</t>
  </si>
  <si>
    <t>TABLE-IXC</t>
  </si>
  <si>
    <t>TABLE-XI</t>
  </si>
  <si>
    <t>TABLE-XIIA (Contd.)</t>
  </si>
  <si>
    <t>TABLE-XIIA (Concld.)</t>
  </si>
  <si>
    <t>TABLE-XIIB</t>
  </si>
  <si>
    <t>TABLE-XIII (Contd.)</t>
  </si>
  <si>
    <t>TABLE-XIII (Concld.)</t>
  </si>
  <si>
    <t>TABLE-XIV</t>
  </si>
  <si>
    <t xml:space="preserve">TABLE-XVII (Contd.) </t>
  </si>
  <si>
    <t xml:space="preserve">TABLE-XVII (Concld.) </t>
  </si>
  <si>
    <t>TABLE-XIX</t>
  </si>
  <si>
    <t>TABLE-XX (Contd.)</t>
  </si>
  <si>
    <t>TABLE-XX (Concld.)</t>
  </si>
  <si>
    <t>TABLE-XXI (Contd.)</t>
  </si>
  <si>
    <t>TABLE-XXI (Concld.)</t>
  </si>
  <si>
    <t>TABLE-XXII</t>
  </si>
  <si>
    <t>Table-XXIII</t>
  </si>
  <si>
    <t xml:space="preserve">                E-BANKING &amp;  E-COMMERCE STATISTICS                   </t>
  </si>
  <si>
    <t xml:space="preserve">Period /Cluster of Banks </t>
  </si>
  <si>
    <t>Cheque Clearing</t>
  </si>
  <si>
    <t>Electronic Fund Transfers (Outward)</t>
  </si>
  <si>
    <t>Cards Transactions</t>
  </si>
  <si>
    <t>Mobile Banking</t>
  </si>
  <si>
    <t>Agent Banking</t>
  </si>
  <si>
    <t>Credit Cards</t>
  </si>
  <si>
    <t>Debit Cards</t>
  </si>
  <si>
    <t>Prepaid Cards Transactions</t>
  </si>
  <si>
    <t xml:space="preserve">Internationally Issued Cards Transactions                   </t>
  </si>
  <si>
    <t>Internationally Issued Cards Transactions</t>
  </si>
  <si>
    <t>MICR Clearing</t>
  </si>
  <si>
    <t>Non-MICR Clearing</t>
  </si>
  <si>
    <t>Usage at POS</t>
  </si>
  <si>
    <t>E-commerce</t>
  </si>
  <si>
    <t>Outstanding Credit (as on)</t>
  </si>
  <si>
    <t>Usage at ATMs</t>
  </si>
  <si>
    <t xml:space="preserve">    E-Commerce          </t>
  </si>
  <si>
    <t>Prepaid Cards</t>
  </si>
  <si>
    <t>No. of Internet Banking Customers (as on)</t>
  </si>
  <si>
    <t>Internet Banking Transactions</t>
  </si>
  <si>
    <t>No. of Mobile Banking Agents (as on)</t>
  </si>
  <si>
    <t>Mobile Banking Transactions</t>
  </si>
  <si>
    <t>No. of Mobile Banking Subscribers (as on)</t>
  </si>
  <si>
    <t>No. of Agents (as on)</t>
  </si>
  <si>
    <t>Agent Banking Transactions</t>
  </si>
  <si>
    <t>No. of Agent Banking Subscribers (as on)</t>
  </si>
  <si>
    <t>Local Transac-tions  (Issuing)</t>
  </si>
  <si>
    <t>Abroad Transac-tions (Issuing)</t>
  </si>
  <si>
    <t>Local Transac-tions (Issuing)</t>
  </si>
  <si>
    <t>Local Transactions (Issuing)</t>
  </si>
  <si>
    <t>Abroad Transactions (Issuing)</t>
  </si>
  <si>
    <t>ATM Transactions (Acquiring)</t>
  </si>
  <si>
    <t>POS Transactions (Acquiring)</t>
  </si>
  <si>
    <t>E-Commerce Transactions (Acquiring)</t>
  </si>
  <si>
    <t xml:space="preserve">No. of Transac-tions </t>
  </si>
  <si>
    <t>No. of Transac-tions</t>
  </si>
  <si>
    <t>No. of Transactions</t>
  </si>
  <si>
    <t>Number</t>
  </si>
  <si>
    <t>3=1+2</t>
  </si>
  <si>
    <t>11=5+6+7+8+9+10</t>
  </si>
  <si>
    <t>19=13+14+15+16+17+18</t>
  </si>
  <si>
    <t>25=22+23+24</t>
  </si>
  <si>
    <t>26=11+19+20+21+25</t>
  </si>
  <si>
    <t xml:space="preserve">             Usage at     ATMs</t>
  </si>
  <si>
    <t xml:space="preserve">              E-BANKING &amp;  E-COMMERCE STATISTICS                   </t>
  </si>
  <si>
    <t xml:space="preserve">Note: </t>
  </si>
  <si>
    <t>SCBs</t>
  </si>
  <si>
    <t>SBs</t>
  </si>
  <si>
    <t>PCBs</t>
  </si>
  <si>
    <t>Table IIG (Contd.)</t>
  </si>
  <si>
    <t>Cards   Transactions</t>
  </si>
  <si>
    <t>Internet   Banking</t>
  </si>
  <si>
    <t>No. of POS (in actual) (as on)</t>
  </si>
  <si>
    <t>Table IIG (Concld.)</t>
  </si>
  <si>
    <t>No. of ATMs (in actual) (as on)</t>
  </si>
  <si>
    <t xml:space="preserve">                  Cards    Transactions                                                                                                                                                             </t>
  </si>
  <si>
    <t>14.01.15</t>
  </si>
  <si>
    <t>14.01.20</t>
  </si>
  <si>
    <t>No. of Transa-ctions</t>
  </si>
  <si>
    <t>No. of Transacti-ons</t>
  </si>
  <si>
    <t>11.02.15</t>
  </si>
  <si>
    <t>11.02.20</t>
  </si>
  <si>
    <t>Exports (fob)</t>
  </si>
  <si>
    <t>Tk/US Dollar</t>
  </si>
  <si>
    <t xml:space="preserve">Million US $ </t>
  </si>
  <si>
    <t>UK Pound Sterling</t>
  </si>
  <si>
    <t>11.03.15</t>
  </si>
  <si>
    <t>11.03.20</t>
  </si>
  <si>
    <t>FCBs</t>
  </si>
  <si>
    <t>15.04.15</t>
  </si>
  <si>
    <t>15.04.20</t>
  </si>
  <si>
    <t>22.04.15</t>
  </si>
  <si>
    <t>22.04.25</t>
  </si>
  <si>
    <t>08.09.10</t>
  </si>
  <si>
    <t xml:space="preserve">With effect from 01.07.12  </t>
  </si>
  <si>
    <t>With effect from 23.05.15  &amp; onwards</t>
  </si>
  <si>
    <t>11.28*</t>
  </si>
  <si>
    <t>11.04**</t>
  </si>
  <si>
    <t>11.28***</t>
  </si>
  <si>
    <t>11.76***</t>
  </si>
  <si>
    <t>11.52****</t>
  </si>
  <si>
    <t>774136</t>
  </si>
  <si>
    <t>12.07</t>
  </si>
  <si>
    <t>6.06</t>
  </si>
  <si>
    <t>15.79</t>
  </si>
  <si>
    <t>XXVl</t>
  </si>
  <si>
    <t>2005-06*</t>
  </si>
  <si>
    <t>482337</t>
  </si>
  <si>
    <t>516383</t>
  </si>
  <si>
    <t>547437</t>
  </si>
  <si>
    <t>575056</t>
  </si>
  <si>
    <t>607097</t>
  </si>
  <si>
    <t>509545</t>
  </si>
  <si>
    <t>549505</t>
  </si>
  <si>
    <t>589547</t>
  </si>
  <si>
    <t>620614</t>
  </si>
  <si>
    <t>656241</t>
  </si>
  <si>
    <t>13.99</t>
  </si>
  <si>
    <t>14.35</t>
  </si>
  <si>
    <t>12.15</t>
  </si>
  <si>
    <t>13.11</t>
  </si>
  <si>
    <t>6.67</t>
  </si>
  <si>
    <t>7.06</t>
  </si>
  <si>
    <t>5.05</t>
  </si>
  <si>
    <t>5.57</t>
  </si>
  <si>
    <t>13.98</t>
  </si>
  <si>
    <t>14.18</t>
  </si>
  <si>
    <t>14.38</t>
  </si>
  <si>
    <t>14.58</t>
  </si>
  <si>
    <t>14.78</t>
  </si>
  <si>
    <t>36448</t>
  </si>
  <si>
    <t>34502</t>
  </si>
  <si>
    <t>36416</t>
  </si>
  <si>
    <t>41000</t>
  </si>
  <si>
    <t>42569</t>
  </si>
  <si>
    <t>44403</t>
  </si>
  <si>
    <t>38753</t>
  </si>
  <si>
    <t>38069</t>
  </si>
  <si>
    <t>39441</t>
  </si>
  <si>
    <t>41076</t>
  </si>
  <si>
    <t>30=27+28+29</t>
  </si>
  <si>
    <t xml:space="preserve">Number </t>
  </si>
  <si>
    <t>Number of Cards (net) (as on)</t>
  </si>
  <si>
    <t>16.07.15</t>
  </si>
  <si>
    <t>16.07.20</t>
  </si>
  <si>
    <t>2015-16</t>
  </si>
  <si>
    <t>12.08.15</t>
  </si>
  <si>
    <t>12.08.20</t>
  </si>
  <si>
    <t>29.07.15</t>
  </si>
  <si>
    <t>29.07.35</t>
  </si>
  <si>
    <t>22.07.15</t>
  </si>
  <si>
    <t>22.07.25</t>
  </si>
  <si>
    <t xml:space="preserve">SCBs=State-Owned Commercial Banks; SBs = Specialized Banks; PCBs = Private Commercial Banks; FCBs= Foreign Commercial Banks </t>
  </si>
  <si>
    <t>09.09.15</t>
  </si>
  <si>
    <t>09.09.20</t>
  </si>
  <si>
    <t>26.08.15</t>
  </si>
  <si>
    <t>26.08.30</t>
  </si>
  <si>
    <t>16.09.15</t>
  </si>
  <si>
    <t>16.09.25</t>
  </si>
  <si>
    <t>26.08.35</t>
  </si>
  <si>
    <t>23.09.15</t>
  </si>
  <si>
    <t>23.09.35</t>
  </si>
  <si>
    <t>23.09.30</t>
  </si>
  <si>
    <t>14.10.15</t>
  </si>
  <si>
    <t>14.10.20</t>
  </si>
  <si>
    <t xml:space="preserve"> Spread   (66-65)</t>
  </si>
  <si>
    <t xml:space="preserve"> Spread   (69-68)</t>
  </si>
  <si>
    <t xml:space="preserve">... = Not Available </t>
  </si>
  <si>
    <r>
      <t>Total Expenditure</t>
    </r>
    <r>
      <rPr>
        <sz val="8"/>
        <color indexed="8"/>
        <rFont val="Times New Roman"/>
        <family val="1"/>
      </rPr>
      <t>***</t>
    </r>
  </si>
  <si>
    <t>11.11.15</t>
  </si>
  <si>
    <t>28.10.15</t>
  </si>
  <si>
    <t>28.10.35</t>
  </si>
  <si>
    <t>28.10.30</t>
  </si>
  <si>
    <t>18.11.15</t>
  </si>
  <si>
    <t>18.11.25</t>
  </si>
  <si>
    <t>09.12.15</t>
  </si>
  <si>
    <t>09.12.20</t>
  </si>
  <si>
    <t>17.12.15</t>
  </si>
  <si>
    <t>25.11.15</t>
  </si>
  <si>
    <t>LXXXVIl</t>
  </si>
  <si>
    <t>LXXXVIIl</t>
  </si>
  <si>
    <t>25.11.35</t>
  </si>
  <si>
    <t>25.11.30</t>
  </si>
  <si>
    <t>17.12.25</t>
  </si>
  <si>
    <t>Jan-Mar</t>
  </si>
  <si>
    <t>Apr-Jun</t>
  </si>
  <si>
    <t>Jul-Sep</t>
  </si>
  <si>
    <t xml:space="preserve">    </t>
  </si>
  <si>
    <t>13.01.16</t>
  </si>
  <si>
    <t>10.02.16</t>
  </si>
  <si>
    <t>20.01.16</t>
  </si>
  <si>
    <t>20.01.26</t>
  </si>
  <si>
    <t>27.01.16</t>
  </si>
  <si>
    <t>27.01.31</t>
  </si>
  <si>
    <t>27.01.36</t>
  </si>
  <si>
    <t>17.02.16</t>
  </si>
  <si>
    <t>17.02.26</t>
  </si>
  <si>
    <t>24.02.16</t>
  </si>
  <si>
    <t>24.02.31</t>
  </si>
  <si>
    <t>24.02.36</t>
  </si>
  <si>
    <t>31.1034768 gms.</t>
  </si>
  <si>
    <t>5.50-8.50</t>
  </si>
  <si>
    <t>8.50-11.50</t>
  </si>
  <si>
    <t xml:space="preserve">… = Not available  </t>
  </si>
  <si>
    <t>Local        Authorities</t>
  </si>
  <si>
    <t>824862</t>
  </si>
  <si>
    <t>878410</t>
  </si>
  <si>
    <t>12.81</t>
  </si>
  <si>
    <t>6.55</t>
  </si>
  <si>
    <t>53013</t>
  </si>
  <si>
    <t>09.03.16</t>
  </si>
  <si>
    <t>11.11.20</t>
  </si>
  <si>
    <t>13.01.21</t>
  </si>
  <si>
    <t>10.02.21</t>
  </si>
  <si>
    <t>09.03.21</t>
  </si>
  <si>
    <t>16.03.26</t>
  </si>
  <si>
    <t>23.03.16</t>
  </si>
  <si>
    <t>23.03.36</t>
  </si>
  <si>
    <t>9.50-12.50</t>
  </si>
  <si>
    <t>10.50-13.50</t>
  </si>
  <si>
    <t>11.50-14.50</t>
  </si>
  <si>
    <t>13.50-16.50</t>
  </si>
  <si>
    <t>12.50-15.50</t>
  </si>
  <si>
    <t>7.50-10.50</t>
  </si>
  <si>
    <t xml:space="preserve">   Milk &amp;      Dairy  Products</t>
  </si>
  <si>
    <t>13.04.16</t>
  </si>
  <si>
    <t>13.04.21</t>
  </si>
  <si>
    <t>20.04.26</t>
  </si>
  <si>
    <t>27.04.16</t>
  </si>
  <si>
    <t>27.04.36</t>
  </si>
  <si>
    <t>6.00-9.00</t>
  </si>
  <si>
    <t>11.05.16</t>
  </si>
  <si>
    <t>11.05.21</t>
  </si>
  <si>
    <t>18.05.26</t>
  </si>
  <si>
    <t>25.05.16</t>
  </si>
  <si>
    <t>25.05.31</t>
  </si>
  <si>
    <t>25.05.36</t>
  </si>
  <si>
    <t>2016-17</t>
  </si>
  <si>
    <t>Note: From period 2015 BDBL &amp; BASIC banks are treated as State Owned Banks</t>
  </si>
  <si>
    <t>13.07.16</t>
  </si>
  <si>
    <t>15.06.16</t>
  </si>
  <si>
    <t>15.06.21</t>
  </si>
  <si>
    <t>10.08.16</t>
  </si>
  <si>
    <t>20.07.16</t>
  </si>
  <si>
    <t>20.07.26</t>
  </si>
  <si>
    <t>22.06.26</t>
  </si>
  <si>
    <t>29.06.16</t>
  </si>
  <si>
    <t>29.06.31</t>
  </si>
  <si>
    <t>27.07.16</t>
  </si>
  <si>
    <t>27.07.31</t>
  </si>
  <si>
    <t>25.05.11</t>
  </si>
  <si>
    <t>29.06.11</t>
  </si>
  <si>
    <t>27.07.11</t>
  </si>
  <si>
    <t xml:space="preserve"> 28.09.31</t>
  </si>
  <si>
    <t>29.06.36</t>
  </si>
  <si>
    <t>27.07.36</t>
  </si>
  <si>
    <t>17.08.16</t>
  </si>
  <si>
    <t>24.08.16</t>
  </si>
  <si>
    <t>24.08.31</t>
  </si>
  <si>
    <t>Rate of interest of Scheduled Banks (Weighted Average)</t>
  </si>
  <si>
    <t>Rate of interest of NBFIs (Weighted Average)</t>
  </si>
  <si>
    <t xml:space="preserve">2016-17 </t>
  </si>
  <si>
    <t xml:space="preserve">July </t>
  </si>
  <si>
    <t>COMPANY /SECTOR                                                                                                                                             GROUPS</t>
  </si>
  <si>
    <t>9.00-14.00</t>
  </si>
  <si>
    <t xml:space="preserve">    --- = Not Available</t>
  </si>
  <si>
    <t xml:space="preserve">Figures relating to Islamic Investment Bond are re-classified as claims on other public sector instead of other assets  </t>
  </si>
  <si>
    <t xml:space="preserve"> By NBDCs       In Taka A/C</t>
  </si>
  <si>
    <t>13.10.16</t>
  </si>
  <si>
    <t>13.10.21</t>
  </si>
  <si>
    <t>XCVIII</t>
  </si>
  <si>
    <t>29.09.16</t>
  </si>
  <si>
    <t>19.10.16</t>
  </si>
  <si>
    <t>28.09.16</t>
  </si>
  <si>
    <t>28.09.31</t>
  </si>
  <si>
    <t>28.09.36</t>
  </si>
  <si>
    <t>26.10.11</t>
  </si>
  <si>
    <t>24.08.11</t>
  </si>
  <si>
    <t>28.09.11</t>
  </si>
  <si>
    <t>*= New base year 2005-06</t>
  </si>
  <si>
    <t>09.11.16</t>
  </si>
  <si>
    <t>09.11.21</t>
  </si>
  <si>
    <t>26.10.16</t>
  </si>
  <si>
    <t>26.10.31</t>
  </si>
  <si>
    <t>28.12.11</t>
  </si>
  <si>
    <t>26.10.36</t>
  </si>
  <si>
    <t>14.12.16</t>
  </si>
  <si>
    <t>16.11.16</t>
  </si>
  <si>
    <t>23.11.16</t>
  </si>
  <si>
    <t>23.11.36</t>
  </si>
  <si>
    <t>3.55-6.00</t>
  </si>
  <si>
    <t>55631</t>
  </si>
  <si>
    <t>United States (Kansas City)</t>
  </si>
  <si>
    <t>Palm Oil                         (US $/MT)</t>
  </si>
  <si>
    <t>Wheat                                                   (US $/MT)</t>
  </si>
  <si>
    <t>11.01.17</t>
  </si>
  <si>
    <t>21.12.16</t>
  </si>
  <si>
    <t>28.12.16</t>
  </si>
  <si>
    <t>28.12.31</t>
  </si>
  <si>
    <t>28.12.36</t>
  </si>
  <si>
    <t>Import Payments</t>
  </si>
  <si>
    <t>15.02.17</t>
  </si>
  <si>
    <t>05.02.22</t>
  </si>
  <si>
    <t>18.01.17</t>
  </si>
  <si>
    <t>25.01.17</t>
  </si>
  <si>
    <t>25.01.32</t>
  </si>
  <si>
    <t>25.01.37</t>
  </si>
  <si>
    <t>Government Notes &amp; Coins</t>
  </si>
  <si>
    <t>=100 &amp; new base 2005-06=100)</t>
  </si>
  <si>
    <t>from October 2004 to December 2015 and again reclassified as claims on Govt. from January 2016 &amp; onwards</t>
  </si>
  <si>
    <t>3. Export data are shipment based &amp; Import data are on C&amp;F/CIF basis upto June 2014 and fob basis from July 2014 &amp; onwards</t>
  </si>
  <si>
    <t>Statistics Department,  Bangladesh Bank  </t>
  </si>
  <si>
    <t>Statistics Department , Bangladesh Bank  </t>
  </si>
  <si>
    <t>Statistics Department, Bangladesh Bank  </t>
  </si>
  <si>
    <t>Statistics Department, Bangladesh Bank</t>
  </si>
  <si>
    <r>
      <t xml:space="preserve">Source : </t>
    </r>
    <r>
      <rPr>
        <sz val="7"/>
        <rFont val="Times New Roman"/>
        <family val="1"/>
      </rPr>
      <t xml:space="preserve"> Statistics Department, Bangladesh Bank</t>
    </r>
  </si>
  <si>
    <t xml:space="preserve">     Source: Statistics Department, Bangladesh Bank</t>
  </si>
  <si>
    <t xml:space="preserve">Source: Statistics Department, Bangladesh Bank   </t>
  </si>
  <si>
    <t xml:space="preserve">Statistics Department,   Bangladesh Bank      </t>
  </si>
  <si>
    <r>
      <rPr>
        <b/>
        <sz val="8"/>
        <rFont val="Times New Roman"/>
        <family val="1"/>
      </rPr>
      <t>Source  :</t>
    </r>
    <r>
      <rPr>
        <sz val="8"/>
        <rFont val="Times New Roman"/>
        <family val="1"/>
      </rPr>
      <t xml:space="preserve">  Bangladesh Bureau of Statistics</t>
    </r>
  </si>
  <si>
    <r>
      <rPr>
        <b/>
        <sz val="8"/>
        <color indexed="8"/>
        <rFont val="Times New Roman"/>
        <family val="1"/>
      </rPr>
      <t xml:space="preserve">Source : </t>
    </r>
    <r>
      <rPr>
        <sz val="8"/>
        <color indexed="8"/>
        <rFont val="Times New Roman"/>
        <family val="1"/>
      </rPr>
      <t xml:space="preserve"> Bangladesh Bureau of Statistics</t>
    </r>
  </si>
  <si>
    <t>Bangladesh Bureau of Statistics</t>
  </si>
  <si>
    <t xml:space="preserve"> *= New base Year 2005-06</t>
  </si>
  <si>
    <r>
      <t>Source</t>
    </r>
    <r>
      <rPr>
        <sz val="8"/>
        <rFont val="Times New Roman"/>
        <family val="1"/>
      </rPr>
      <t xml:space="preserve"> : Bangladesh Bureau of Statistics</t>
    </r>
  </si>
  <si>
    <t xml:space="preserve">   *= New base year 2005-06</t>
  </si>
  <si>
    <t xml:space="preserve">Source  :  Banking Regulation &amp; Policy Department, Bangladesh Bank                                                                                                                                  </t>
  </si>
  <si>
    <r>
      <t>Source :</t>
    </r>
    <r>
      <rPr>
        <sz val="7"/>
        <color indexed="8"/>
        <rFont val="Times New Roman"/>
        <family val="1"/>
      </rPr>
      <t xml:space="preserve"> Statistics Department, Bangladesh Bank</t>
    </r>
  </si>
  <si>
    <t>Debt Management Department, Bangladesh Bank</t>
  </si>
  <si>
    <t>Source: Statistics Department, Bangladesh Bank</t>
  </si>
  <si>
    <t>Statistics Deparement, Bangladesh Bank</t>
  </si>
  <si>
    <t>International Financial Statistics</t>
  </si>
  <si>
    <t>11.00-12.00</t>
  </si>
  <si>
    <t>9.75-12.75</t>
  </si>
  <si>
    <t>NSD</t>
  </si>
  <si>
    <t>1. Bangladesh Jute Association</t>
  </si>
  <si>
    <t>              2. Department of Agricultural Marketing</t>
  </si>
  <si>
    <t>              3. Bangladesh Bureau of Statistics</t>
  </si>
  <si>
    <t>              4. Bangladesh Tea Board</t>
  </si>
  <si>
    <t>22.02.17</t>
  </si>
  <si>
    <t>01.03.17</t>
  </si>
  <si>
    <t>01.03.32</t>
  </si>
  <si>
    <t>01.03.37</t>
  </si>
  <si>
    <t>27.08.28</t>
  </si>
  <si>
    <t>Pharmaceu-ticals &amp; Chemicals</t>
  </si>
  <si>
    <t>Fuel &amp; Power</t>
  </si>
  <si>
    <t>Food &amp; Allied Products</t>
  </si>
  <si>
    <t>Paper &amp; Printing</t>
  </si>
  <si>
    <t>Services &amp; Real Estate</t>
  </si>
  <si>
    <t>Import &amp; Inland Bills Purchased and Discounted</t>
  </si>
  <si>
    <t>Forex Reserves &amp; Exchange Rate)</t>
  </si>
  <si>
    <t xml:space="preserve">Selected Economic Indicators ( Inflation, Production Index, Foreign Trade, Forex Reserves &amp; Exchange Rate) </t>
  </si>
  <si>
    <t>Reserve Money &amp; its Components</t>
  </si>
  <si>
    <t>Reserve Money &amp; its Sources</t>
  </si>
  <si>
    <t>RESERVE MONEY &amp; ITS COMPONENTS</t>
  </si>
  <si>
    <t>RESERVE MONEY &amp; ITS SOURCES</t>
  </si>
  <si>
    <t xml:space="preserve">Net Errors &amp; Ommissions                                    </t>
  </si>
  <si>
    <t>FOREIGN DIRECT INVESTMENT (FDI) INFLOWS &amp; STOCKS BY COMPONENTS IN BANGLADESH</t>
  </si>
  <si>
    <t>Foreign Direct Investment (FDI) Inflows &amp; Stocks by Components in Bangladesh</t>
  </si>
  <si>
    <t>Naptha, Furnace oil &amp; Bitumen</t>
  </si>
  <si>
    <t xml:space="preserve">Plastic &amp; Rubber arti-cles thereof </t>
  </si>
  <si>
    <t>Textile &amp; articles thereof</t>
  </si>
  <si>
    <t>Iron &amp; Steel</t>
  </si>
  <si>
    <t>Consumer Price Index &amp; Inflation Rate in Bangladesh</t>
  </si>
  <si>
    <t xml:space="preserve">CONSUMER PRICE INDEX &amp; </t>
  </si>
  <si>
    <t>Medical care &amp; Health Expenses</t>
  </si>
  <si>
    <t>Hides &amp; Skins (wholesale)</t>
  </si>
  <si>
    <t>Mining &amp; Quarry-ing</t>
  </si>
  <si>
    <t>Whole-sale      &amp; Retail Trade</t>
  </si>
  <si>
    <t>Hotel &amp; Restau-rants</t>
  </si>
  <si>
    <t>Transport, Storage &amp; Commu-nication</t>
  </si>
  <si>
    <t>Real Estate, Renting &amp; Business Activities</t>
  </si>
  <si>
    <t>Public Adminis-tration     &amp; Defence</t>
  </si>
  <si>
    <t>Health &amp;      Social Works</t>
  </si>
  <si>
    <t>Commu-nity, Social &amp; Personal Services</t>
  </si>
  <si>
    <t>Agricul-ture &amp; Forestry</t>
  </si>
  <si>
    <t>Whole-sale     &amp; Retail Trade</t>
  </si>
  <si>
    <t xml:space="preserve">INDEX NUMBER OF ORDINARY SHARE PRICES, TURN OVER, ISSUED CAPITAL &amp; </t>
  </si>
  <si>
    <t>Index Number of  Ordinary Share Prices, Turn Over, Issued Capital &amp; Total Number of Companies Listed with the Dhaka Stock Exchange Ltd.</t>
  </si>
  <si>
    <t xml:space="preserve"> BANK RATE &amp; INTEREST RATE STRUCTURE OF POST OFFICE SAVINGS BANK, HOUSE  </t>
  </si>
  <si>
    <t xml:space="preserve"> BUILDING FINANCE CORPORATION &amp; NATIONAL SAVINGS CERTIFICATES     </t>
  </si>
  <si>
    <t>Bank Rate &amp; Interest Rate Structure of Post Office Savings Bank, House Building Finance Corporation &amp; National Savings Certificates</t>
  </si>
  <si>
    <t>100.00 crore &amp; above</t>
  </si>
  <si>
    <t>1)   Bureau of Manpower, Employment &amp; Training</t>
  </si>
  <si>
    <t>From July'14 Myanmar Kyat has been changed due to floating exchange rate</t>
  </si>
  <si>
    <t>UK  Pound   Sterling</t>
  </si>
  <si>
    <t>UAE  Derham</t>
  </si>
  <si>
    <t>OF THE GOVERNMENT UNDER NBR &amp; OTHERS</t>
  </si>
  <si>
    <t>Selected Tax Revenue Receipts of the Government Under NBR &amp; Others</t>
  </si>
  <si>
    <t>Number of Persons Left for Abroad on Employment &amp; Total Workers’ Remittances</t>
  </si>
  <si>
    <t>NUMBER OF PERSONS LEFT FOR ABROAD ON EMPLOYMENT  &amp;  TOTAL WORKERS'  REMITTANCES</t>
  </si>
  <si>
    <t>Selected Economic Indicators (Money &amp; Banking)</t>
  </si>
  <si>
    <t xml:space="preserve">(Money &amp; </t>
  </si>
  <si>
    <t>(Money &amp;</t>
  </si>
  <si>
    <t xml:space="preserve">            (Money &amp;</t>
  </si>
  <si>
    <t>Appendix : Weights &amp; Measures</t>
  </si>
  <si>
    <t>Weights &amp; Measures</t>
  </si>
  <si>
    <t>Note : F &amp; C indicate Fahrenheit &amp; Celsius Scale Respectively</t>
  </si>
  <si>
    <t>Statistics Department, Bangladesh Bank and EPB</t>
  </si>
  <si>
    <t>1. Upto June'12 data was complied on the basis of IMFs' BPM5 &amp; From July'12, BPM6 has been implemented</t>
  </si>
  <si>
    <t>2)  Upto May, 2016 Foreign Exchange Policy Department &amp; From June, 2016 Statistics Department, Bangladesh Bank</t>
  </si>
  <si>
    <t>Suggestions/Comments for improvement in the contents of this booklet would  highly be appreciated. Users may kindly contact the following email addresses with their suggestions/comments and queries, if any:</t>
  </si>
  <si>
    <t xml:space="preserve">Head Office, Dhaka    </t>
  </si>
  <si>
    <t>Market price (f.o.b.) of Raw Jute of Narayangonj</t>
  </si>
  <si>
    <t>iii)  9 percent of savings deposits are included in Demand Deposits with effect from July 2007</t>
  </si>
  <si>
    <t>Oct-Dec</t>
  </si>
  <si>
    <t>i)  DMBs advances to public &amp; private include balances with OFIs, NFIs, NBDCs and money at call &amp; short notice</t>
  </si>
  <si>
    <t xml:space="preserve">1. Total number of Clearing House Centres are 39 of which 8 are managed by the Bangladesh Bank &amp; the rest by the Sonali Bank Ltd </t>
  </si>
  <si>
    <t xml:space="preserve">Scheduled banks' branches exclude branches outside Bangladesh        </t>
  </si>
  <si>
    <t xml:space="preserve">2. Due to inclusion of Table IIG (column 3) figure of column 56 &amp; 57  have been dropped from July 2014 </t>
  </si>
  <si>
    <t xml:space="preserve"> rates from July 2009 &amp; onwards</t>
  </si>
  <si>
    <t>Rate of inflation (Base: 1995-96) data discontinued from August 2013 due to dropping of BBS data</t>
  </si>
  <si>
    <t>Wholesale Price Indices data discontinued from 2006-07 due to dropping of BBS data</t>
  </si>
  <si>
    <t>2. 12- month average changes in CPI indicate the average change of the last  12- month over the corresponding previous 12- month</t>
  </si>
  <si>
    <t>1. Point- to- point changes in CPI indicate the changes over the corresponding month of the previous year</t>
  </si>
  <si>
    <t>1. Export figures  include that of EPZ</t>
  </si>
  <si>
    <t>2. Weighted average exchange rate represents the inter-bank exchange rate</t>
  </si>
  <si>
    <t>1. Export Promotion Bureau (EPB) for export data    2. Statistics Department, Bangladesh Bank for import data</t>
  </si>
  <si>
    <t>3. Accounts &amp; Budgeting Department, Bangladesh Bank for foreign exchange reserves</t>
  </si>
  <si>
    <t xml:space="preserve">      deposits held in the banking system (BB &amp; DMBs)</t>
  </si>
  <si>
    <t xml:space="preserve">NBDC  =  Non-Bank Depository Corporation </t>
  </si>
  <si>
    <t xml:space="preserve">NSD =  National Savings Directorate                                                                                                                                                                           </t>
  </si>
  <si>
    <t>MICR= Magnetic Ink Character Recognition; ATM = Automated Teller Machine; POS = Point of Sale</t>
  </si>
  <si>
    <t>i) Data have been valued using the concept of the "Own Funds at Book Value (OFBV)", which may differ from market value of stocks</t>
  </si>
  <si>
    <t>ii) Inflow figures are recorded as during the period but stock figures are recorded as end period</t>
  </si>
  <si>
    <t>Export data are on fob basis</t>
  </si>
  <si>
    <t>Figures within the parentheses indicate the percentage of sectoral share to total GDP at current market price</t>
  </si>
  <si>
    <t>Figures within the parentheses indicate the percentage of sectoral share to total GDP at constant market price</t>
  </si>
  <si>
    <r>
      <t>Note</t>
    </r>
    <r>
      <rPr>
        <sz val="8"/>
        <rFont val="Times New Roman"/>
        <family val="1"/>
      </rPr>
      <t xml:space="preserve">     : Figures within parentheses represent million US dollar</t>
    </r>
  </si>
  <si>
    <t>Dhaka Stock Exchange Ltd (DSE)</t>
  </si>
  <si>
    <t>***Total expenditure includes foreign currency revaluation (loss)                        …= Not applicable/available</t>
  </si>
  <si>
    <t>Six decimal places is used for conversion of US$ to Tk</t>
  </si>
  <si>
    <t>Upto May, 2016 Foreign Exchange Policy Department &amp; From June, 2016 Statistics Department, Bangladesh Bank</t>
  </si>
  <si>
    <t>2. Exchange rates between Taka &amp; other foreign currencies (except USD) are based on their cross rates with US dollar</t>
  </si>
  <si>
    <r>
      <t>Source:</t>
    </r>
    <r>
      <rPr>
        <sz val="8"/>
        <color indexed="8"/>
        <rFont val="Times New Roman"/>
        <family val="1"/>
      </rPr>
      <t xml:space="preserve"> National Board of Revenue and Bangladesh Bureau of Statistics</t>
    </r>
  </si>
  <si>
    <t xml:space="preserve">             ... = Not available                    P = Provisional   </t>
  </si>
  <si>
    <t>Oct- Dec</t>
  </si>
  <si>
    <t>Jan- Mar</t>
  </si>
  <si>
    <t>Apr- Jun</t>
  </si>
  <si>
    <t>Jul- Sep</t>
  </si>
  <si>
    <t xml:space="preserve">Al-Arafah  Islami Bank </t>
  </si>
  <si>
    <t>Bangladesh Bank (BB) Notes</t>
  </si>
  <si>
    <t xml:space="preserve">NBDC=Non-Bank Depository Corporation                             </t>
  </si>
  <si>
    <t xml:space="preserve">1. Taka/USD exchange rate represents the mid-value of buying &amp; selling  rates of Bangladesh Bank ( up to May 30, 2003)   </t>
  </si>
  <si>
    <t>(+) indicates appreciation while (-) indicates depreciation</t>
  </si>
  <si>
    <t>Banks have been subdivided into banks and financial institutions &amp; Investment has been renamed as mutual fund from January'10</t>
  </si>
  <si>
    <r>
      <t xml:space="preserve">Note     :      </t>
    </r>
    <r>
      <rPr>
        <sz val="7"/>
        <rFont val="Times New Roman"/>
        <family val="1"/>
      </rPr>
      <t xml:space="preserve">Miscellaneous includes IT-Sector, Tannery, Ceramic, Travel &amp; Corporate bond </t>
    </r>
  </si>
  <si>
    <t>P=Provisional</t>
  </si>
  <si>
    <t>5.00-5.50</t>
  </si>
  <si>
    <t>05.07.17</t>
  </si>
  <si>
    <t>05.07.19</t>
  </si>
  <si>
    <t>12.07.17</t>
  </si>
  <si>
    <t>12.07.22</t>
  </si>
  <si>
    <t>21.06.17</t>
  </si>
  <si>
    <t>21.06.27</t>
  </si>
  <si>
    <t>22.06.17</t>
  </si>
  <si>
    <t>22.06.32</t>
  </si>
  <si>
    <t>22.06.37</t>
  </si>
  <si>
    <t>19.07.17</t>
  </si>
  <si>
    <t>19.07.27</t>
  </si>
  <si>
    <t>2017-18</t>
  </si>
  <si>
    <t>4.00-9.00</t>
  </si>
  <si>
    <t>BKB</t>
  </si>
  <si>
    <t>7.00-9.00</t>
  </si>
  <si>
    <t>7.50-9.00</t>
  </si>
  <si>
    <t>8.00-9.00</t>
  </si>
  <si>
    <t>14.06.17</t>
  </si>
  <si>
    <t>14.06.22</t>
  </si>
  <si>
    <t>4.00-7.00</t>
  </si>
  <si>
    <t>2.75-3.75</t>
  </si>
  <si>
    <t>06.09.17</t>
  </si>
  <si>
    <t>06.09.19</t>
  </si>
  <si>
    <t>13.09.17</t>
  </si>
  <si>
    <t>13.09.22</t>
  </si>
  <si>
    <r>
      <t>Balances with BB</t>
    </r>
    <r>
      <rPr>
        <b/>
        <vertAlign val="superscript"/>
        <sz val="10"/>
        <rFont val="Times New Roman"/>
        <family val="1"/>
      </rPr>
      <t>1</t>
    </r>
  </si>
  <si>
    <t>2.Total credit to government (gross) by the banking system equals to total claims on government (gross) excluding government</t>
  </si>
  <si>
    <t xml:space="preserve"> currency held in BB &amp; counter entry for government currency    3. Amount in Government over-draft A/C.  is included in loans &amp; advances by Bangladesh Bank </t>
  </si>
  <si>
    <t>1.  Balance with BB excludes FC clearing A/C</t>
  </si>
  <si>
    <r>
      <t>Total Credit to Govt.</t>
    </r>
    <r>
      <rPr>
        <vertAlign val="superscript"/>
        <sz val="9"/>
        <rFont val="Times New Roman"/>
        <family val="1"/>
      </rPr>
      <t>2</t>
    </r>
    <r>
      <rPr>
        <sz val="9"/>
        <rFont val="Times New Roman"/>
        <family val="1"/>
      </rPr>
      <t xml:space="preserve"> (45+46+ 47+48)</t>
    </r>
  </si>
  <si>
    <r>
      <t xml:space="preserve">Loans &amp; Advances </t>
    </r>
    <r>
      <rPr>
        <vertAlign val="superscript"/>
        <sz val="8"/>
        <rFont val="Times New Roman"/>
        <family val="1"/>
      </rPr>
      <t>3</t>
    </r>
  </si>
  <si>
    <r>
      <t>Excess Reserve</t>
    </r>
    <r>
      <rPr>
        <vertAlign val="superscript"/>
        <sz val="9"/>
        <rFont val="Times New Roman"/>
        <family val="1"/>
      </rPr>
      <t>4</t>
    </r>
    <r>
      <rPr>
        <sz val="9"/>
        <rFont val="Times New Roman"/>
        <family val="1"/>
      </rPr>
      <t xml:space="preserve">  (42-40)</t>
    </r>
  </si>
  <si>
    <r>
      <t>Total</t>
    </r>
    <r>
      <rPr>
        <vertAlign val="superscript"/>
        <sz val="9"/>
        <rFont val="Times New Roman"/>
        <family val="1"/>
      </rPr>
      <t>1</t>
    </r>
    <r>
      <rPr>
        <sz val="9"/>
        <rFont val="Times New Roman"/>
        <family val="1"/>
      </rPr>
      <t xml:space="preserve">       (4+5)</t>
    </r>
  </si>
  <si>
    <t>1.Total credit to government (net) by the banking system equals to total claims on government (gross) excluding government</t>
  </si>
  <si>
    <r>
      <t>Government (Net)</t>
    </r>
    <r>
      <rPr>
        <b/>
        <vertAlign val="superscript"/>
        <sz val="9"/>
        <color indexed="8"/>
        <rFont val="Times New Roman"/>
        <family val="1"/>
      </rPr>
      <t>1</t>
    </r>
  </si>
  <si>
    <t xml:space="preserve">Amount (Tk in Crore) </t>
  </si>
  <si>
    <t>Amount (Tk in Crore)</t>
  </si>
  <si>
    <r>
      <t>General Index/ DSE Broad Index</t>
    </r>
    <r>
      <rPr>
        <vertAlign val="superscript"/>
        <sz val="9"/>
        <rFont val="Times New Roman"/>
        <family val="1"/>
      </rPr>
      <t>1</t>
    </r>
  </si>
  <si>
    <t xml:space="preserve">    Total Issued          Capital  (Tk in crore)</t>
  </si>
  <si>
    <t xml:space="preserve">      Turn Over            (Tk in crore)                                        </t>
  </si>
  <si>
    <t>Total No. of Companies</t>
  </si>
  <si>
    <t xml:space="preserve"> Total No. of Companies</t>
  </si>
  <si>
    <t>LISTED WITH THE DHAKA STOCK EXCHANGE LTD</t>
  </si>
  <si>
    <t>UAE</t>
  </si>
  <si>
    <t>UK</t>
  </si>
  <si>
    <t>USA</t>
  </si>
  <si>
    <t>Narrow         Money         (M1) (5+8+12)</t>
  </si>
  <si>
    <t>Broad          Money       (M2)      (9+13)</t>
  </si>
  <si>
    <t>Total    Liqui-      dity     (M2) </t>
  </si>
  <si>
    <t>SURVEY ( M2)</t>
  </si>
  <si>
    <t xml:space="preserve"> Broad          Money        (M2)      (3+13)</t>
  </si>
  <si>
    <t>SURVEY ( M3)</t>
  </si>
  <si>
    <t>Broad         Money         (M3)     (4+17)</t>
  </si>
  <si>
    <r>
      <t>1. Claims on Govt.(net) reported by the banking sector in M2</t>
    </r>
    <r>
      <rPr>
        <vertAlign val="subscript"/>
        <sz val="7"/>
        <rFont val="Times New Roman"/>
        <family val="1"/>
      </rPr>
      <t xml:space="preserve"> </t>
    </r>
    <r>
      <rPr>
        <sz val="7"/>
        <rFont val="Times New Roman"/>
        <family val="1"/>
      </rPr>
      <t>differs with M3</t>
    </r>
    <r>
      <rPr>
        <vertAlign val="subscript"/>
        <sz val="7"/>
        <rFont val="Times New Roman"/>
        <family val="1"/>
      </rPr>
      <t xml:space="preserve"> </t>
    </r>
    <r>
      <rPr>
        <sz val="7"/>
        <rFont val="Times New Roman"/>
        <family val="1"/>
      </rPr>
      <t xml:space="preserve">due to exclusion of </t>
    </r>
  </si>
  <si>
    <t>TOTAL NUMBER OF COMPANIES LISTED WITH THE DHAKA STOCK EXCHANGE LTD</t>
  </si>
  <si>
    <t>EURO</t>
  </si>
  <si>
    <r>
      <t>2017-18</t>
    </r>
    <r>
      <rPr>
        <b/>
        <vertAlign val="superscript"/>
        <sz val="8"/>
        <color indexed="8"/>
        <rFont val="Times New Roman"/>
        <family val="1"/>
      </rPr>
      <t>P</t>
    </r>
  </si>
  <si>
    <r>
      <t xml:space="preserve">  3) 5 years Wage Earners Development Bond</t>
    </r>
    <r>
      <rPr>
        <b/>
        <vertAlign val="superscript"/>
        <sz val="9"/>
        <color indexed="8"/>
        <rFont val="Times New Roman"/>
        <family val="1"/>
      </rPr>
      <t xml:space="preserve"> 1</t>
    </r>
  </si>
  <si>
    <r>
      <t xml:space="preserve">  4) 3 years USD Premium Bond</t>
    </r>
    <r>
      <rPr>
        <b/>
        <vertAlign val="superscript"/>
        <sz val="8"/>
        <color indexed="8"/>
        <rFont val="Arial Narrow"/>
        <family val="2"/>
      </rPr>
      <t xml:space="preserve"> </t>
    </r>
    <r>
      <rPr>
        <b/>
        <sz val="8"/>
        <color indexed="8"/>
        <rFont val="Arial Narrow"/>
        <family val="2"/>
      </rPr>
      <t xml:space="preserve">for non-resident Bangladeshi </t>
    </r>
    <r>
      <rPr>
        <b/>
        <vertAlign val="superscript"/>
        <sz val="8"/>
        <color indexed="8"/>
        <rFont val="Arial Narrow"/>
        <family val="2"/>
      </rPr>
      <t>2</t>
    </r>
  </si>
  <si>
    <r>
      <t xml:space="preserve">  5) 3 years USD Investment Bond for non-resident Bangladeshi </t>
    </r>
    <r>
      <rPr>
        <b/>
        <vertAlign val="superscript"/>
        <sz val="8.5"/>
        <color indexed="8"/>
        <rFont val="Arial Narrow"/>
        <family val="2"/>
      </rPr>
      <t>3</t>
    </r>
  </si>
  <si>
    <t>2. Interest is payable in BDT &amp; principal amount will be paid either in  USD or BDT as per option of the bond holder</t>
  </si>
  <si>
    <t>Habib Bank</t>
  </si>
  <si>
    <t>11.10.17</t>
  </si>
  <si>
    <t>20.09.17</t>
  </si>
  <si>
    <t>20.09.27</t>
  </si>
  <si>
    <t>26.09.17</t>
  </si>
  <si>
    <t>26.09.32</t>
  </si>
  <si>
    <t>26.09.37</t>
  </si>
  <si>
    <t>Source   :</t>
  </si>
  <si>
    <t xml:space="preserve">ii) Claims on resident sector exclude inter-bank claims      </t>
  </si>
  <si>
    <t>Source     :</t>
  </si>
  <si>
    <t>Note         :</t>
  </si>
  <si>
    <t>End of      Period</t>
  </si>
  <si>
    <t xml:space="preserve">…= Not available   </t>
  </si>
  <si>
    <t>Source      :</t>
  </si>
  <si>
    <r>
      <t xml:space="preserve">       </t>
    </r>
    <r>
      <rPr>
        <b/>
        <sz val="5.5"/>
        <rFont val="Times New Roman"/>
        <family val="1"/>
      </rPr>
      <t>Note      :</t>
    </r>
    <r>
      <rPr>
        <sz val="5.5"/>
        <rFont val="Times New Roman"/>
        <family val="1"/>
      </rPr>
      <t xml:space="preserve">  </t>
    </r>
  </si>
  <si>
    <r>
      <t xml:space="preserve">Note         </t>
    </r>
    <r>
      <rPr>
        <sz val="5.5"/>
        <rFont val="Times New Roman"/>
        <family val="1"/>
      </rPr>
      <t xml:space="preserve">: </t>
    </r>
  </si>
  <si>
    <r>
      <t>Note        :</t>
    </r>
    <r>
      <rPr>
        <sz val="6"/>
        <rFont val="Times New Roman"/>
        <family val="1"/>
      </rPr>
      <t xml:space="preserve">  </t>
    </r>
  </si>
  <si>
    <r>
      <t>Source     :</t>
    </r>
    <r>
      <rPr>
        <sz val="6"/>
        <rFont val="Times New Roman"/>
        <family val="1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</si>
  <si>
    <r>
      <t xml:space="preserve">           Note   :</t>
    </r>
    <r>
      <rPr>
        <sz val="6"/>
        <rFont val="Times New Roman"/>
        <family val="1"/>
      </rPr>
      <t xml:space="preserve">  </t>
    </r>
  </si>
  <si>
    <r>
      <t xml:space="preserve">             Source    :</t>
    </r>
    <r>
      <rPr>
        <sz val="6"/>
        <rFont val="Times New Roman"/>
        <family val="1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</si>
  <si>
    <t xml:space="preserve">Note        :       </t>
  </si>
  <si>
    <t xml:space="preserve">ii) Claims on Resident Sector exclude BB &amp; ODCs    </t>
  </si>
  <si>
    <r>
      <t xml:space="preserve">Note           : </t>
    </r>
    <r>
      <rPr>
        <sz val="8"/>
        <rFont val="Times New Roman"/>
        <family val="1"/>
      </rPr>
      <t xml:space="preserve">     </t>
    </r>
  </si>
  <si>
    <t>1. *As per BPM6, Net Errors &amp; Ommissions= -(Current Account Balance+Capital Account (Net) - Financial Account (Net))</t>
  </si>
  <si>
    <t>2. As per BPM5, Net Errors &amp; Ommissions= -(Current Account Balance+Capital Account (Net) + Financial Account (Net))</t>
  </si>
  <si>
    <t xml:space="preserve">Note      :      </t>
  </si>
  <si>
    <t xml:space="preserve">i) Oil Products = Soya bean + Vegetable Oil (Dalda) </t>
  </si>
  <si>
    <t xml:space="preserve">ii) Fertilizer = Urea + Ammonium Sulphate + TSP + SSP + DAP </t>
  </si>
  <si>
    <t>iii) Chemicals = Caustic Soda + Liquid Chlorine + HCl + Bleaching Powder + DDT</t>
  </si>
  <si>
    <t>iv) Iron &amp; Steel = Steel Ingot + Billet 110/85 mm + Billet 50/85 mm + MS Plate (thin &amp; Heavy) + MS Rod &amp; Flat Bar</t>
  </si>
  <si>
    <t>v) Food Products = Atta, Maida &amp; Suji</t>
  </si>
  <si>
    <t>... = Not Available</t>
  </si>
  <si>
    <t xml:space="preserve">      Turn Over  (Tk in crore)                                        </t>
  </si>
  <si>
    <r>
      <t>Source</t>
    </r>
    <r>
      <rPr>
        <sz val="8"/>
        <rFont val="Times New Roman"/>
        <family val="1"/>
      </rPr>
      <t xml:space="preserve">    </t>
    </r>
    <r>
      <rPr>
        <b/>
        <sz val="8"/>
        <rFont val="Times New Roman"/>
        <family val="1"/>
      </rPr>
      <t xml:space="preserve">: </t>
    </r>
    <r>
      <rPr>
        <sz val="8"/>
        <rFont val="Times New Roman"/>
        <family val="1"/>
      </rPr>
      <t xml:space="preserve">           Dhaka Stock Exchange Ltd (DSE)</t>
    </r>
  </si>
  <si>
    <t>Note:                   1. DSE Broad Index has been introduced instead of General Index from August 2013</t>
  </si>
  <si>
    <t xml:space="preserve">Islami Bank BD </t>
  </si>
  <si>
    <t>ICB Islamic Bank</t>
  </si>
  <si>
    <t>Shahjalal  Islami Bank</t>
  </si>
  <si>
    <t>Union Bank</t>
  </si>
  <si>
    <t>Bank Alfalah</t>
  </si>
  <si>
    <t>EXIM Bank</t>
  </si>
  <si>
    <t xml:space="preserve">First Security Islami Bank </t>
  </si>
  <si>
    <t>MONTHLY AVERAGE CALL MONEY MARKET RATES (Weighted Average)</t>
  </si>
  <si>
    <r>
      <rPr>
        <b/>
        <sz val="6.5"/>
        <rFont val="Times New Roman"/>
        <family val="1"/>
      </rPr>
      <t xml:space="preserve">Note: </t>
    </r>
    <r>
      <rPr>
        <sz val="6.5"/>
        <rFont val="Times New Roman"/>
        <family val="1"/>
      </rPr>
      <t>Data is discontinued from June'2017 due to dropping of IFS data</t>
    </r>
  </si>
  <si>
    <t xml:space="preserve">and in the interbank market ( from May 31, 2003 &amp; onwards)   </t>
  </si>
  <si>
    <r>
      <t>Source</t>
    </r>
    <r>
      <rPr>
        <sz val="10"/>
        <rFont val="Arial"/>
        <family val="1"/>
      </rPr>
      <t xml:space="preserve">: </t>
    </r>
  </si>
  <si>
    <t>Total       Investments at Current Market Price</t>
  </si>
  <si>
    <t>Total Population (in Crore)</t>
  </si>
  <si>
    <t>18.10.17</t>
  </si>
  <si>
    <t>18.10.27</t>
  </si>
  <si>
    <t>i) BBS: Cotton Yarn, Cotton Cloth, Cigarettes, Oil Products, Food Products &amp; Matches</t>
  </si>
  <si>
    <t>ii) BCIC: Paper, Newsprint, Fertilizers, Chemicals &amp; Glass sheet</t>
  </si>
  <si>
    <t>iii) BSFIC: Sugar</t>
  </si>
  <si>
    <t>iv) BSEC: Iron &amp; Steel</t>
  </si>
  <si>
    <t>i) The resident sector has been classified according to the IMF's Monetary &amp; Financial Statistics Manual (MFSM)</t>
  </si>
  <si>
    <t>i) The resident sector has been classified according to the IMF's Monetary &amp; Financial Statistics Manual  (MFSM)</t>
  </si>
  <si>
    <t>savings certificates &amp; prize bonds for avoiding double counting</t>
  </si>
  <si>
    <t>White Middle           (Kutcha bales)                (Tk per 100 kg) </t>
  </si>
  <si>
    <t>Bangla white A           (Pucca  bales)              (Tk per 182.25 kg)</t>
  </si>
  <si>
    <t>Aman Rice               (Medium)                     (Tk per kg)</t>
  </si>
  <si>
    <t>Gold (Guinea)        (Tk per 10 gms.) </t>
  </si>
  <si>
    <t>Export of Tea                 (Average Quality)                      (Tk per kg)</t>
  </si>
  <si>
    <t>Cow Hides Raw                     (Tk per piece)</t>
  </si>
  <si>
    <t>Goat Skins                           (Tk per piece)</t>
  </si>
  <si>
    <t>1. Both interest &amp; principal amount are payable in BDT</t>
  </si>
  <si>
    <t>3. Both interest &amp; principal amount are payable in USD</t>
  </si>
  <si>
    <t>* including 0.84 %  social security premium (SSP) &amp; will be payable on completion of 3 years</t>
  </si>
  <si>
    <t>** including 0.79 %  social security premium (SSP) &amp; will be payable on completion of 3 years</t>
  </si>
  <si>
    <t>*** including 0.99 %  social security premium (SSP) &amp; will be payable on completion of 5 years</t>
  </si>
  <si>
    <t>**** including 1.25 %  social security premium (SSP) &amp; will be payable on completion of 5 years</t>
  </si>
  <si>
    <t>***** including 0.80 %  social security premium (SSP) &amp; will be payable on completion of 5 years</t>
  </si>
  <si>
    <t xml:space="preserve">Note: * From period 2011-12 the income, expenditure &amp; profitability of specialized banks (BKB &amp; RAKUB) are calculated on fiscal year basis </t>
  </si>
  <si>
    <t xml:space="preserve">** From period 2012 the income, expenditure &amp; profitability of specialized banks (BDBL &amp; BASIC) are calculated on calendar year basis </t>
  </si>
  <si>
    <t>CV</t>
  </si>
  <si>
    <t>CVI</t>
  </si>
  <si>
    <t>12.00-14.00</t>
  </si>
  <si>
    <t>06.12.17</t>
  </si>
  <si>
    <t>06.12.19</t>
  </si>
  <si>
    <t>13.12.17</t>
  </si>
  <si>
    <t>13.12.22</t>
  </si>
  <si>
    <t>Table-XXIV</t>
  </si>
  <si>
    <t>Taka in Million</t>
  </si>
  <si>
    <t>Claims on Other Sectors</t>
  </si>
  <si>
    <t>Currency in circulation</t>
  </si>
  <si>
    <t>Securities Other than Shares, included in broad money</t>
  </si>
  <si>
    <t>Loans</t>
  </si>
  <si>
    <t>Financial Derivatives</t>
  </si>
  <si>
    <t>Trade Credit &amp; advances</t>
  </si>
  <si>
    <t>Shares &amp; Other Equity</t>
  </si>
  <si>
    <t>Other items (net)</t>
  </si>
  <si>
    <t>Table-XXV</t>
  </si>
  <si>
    <t>Domestic Claims</t>
  </si>
  <si>
    <t>Net Claims on Central Govt.</t>
  </si>
  <si>
    <t>Claims on Other Sector</t>
  </si>
  <si>
    <t>Broad Money Liabilities</t>
  </si>
  <si>
    <t>Currency Outside Depository Corporations</t>
  </si>
  <si>
    <t>Other Deposits</t>
  </si>
  <si>
    <t>Other Items (net)</t>
  </si>
  <si>
    <t>Central Bank Survey</t>
  </si>
  <si>
    <t>Depository Corporation Survey</t>
  </si>
  <si>
    <t>Claims on Central Govt.(net)</t>
  </si>
  <si>
    <t>20.12.17</t>
  </si>
  <si>
    <t>20.12.27</t>
  </si>
  <si>
    <t>Monetary Base</t>
  </si>
  <si>
    <t>Total   (5+6+7+8)</t>
  </si>
  <si>
    <t>Total  (2+3)</t>
  </si>
  <si>
    <t>Total             (3-4)</t>
  </si>
  <si>
    <t>Total  (7+8+9+10)</t>
  </si>
  <si>
    <t>Liabilities to Central Govt.</t>
  </si>
  <si>
    <t>Claims on other Depository Corporations</t>
  </si>
  <si>
    <t>Claims on Central Govt.</t>
  </si>
  <si>
    <t>Trade Credit &amp; Advances</t>
  </si>
  <si>
    <t>17.00-20.00</t>
  </si>
  <si>
    <t>03.01.18</t>
  </si>
  <si>
    <t>03.01.20</t>
  </si>
  <si>
    <t>10.01.18</t>
  </si>
  <si>
    <t>10.01.23</t>
  </si>
  <si>
    <t>27.12.17</t>
  </si>
  <si>
    <t>27.12.32</t>
  </si>
  <si>
    <t>27.12.37</t>
  </si>
  <si>
    <t>7.00-14.00</t>
  </si>
  <si>
    <t>16.00-19.00</t>
  </si>
  <si>
    <t>17.01.18</t>
  </si>
  <si>
    <t>17.01.28</t>
  </si>
  <si>
    <t>24.01.18</t>
  </si>
  <si>
    <t>24.01.33</t>
  </si>
  <si>
    <t>24.01.38</t>
  </si>
  <si>
    <t>i)   5 tk is considered as Govt. Currency since June 2016 and  Demand &amp; Time Deposits under Columns 8 &amp; 9 exclude Restricted Deposits</t>
  </si>
  <si>
    <t>5.00-9.00</t>
  </si>
  <si>
    <t>6.00-7.50</t>
  </si>
  <si>
    <t>3.15-7.00</t>
  </si>
  <si>
    <t>9.00-13.00</t>
  </si>
  <si>
    <t>07.03.18</t>
  </si>
  <si>
    <t>07.03.20</t>
  </si>
  <si>
    <t>14.03.18</t>
  </si>
  <si>
    <t>14.03.23</t>
  </si>
  <si>
    <t>Note: Base :2005-06=100</t>
  </si>
  <si>
    <t>04.03.18</t>
  </si>
  <si>
    <t>04.03.20</t>
  </si>
  <si>
    <t>04.04.18</t>
  </si>
  <si>
    <t>04.04.20</t>
  </si>
  <si>
    <t>11.04.18</t>
  </si>
  <si>
    <t>11.04.23</t>
  </si>
  <si>
    <t>21.03.18</t>
  </si>
  <si>
    <t>18.04.18</t>
  </si>
  <si>
    <t>21.03.28</t>
  </si>
  <si>
    <t>18.04.28</t>
  </si>
  <si>
    <t>CVII</t>
  </si>
  <si>
    <t>28.03.18</t>
  </si>
  <si>
    <t>28.03.33</t>
  </si>
  <si>
    <t>28.03.38</t>
  </si>
  <si>
    <t>08.05.20</t>
  </si>
  <si>
    <t>25.04.18</t>
  </si>
  <si>
    <t>25.04.33</t>
  </si>
  <si>
    <t>CVIII</t>
  </si>
  <si>
    <t>25.04.38</t>
  </si>
  <si>
    <t>4.50-7.00</t>
  </si>
  <si>
    <t>6.50-7.00</t>
  </si>
  <si>
    <t>8.25-9.00</t>
  </si>
  <si>
    <t>8.00-10.00</t>
  </si>
  <si>
    <t>4.00-6.00</t>
  </si>
  <si>
    <t>11.50-12.50</t>
  </si>
  <si>
    <t>5.75-8.75</t>
  </si>
  <si>
    <t>06.06.18</t>
  </si>
  <si>
    <t>06.06.20</t>
  </si>
  <si>
    <t>12.06.18</t>
  </si>
  <si>
    <t>23.05.18</t>
  </si>
  <si>
    <t>23.05.28</t>
  </si>
  <si>
    <t>30.05.18</t>
  </si>
  <si>
    <t>30.05.33</t>
  </si>
  <si>
    <t>30.05.38</t>
  </si>
  <si>
    <t>CIX</t>
  </si>
  <si>
    <t>4.Compilation procedure has been changed since Sep'17 &amp; CRR rate has changed from April'18</t>
  </si>
  <si>
    <t>2.  Weighted average rates of interest on deposits &amp; advances of 29 deposits taking Non Bank Financial Institutions (NBFIs) have been introduced from June 2013</t>
  </si>
  <si>
    <t xml:space="preserve">4. IMF Reserve Position amount is included in Foreign Exchange Reserve from April ,2018 &amp; onward </t>
  </si>
  <si>
    <t>PROFIT RATE STRUCTURE OF THE ISLAMIC BANKS, 2017</t>
  </si>
  <si>
    <t>Profit Rate Structure of  the Islamic Banks, 2017</t>
  </si>
  <si>
    <t xml:space="preserve">CENTRAL BANK </t>
  </si>
  <si>
    <t>SURVEY</t>
  </si>
  <si>
    <t>DEPOSITORY</t>
  </si>
  <si>
    <t>CORPORATIONS SURVEY</t>
  </si>
  <si>
    <t>Liabilities to other Depository Corporatio-ns</t>
  </si>
  <si>
    <t>10.50-11.50</t>
  </si>
  <si>
    <t>3.50-5.50</t>
  </si>
  <si>
    <t>04.07.18</t>
  </si>
  <si>
    <t>04.07.20</t>
  </si>
  <si>
    <t>11.07.18</t>
  </si>
  <si>
    <t>11.07.23</t>
  </si>
  <si>
    <t>20.06.18</t>
  </si>
  <si>
    <t>20.06.28</t>
  </si>
  <si>
    <t>18.07.18</t>
  </si>
  <si>
    <t>18.07.28</t>
  </si>
  <si>
    <t>27.06.18</t>
  </si>
  <si>
    <t>27.06.33</t>
  </si>
  <si>
    <t>CX</t>
  </si>
  <si>
    <t>27.06.38</t>
  </si>
  <si>
    <t>Transfe-rable Deposits</t>
  </si>
  <si>
    <t>Securities Other than Shares, Included in Broad Money</t>
  </si>
  <si>
    <t>Deposits Excluded from Broad Money</t>
  </si>
  <si>
    <t>Securities Other than Shares, excluded from Broad Money</t>
  </si>
  <si>
    <t>Deposits included in Broad Money</t>
  </si>
  <si>
    <t>Deposits excluded from Broad Money</t>
  </si>
  <si>
    <t>Securities  Other than Shares, excluded from Broad Money</t>
  </si>
  <si>
    <t xml:space="preserve">                 E-BANKING &amp; E-COMMERCE STATISTICS                   </t>
  </si>
  <si>
    <r>
      <t>2018-19</t>
    </r>
    <r>
      <rPr>
        <b/>
        <vertAlign val="superscript"/>
        <sz val="8"/>
        <rFont val="Times New Roman"/>
        <family val="1"/>
      </rPr>
      <t>P</t>
    </r>
  </si>
  <si>
    <t xml:space="preserve">     Production   (in '000' M. tons)</t>
  </si>
  <si>
    <t>2018-19</t>
  </si>
  <si>
    <r>
      <t>2018-19</t>
    </r>
    <r>
      <rPr>
        <b/>
        <vertAlign val="superscript"/>
        <sz val="9"/>
        <color theme="1"/>
        <rFont val="Times New Roman"/>
        <family val="1"/>
      </rPr>
      <t>P</t>
    </r>
  </si>
  <si>
    <t>08.08.18</t>
  </si>
  <si>
    <t>08.08.20</t>
  </si>
  <si>
    <t>25.07.18</t>
  </si>
  <si>
    <t>25.07.33</t>
  </si>
  <si>
    <t>CXI</t>
  </si>
  <si>
    <t>25.07.38</t>
  </si>
  <si>
    <t>3.00-3.50</t>
  </si>
  <si>
    <t>1.50-4.00</t>
  </si>
  <si>
    <t>10.00-14.00</t>
  </si>
  <si>
    <t>18.50-21.50</t>
  </si>
  <si>
    <t>6.00-25.00</t>
  </si>
  <si>
    <t>17.50-20.50</t>
  </si>
  <si>
    <t>13.00-20.00</t>
  </si>
  <si>
    <t>9.00-19.00</t>
  </si>
  <si>
    <t>8.25-12.00</t>
  </si>
  <si>
    <t>9.00-10.75</t>
  </si>
  <si>
    <t>6.75-9.75</t>
  </si>
  <si>
    <t>9.95-10.95</t>
  </si>
  <si>
    <t>16.08.18</t>
  </si>
  <si>
    <t>16.08.23</t>
  </si>
  <si>
    <t>7.00-7.50</t>
  </si>
  <si>
    <t>10.00-11.50</t>
  </si>
  <si>
    <t>3.25-3.50</t>
  </si>
  <si>
    <t>2.50-4.50</t>
  </si>
  <si>
    <t>3.50-6.00</t>
  </si>
  <si>
    <t>11.50-13.50</t>
  </si>
  <si>
    <t>14.50-15.00</t>
  </si>
  <si>
    <t>4.00-5.00</t>
  </si>
  <si>
    <t>9.00-14.50</t>
  </si>
  <si>
    <t>12.00-22.00</t>
  </si>
  <si>
    <t>12.00-14.50</t>
  </si>
  <si>
    <t>7.00-8.50</t>
  </si>
  <si>
    <t>10.50-12.00</t>
  </si>
  <si>
    <t>10.50-12.50</t>
  </si>
  <si>
    <t>11.00-12.50</t>
  </si>
  <si>
    <t>10.75-11.75</t>
  </si>
  <si>
    <t>Important Economic Indicators of Bangladesh with SAARC Countries</t>
  </si>
  <si>
    <t>Table-XXVI</t>
  </si>
  <si>
    <t>(In million Taka)</t>
  </si>
  <si>
    <t>Import**</t>
  </si>
  <si>
    <t>Service inflows</t>
  </si>
  <si>
    <t>Service outflows</t>
  </si>
  <si>
    <t>July-Sep</t>
  </si>
  <si>
    <t>Afganistan</t>
  </si>
  <si>
    <t>Bhutan</t>
  </si>
  <si>
    <t>India</t>
  </si>
  <si>
    <t>Maldives</t>
  </si>
  <si>
    <t>Nepal</t>
  </si>
  <si>
    <t>Pakistan</t>
  </si>
  <si>
    <t>Sri Lanka</t>
  </si>
  <si>
    <t>April-June</t>
  </si>
  <si>
    <t>P: Provisional</t>
  </si>
  <si>
    <t>* As per record of EPB (usually on fob basis)</t>
  </si>
  <si>
    <t>** Based on custom records calculated on c&amp;f basis</t>
  </si>
  <si>
    <t>1. Export Promotion Bureau (EPB) for Export Data   2. National Board of Revenue (NBR) for Import Data</t>
  </si>
  <si>
    <t>3. Statistics Department of Bangladesh Bank for Service Inflows, Service Outflows and Wage Earners Remittance Data</t>
  </si>
  <si>
    <t xml:space="preserve">Wage Earners Remittance
</t>
  </si>
  <si>
    <r>
      <t>Export</t>
    </r>
    <r>
      <rPr>
        <vertAlign val="superscript"/>
        <sz val="8"/>
        <color rgb="FF000000"/>
        <rFont val="Times New Roman"/>
        <family val="1"/>
      </rPr>
      <t>*</t>
    </r>
  </si>
  <si>
    <r>
      <t>2017-18</t>
    </r>
    <r>
      <rPr>
        <b/>
        <vertAlign val="superscript"/>
        <sz val="8"/>
        <color rgb="FF000000"/>
        <rFont val="Times New Roman"/>
        <family val="1"/>
      </rPr>
      <t>P</t>
    </r>
  </si>
  <si>
    <t>FDI inflows</t>
  </si>
  <si>
    <t>Portfolio investment inflows</t>
  </si>
  <si>
    <t>Export (f.o.b)</t>
  </si>
  <si>
    <t>Import (f.o.b)</t>
  </si>
  <si>
    <t>Bank credit to commercial sector</t>
  </si>
  <si>
    <t>FDI</t>
  </si>
  <si>
    <t>Foreign Exchange Reserve</t>
  </si>
  <si>
    <t>Inflation</t>
  </si>
  <si>
    <t>Exchange Rate (CY/$)</t>
  </si>
  <si>
    <t xml:space="preserve">Afganistan </t>
  </si>
  <si>
    <t>--</t>
  </si>
  <si>
    <t>Bangladesh</t>
  </si>
  <si>
    <t xml:space="preserve">Important Economic Indicators of SAARC Countries </t>
  </si>
  <si>
    <t>..</t>
  </si>
  <si>
    <t>Year</t>
  </si>
  <si>
    <t>05.09.18</t>
  </si>
  <si>
    <t>05.09.20</t>
  </si>
  <si>
    <t>12.09.18</t>
  </si>
  <si>
    <t>12.09.23</t>
  </si>
  <si>
    <t>(Million USD)</t>
  </si>
  <si>
    <t>Table XXVII</t>
  </si>
  <si>
    <t xml:space="preserve"> Year</t>
  </si>
  <si>
    <t xml:space="preserve">                    Important Economic Indicators of SAARC Countries                   </t>
  </si>
  <si>
    <t xml:space="preserve"> STATISTICAL TABLES</t>
  </si>
  <si>
    <r>
      <t>2018-19</t>
    </r>
    <r>
      <rPr>
        <b/>
        <vertAlign val="superscript"/>
        <sz val="8"/>
        <color indexed="8"/>
        <rFont val="Times New Roman"/>
        <family val="1"/>
      </rPr>
      <t>P</t>
    </r>
  </si>
  <si>
    <t>19.09.18</t>
  </si>
  <si>
    <t>19.09.28</t>
  </si>
  <si>
    <t xml:space="preserve">ii)  Deposit Money Banks (DMBs) comprise 58 Scheduled Banks &amp; BSBL </t>
  </si>
  <si>
    <t xml:space="preserve">2.  Md. Nurul Islam                              Deputy General Manager  </t>
  </si>
  <si>
    <t>26.09.18</t>
  </si>
  <si>
    <t>26.09.33</t>
  </si>
  <si>
    <t>CXII</t>
  </si>
  <si>
    <t>26.09.38</t>
  </si>
  <si>
    <t>Sonali
Bank</t>
  </si>
  <si>
    <t>Agrani
Bank</t>
  </si>
  <si>
    <t>Janata
Bank</t>
  </si>
  <si>
    <t>Rupali
Bank</t>
  </si>
  <si>
    <t>BASIC
Bank</t>
  </si>
  <si>
    <t>The City
Bank</t>
  </si>
  <si>
    <t>AB
Bank</t>
  </si>
  <si>
    <t>IFIC
Bank</t>
  </si>
  <si>
    <t>National
Bank</t>
  </si>
  <si>
    <t>Uttara
Bank</t>
  </si>
  <si>
    <t>Pubali
Bank</t>
  </si>
  <si>
    <t>Eastern
Bank</t>
  </si>
  <si>
    <t>Dhaka
Bank</t>
  </si>
  <si>
    <t>Southeast
Bank</t>
  </si>
  <si>
    <t>Prime
Bank</t>
  </si>
  <si>
    <t>Dutch-Bangla
Bank</t>
  </si>
  <si>
    <t>Modhumoti
Bank</t>
  </si>
  <si>
    <t>NRB Global
Bank</t>
  </si>
  <si>
    <t>SBAC
Bank</t>
  </si>
  <si>
    <t>Mercantile
Bank</t>
  </si>
  <si>
    <t>One
Bank</t>
  </si>
  <si>
    <t>Premier
Bank</t>
  </si>
  <si>
    <t>Trust
Bank</t>
  </si>
  <si>
    <t>BRAC
Bank</t>
  </si>
  <si>
    <t>Standard
Bank</t>
  </si>
  <si>
    <t>Meghna
Bank</t>
  </si>
  <si>
    <t>Midland
Bank</t>
  </si>
  <si>
    <t>NRB
Bank</t>
  </si>
  <si>
    <t>NRB Comm.
Bank</t>
  </si>
  <si>
    <t>Mutual
Trust Bank</t>
  </si>
  <si>
    <t>Jamuna
Bank</t>
  </si>
  <si>
    <t>Shimanto
Bank</t>
  </si>
  <si>
    <t>Commercail Bank
of Ceylon</t>
  </si>
  <si>
    <t>Standard
Chartered Bank</t>
  </si>
  <si>
    <t>State Bank
of India</t>
  </si>
  <si>
    <t>National Bank
of Pakistan</t>
  </si>
  <si>
    <t>Citi Bank NA</t>
  </si>
  <si>
    <t/>
  </si>
  <si>
    <t>3.50</t>
  </si>
  <si>
    <t>4.00</t>
  </si>
  <si>
    <t>3.00-7.00</t>
  </si>
  <si>
    <t>3.00</t>
  </si>
  <si>
    <t>2.75</t>
  </si>
  <si>
    <t>5.00</t>
  </si>
  <si>
    <t>2.50</t>
  </si>
  <si>
    <t>0.40</t>
  </si>
  <si>
    <t>3.75</t>
  </si>
  <si>
    <t>2.25</t>
  </si>
  <si>
    <t>2.00</t>
  </si>
  <si>
    <t>4.50</t>
  </si>
  <si>
    <t>1.00</t>
  </si>
  <si>
    <t>1.50</t>
  </si>
  <si>
    <t>4.25</t>
  </si>
  <si>
    <t>3.25</t>
  </si>
  <si>
    <t>0.75</t>
  </si>
  <si>
    <t>0.10</t>
  </si>
  <si>
    <t>5.25</t>
  </si>
  <si>
    <t>1.65</t>
  </si>
  <si>
    <t>5.50</t>
  </si>
  <si>
    <t>0.20</t>
  </si>
  <si>
    <t>1.75</t>
  </si>
  <si>
    <t>6.00</t>
  </si>
  <si>
    <t>1.25</t>
  </si>
  <si>
    <t>0.30</t>
  </si>
  <si>
    <t>7.50</t>
  </si>
  <si>
    <t>5.75</t>
  </si>
  <si>
    <t>1.90</t>
  </si>
  <si>
    <t>4.00-4.50</t>
  </si>
  <si>
    <t>8.50</t>
  </si>
  <si>
    <t>2.00-6.00</t>
  </si>
  <si>
    <t>5.85</t>
  </si>
  <si>
    <t>7.00</t>
  </si>
  <si>
    <t>4.50-5.00</t>
  </si>
  <si>
    <t>9.50</t>
  </si>
  <si>
    <t>9.00</t>
  </si>
  <si>
    <t>6.00-8.00</t>
  </si>
  <si>
    <t>10.00</t>
  </si>
  <si>
    <t>7.50-10.00</t>
  </si>
  <si>
    <t>4.00-5.75</t>
  </si>
  <si>
    <t>13.00</t>
  </si>
  <si>
    <t>15.00</t>
  </si>
  <si>
    <t>15.50</t>
  </si>
  <si>
    <t>14.00</t>
  </si>
  <si>
    <t>14.50</t>
  </si>
  <si>
    <t>6.75</t>
  </si>
  <si>
    <t>13.50</t>
  </si>
  <si>
    <t>12.50</t>
  </si>
  <si>
    <t>16.00</t>
  </si>
  <si>
    <t>12.00</t>
  </si>
  <si>
    <t>9.00-12.50</t>
  </si>
  <si>
    <t>20.50</t>
  </si>
  <si>
    <t>9.50-17.00</t>
  </si>
  <si>
    <t>12.90</t>
  </si>
  <si>
    <t xml:space="preserve">Source  :  Banking Regulation &amp; Policy Department, Bangladesh Bank                                                                                                                                 </t>
  </si>
  <si>
    <t>Email: nurul.islam130@bb.org.bd</t>
  </si>
  <si>
    <t xml:space="preserve">Joint Director            </t>
  </si>
  <si>
    <t xml:space="preserve">Head Office, Dhaka          </t>
  </si>
  <si>
    <t>A.K.M. Fazlul Haque Mia</t>
  </si>
  <si>
    <t>07.11.18</t>
  </si>
  <si>
    <t>07.11.20</t>
  </si>
  <si>
    <t>14.11.18</t>
  </si>
  <si>
    <t>14.11.23</t>
  </si>
  <si>
    <t>7.50-9.50</t>
  </si>
  <si>
    <t>11.00</t>
  </si>
  <si>
    <t>11.00-16.50</t>
  </si>
  <si>
    <t>2.00-4.00</t>
  </si>
  <si>
    <t>7.00-8.00</t>
  </si>
  <si>
    <t>8.00-8.50</t>
  </si>
  <si>
    <t>8.50-8.75</t>
  </si>
  <si>
    <t>9.00-9.25</t>
  </si>
  <si>
    <t>2.25-6.00</t>
  </si>
  <si>
    <t>4.00-6.50</t>
  </si>
  <si>
    <t>7.99-10.50</t>
  </si>
  <si>
    <t>7.00-16.00</t>
  </si>
  <si>
    <t>05.12.18</t>
  </si>
  <si>
    <t>05.12.20</t>
  </si>
  <si>
    <t>12.12.18</t>
  </si>
  <si>
    <t>12.12.23</t>
  </si>
  <si>
    <t>22.11.18</t>
  </si>
  <si>
    <t>22.11.28</t>
  </si>
  <si>
    <t>28.11.18</t>
  </si>
  <si>
    <t>28.11.33</t>
  </si>
  <si>
    <t>CXIII</t>
  </si>
  <si>
    <t>28.11.38</t>
  </si>
  <si>
    <t>5.50-7.00</t>
  </si>
  <si>
    <t>5.75-7.00</t>
  </si>
  <si>
    <t>11.50</t>
  </si>
  <si>
    <t>12.50-12.75</t>
  </si>
  <si>
    <t>1.00-5.00</t>
  </si>
  <si>
    <t>0.90</t>
  </si>
  <si>
    <t>1.00-8.50</t>
  </si>
  <si>
    <t xml:space="preserve">       Executive Director (Statistics)</t>
  </si>
  <si>
    <t xml:space="preserve">Import data are on C&amp;F/CIF basis upto June 2014 and fob basis from July 2014 &amp; onwards                                                                                                       </t>
  </si>
  <si>
    <t>1. Sabita Yasmin                    General Manager</t>
  </si>
  <si>
    <t xml:space="preserve">3. Asif Ahmed Mansur                                   Joint Director      </t>
  </si>
  <si>
    <t>Email:  asif.ahmed@bb.org.bd</t>
  </si>
  <si>
    <t>02.01.19</t>
  </si>
  <si>
    <t>02.01.21</t>
  </si>
  <si>
    <t>09.01.19</t>
  </si>
  <si>
    <t>09.01.24</t>
  </si>
  <si>
    <t>19.12.18</t>
  </si>
  <si>
    <t>19.12.28</t>
  </si>
  <si>
    <t>26.12.18</t>
  </si>
  <si>
    <t>CXIV</t>
  </si>
  <si>
    <t>16.12.38</t>
  </si>
  <si>
    <t>4.00-9.25</t>
  </si>
  <si>
    <t>0.75-9.00</t>
  </si>
  <si>
    <t>0.50-9.00</t>
  </si>
  <si>
    <t>9.00-11.00</t>
  </si>
  <si>
    <t>11.25-14.00</t>
  </si>
  <si>
    <t>13.01-16.01</t>
  </si>
  <si>
    <t>3.50-4.50</t>
  </si>
  <si>
    <t>7.50-8.50</t>
  </si>
  <si>
    <t>1.00-6.00</t>
  </si>
  <si>
    <t>5.50-9.00</t>
  </si>
  <si>
    <t>3.50-7.00</t>
  </si>
  <si>
    <t>5.00-7.50</t>
  </si>
  <si>
    <t>8.00-9.50</t>
  </si>
  <si>
    <t>8.50-9.00</t>
  </si>
  <si>
    <t>9.00-13.50</t>
  </si>
  <si>
    <t>10.00-10.50</t>
  </si>
  <si>
    <t>06.02.19</t>
  </si>
  <si>
    <t>06.02.21</t>
  </si>
  <si>
    <t>13.02.19</t>
  </si>
  <si>
    <t>13.02.24</t>
  </si>
  <si>
    <t>16.01.19</t>
  </si>
  <si>
    <t>16.01.29</t>
  </si>
  <si>
    <t>23.01.19</t>
  </si>
  <si>
    <t>23.01.34</t>
  </si>
  <si>
    <t>CXV</t>
  </si>
  <si>
    <t>23.01.39</t>
  </si>
  <si>
    <r>
      <t xml:space="preserve">Hong Kong:    </t>
    </r>
    <r>
      <rPr>
        <sz val="8"/>
        <rFont val="Times New Roman"/>
        <family val="1"/>
      </rPr>
      <t>SAR of China</t>
    </r>
  </si>
  <si>
    <r>
      <t>2017-18</t>
    </r>
    <r>
      <rPr>
        <b/>
        <vertAlign val="superscript"/>
        <sz val="8"/>
        <color theme="1"/>
        <rFont val="Times New Roman"/>
        <family val="1"/>
      </rPr>
      <t>P</t>
    </r>
  </si>
  <si>
    <t>06.03.19</t>
  </si>
  <si>
    <t>06.03.21</t>
  </si>
  <si>
    <t>13.03.19</t>
  </si>
  <si>
    <t>13.03.24</t>
  </si>
  <si>
    <t>9.00-9.50</t>
  </si>
  <si>
    <t>3.00-5.00</t>
  </si>
  <si>
    <t>16.50-19.50</t>
  </si>
  <si>
    <t>9.00-10.00</t>
  </si>
  <si>
    <t>13.50-17.50</t>
  </si>
  <si>
    <t>11.50-13.00</t>
  </si>
  <si>
    <t>12.00-19.00</t>
  </si>
  <si>
    <r>
      <t>2018-19</t>
    </r>
    <r>
      <rPr>
        <vertAlign val="superscript"/>
        <sz val="8"/>
        <rFont val="Times New Roman"/>
        <family val="1"/>
      </rPr>
      <t>P</t>
    </r>
  </si>
  <si>
    <t>03.04.19</t>
  </si>
  <si>
    <t>03.04.21</t>
  </si>
  <si>
    <t>10.04.19</t>
  </si>
  <si>
    <t>10.04.24</t>
  </si>
  <si>
    <t>20.03.19</t>
  </si>
  <si>
    <t>20.03.29</t>
  </si>
  <si>
    <t>17.04.19</t>
  </si>
  <si>
    <t>17.04.29</t>
  </si>
  <si>
    <t>27.03.19</t>
  </si>
  <si>
    <t>CXVI</t>
  </si>
  <si>
    <t>27.03.39</t>
  </si>
  <si>
    <t>Quarterly</t>
  </si>
  <si>
    <t xml:space="preserve">3-year (BD)Govt. F.R. Treasury Bond </t>
  </si>
  <si>
    <t>25.03.19</t>
  </si>
  <si>
    <t>25.03.22</t>
  </si>
  <si>
    <t>8.50-9.25</t>
  </si>
  <si>
    <t>3.50-8.75</t>
  </si>
  <si>
    <t>3.50-9.00</t>
  </si>
  <si>
    <t>2.50-7.50</t>
  </si>
  <si>
    <t>Padma
Bank</t>
  </si>
  <si>
    <t>6.00-9.25</t>
  </si>
  <si>
    <t>9.25-9.50</t>
  </si>
  <si>
    <t>7.00-9.50</t>
  </si>
  <si>
    <t>10.50-19.00</t>
  </si>
  <si>
    <t>5.00-8.00</t>
  </si>
  <si>
    <t>6.50</t>
  </si>
  <si>
    <t>9.75</t>
  </si>
  <si>
    <t>8.00</t>
  </si>
  <si>
    <t>1.00-4.00</t>
  </si>
  <si>
    <t>9.50-10.50</t>
  </si>
  <si>
    <t>9.75-10.75</t>
  </si>
  <si>
    <t>10.50</t>
  </si>
  <si>
    <t>11.25</t>
  </si>
  <si>
    <t>11.00-17.00</t>
  </si>
  <si>
    <t>0.50-5.00</t>
  </si>
  <si>
    <t>2.10-2.30</t>
  </si>
  <si>
    <t>5.00-6.50</t>
  </si>
  <si>
    <t>2.30-3.20</t>
  </si>
  <si>
    <t>6.25</t>
  </si>
  <si>
    <t>08.05.19</t>
  </si>
  <si>
    <t>08.05.21</t>
  </si>
  <si>
    <t>15.05.19</t>
  </si>
  <si>
    <t>15.05.24</t>
  </si>
  <si>
    <t>24.04.19</t>
  </si>
  <si>
    <t>24.04.34</t>
  </si>
  <si>
    <t>CXVII</t>
  </si>
  <si>
    <t>24.04.39</t>
  </si>
  <si>
    <t>June 2019</t>
  </si>
  <si>
    <t>Bank-wise Announced Interest Rate Structure in Bangladesh (Except Islamic Banks), May 2019</t>
  </si>
  <si>
    <t>IN BANGLADESH (EXCEPT ISLAMIC BANKS), May 2019</t>
  </si>
  <si>
    <t>IN BANGLADESH (EXCEPT ISLAMIC BANKS), May  2019</t>
  </si>
  <si>
    <t>R=Revised</t>
  </si>
  <si>
    <r>
      <t>April</t>
    </r>
    <r>
      <rPr>
        <vertAlign val="superscript"/>
        <sz val="7.5"/>
        <color indexed="8"/>
        <rFont val="Times New Roman"/>
        <family val="1"/>
      </rPr>
      <t>R</t>
    </r>
  </si>
  <si>
    <t>6.00-9.50</t>
  </si>
  <si>
    <t>7.50-8.00</t>
  </si>
  <si>
    <t>6.00-10.00</t>
  </si>
  <si>
    <t>5.75-6.50</t>
  </si>
  <si>
    <t>4.75-7.75</t>
  </si>
  <si>
    <t>5.50-9.50</t>
  </si>
  <si>
    <t>9.05</t>
  </si>
  <si>
    <t>4.00-9.50</t>
  </si>
  <si>
    <t>7.00-10.00</t>
  </si>
  <si>
    <t>8.50-9.50</t>
  </si>
  <si>
    <t>8.75-9.50</t>
  </si>
  <si>
    <t>5.50-10.00</t>
  </si>
  <si>
    <t>7.00-9.75</t>
  </si>
  <si>
    <t>8.50-10.00</t>
  </si>
  <si>
    <t>9.25-10.25</t>
  </si>
  <si>
    <t>9.00-9.75</t>
  </si>
  <si>
    <t>8.00-8.25</t>
  </si>
  <si>
    <t>9.50-9.75</t>
  </si>
  <si>
    <t>10.50-15.00</t>
  </si>
  <si>
    <t>13.50-15.00</t>
  </si>
  <si>
    <t>9.50-20.50</t>
  </si>
  <si>
    <t>10.00-17.50</t>
  </si>
  <si>
    <t>2.00-7.00</t>
  </si>
  <si>
    <t>1.50-7.50</t>
  </si>
  <si>
    <t>6.50-9.50</t>
  </si>
  <si>
    <t>3.00-7.50</t>
  </si>
  <si>
    <t>8.50-10.80</t>
  </si>
  <si>
    <t>12.06.19</t>
  </si>
  <si>
    <t>12.06.21</t>
  </si>
  <si>
    <t>12.06.24</t>
  </si>
  <si>
    <t>22.05.19</t>
  </si>
  <si>
    <t>22.05.29</t>
  </si>
  <si>
    <t>29.05.19</t>
  </si>
  <si>
    <t>29.05.34</t>
  </si>
  <si>
    <t>CXVIII</t>
  </si>
  <si>
    <t>29.05.39</t>
  </si>
</sst>
</file>

<file path=xl/styles.xml><?xml version="1.0" encoding="utf-8"?>
<styleSheet xmlns="http://schemas.openxmlformats.org/spreadsheetml/2006/main">
  <numFmts count="19">
    <numFmt numFmtId="43" formatCode="_(* #,##0.00_);_(* \(#,##0.00\);_(* &quot;-&quot;??_);_(@_)"/>
    <numFmt numFmtId="164" formatCode="0.0"/>
    <numFmt numFmtId="165" formatCode="0.000"/>
    <numFmt numFmtId="166" formatCode="0.0000"/>
    <numFmt numFmtId="167" formatCode="\(0.00\)"/>
    <numFmt numFmtId="168" formatCode="0.00;[Red]0.00"/>
    <numFmt numFmtId="169" formatCode="00000"/>
    <numFmt numFmtId="170" formatCode="0;[Red]0"/>
    <numFmt numFmtId="171" formatCode="\(0\)"/>
    <numFmt numFmtId="172" formatCode="0_);\(0\)"/>
    <numFmt numFmtId="173" formatCode="dd/mm/yyyy;@"/>
    <numFmt numFmtId="174" formatCode="d\.m\.yy;@"/>
    <numFmt numFmtId="175" formatCode="B1mmm/yy"/>
    <numFmt numFmtId="176" formatCode="#,##0.000000000000"/>
    <numFmt numFmtId="177" formatCode="0.0000000000000_);\(0.0000000000000\)"/>
    <numFmt numFmtId="178" formatCode="0.000000000000_);\(0.000000000000\)"/>
    <numFmt numFmtId="179" formatCode="0.00000000000"/>
    <numFmt numFmtId="180" formatCode="dd\.mm\.yy;@"/>
    <numFmt numFmtId="181" formatCode="dd\.mm\.yyyy;@"/>
  </numFmts>
  <fonts count="197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sz val="10"/>
      <color indexed="8"/>
      <name val="Times New Roman"/>
      <family val="1"/>
    </font>
    <font>
      <b/>
      <sz val="10"/>
      <color indexed="8"/>
      <name val="Times New Roman"/>
      <family val="1"/>
    </font>
    <font>
      <sz val="8"/>
      <color indexed="8"/>
      <name val="Arial"/>
      <family val="2"/>
    </font>
    <font>
      <sz val="9"/>
      <name val="Arial"/>
      <family val="2"/>
    </font>
    <font>
      <sz val="8"/>
      <color indexed="8"/>
      <name val="Times New Roman"/>
      <family val="1"/>
    </font>
    <font>
      <sz val="7"/>
      <name val="Times New Roman"/>
      <family val="1"/>
    </font>
    <font>
      <sz val="8"/>
      <name val="Times New Roman"/>
      <family val="1"/>
    </font>
    <font>
      <sz val="9"/>
      <color indexed="8"/>
      <name val="Times New Roman"/>
      <family val="1"/>
    </font>
    <font>
      <b/>
      <sz val="8"/>
      <color indexed="8"/>
      <name val="Times New Roman"/>
      <family val="1"/>
    </font>
    <font>
      <sz val="6"/>
      <color indexed="8"/>
      <name val="Times New Roman"/>
      <family val="1"/>
    </font>
    <font>
      <sz val="7"/>
      <color indexed="8"/>
      <name val="Times New Roman"/>
      <family val="1"/>
    </font>
    <font>
      <b/>
      <sz val="7"/>
      <color indexed="8"/>
      <name val="Times New Roman"/>
      <family val="1"/>
    </font>
    <font>
      <b/>
      <sz val="12"/>
      <name val="Times New Roman"/>
      <family val="1"/>
    </font>
    <font>
      <b/>
      <sz val="10"/>
      <color indexed="18"/>
      <name val="Times New Roman"/>
      <family val="1"/>
    </font>
    <font>
      <b/>
      <sz val="8"/>
      <name val="Times New Roman"/>
      <family val="1"/>
    </font>
    <font>
      <b/>
      <sz val="6.5"/>
      <name val="Times New Roman"/>
      <family val="1"/>
    </font>
    <font>
      <sz val="6.5"/>
      <name val="Times New Roman"/>
      <family val="1"/>
    </font>
    <font>
      <b/>
      <sz val="6.5"/>
      <color indexed="8"/>
      <name val="Times New Roman"/>
      <family val="1"/>
    </font>
    <font>
      <sz val="6.5"/>
      <color indexed="8"/>
      <name val="Times New Roman"/>
      <family val="1"/>
    </font>
    <font>
      <b/>
      <sz val="9"/>
      <name val="Times New Roman"/>
      <family val="1"/>
    </font>
    <font>
      <b/>
      <sz val="9"/>
      <color indexed="8"/>
      <name val="Times New Roman"/>
      <family val="1"/>
    </font>
    <font>
      <sz val="9"/>
      <name val="Times New Roman"/>
      <family val="1"/>
    </font>
    <font>
      <b/>
      <sz val="12"/>
      <color indexed="8"/>
      <name val="Times New Roman"/>
      <family val="1"/>
    </font>
    <font>
      <sz val="12"/>
      <color indexed="8"/>
      <name val="Times New Roman"/>
      <family val="1"/>
    </font>
    <font>
      <sz val="8.5"/>
      <color indexed="8"/>
      <name val="Times New Roman"/>
      <family val="1"/>
    </font>
    <font>
      <sz val="12"/>
      <name val="Times New Roman"/>
      <family val="1"/>
    </font>
    <font>
      <sz val="6"/>
      <name val="Times New Roman"/>
      <family val="1"/>
    </font>
    <font>
      <b/>
      <sz val="7"/>
      <name val="Times New Roman"/>
      <family val="1"/>
    </font>
    <font>
      <vertAlign val="subscript"/>
      <sz val="7"/>
      <name val="Times New Roman"/>
      <family val="1"/>
    </font>
    <font>
      <b/>
      <sz val="10.5"/>
      <color indexed="8"/>
      <name val="Times New Roman"/>
      <family val="1"/>
    </font>
    <font>
      <sz val="10.5"/>
      <color indexed="8"/>
      <name val="Times New Roman"/>
      <family val="1"/>
    </font>
    <font>
      <sz val="7.5"/>
      <name val="Times New Roman"/>
      <family val="1"/>
    </font>
    <font>
      <b/>
      <sz val="7.5"/>
      <name val="Times New Roman"/>
      <family val="1"/>
    </font>
    <font>
      <sz val="8"/>
      <color indexed="10"/>
      <name val="Times New Roman"/>
      <family val="1"/>
    </font>
    <font>
      <sz val="7.5"/>
      <color indexed="8"/>
      <name val="Times New Roman"/>
      <family val="1"/>
    </font>
    <font>
      <b/>
      <sz val="11"/>
      <color indexed="8"/>
      <name val="Times New Roman"/>
      <family val="1"/>
    </font>
    <font>
      <sz val="11"/>
      <color indexed="8"/>
      <name val="Times New Roman"/>
      <family val="1"/>
    </font>
    <font>
      <sz val="8"/>
      <name val="Arial"/>
      <family val="2"/>
    </font>
    <font>
      <b/>
      <sz val="8"/>
      <color indexed="18"/>
      <name val="Times New Roman"/>
      <family val="1"/>
    </font>
    <font>
      <sz val="8"/>
      <color indexed="18"/>
      <name val="Times New Roman"/>
      <family val="1"/>
    </font>
    <font>
      <b/>
      <sz val="11"/>
      <name val="Times New Roman"/>
      <family val="1"/>
    </font>
    <font>
      <sz val="8.5"/>
      <name val="Times New Roman"/>
      <family val="1"/>
    </font>
    <font>
      <b/>
      <sz val="6"/>
      <name val="Times New Roman"/>
      <family val="1"/>
    </font>
    <font>
      <vertAlign val="superscript"/>
      <sz val="6.5"/>
      <color indexed="8"/>
      <name val="Times New Roman"/>
      <family val="1"/>
    </font>
    <font>
      <b/>
      <sz val="7.5"/>
      <name val="Arial Narrow"/>
      <family val="2"/>
    </font>
    <font>
      <sz val="10"/>
      <name val="Arial"/>
      <family val="2"/>
    </font>
    <font>
      <b/>
      <sz val="12"/>
      <color indexed="8"/>
      <name val="Calibri"/>
      <family val="2"/>
    </font>
    <font>
      <sz val="8.5"/>
      <color indexed="8"/>
      <name val="Times New Roman"/>
      <family val="1"/>
    </font>
    <font>
      <sz val="8"/>
      <name val="Arial"/>
      <family val="2"/>
    </font>
    <font>
      <sz val="9"/>
      <color indexed="8"/>
      <name val="Arial Narrow"/>
      <family val="2"/>
    </font>
    <font>
      <vertAlign val="superscript"/>
      <sz val="9"/>
      <color indexed="8"/>
      <name val="Times New Roman"/>
      <family val="1"/>
    </font>
    <font>
      <sz val="5"/>
      <color indexed="8"/>
      <name val="Times New Roman"/>
      <family val="1"/>
    </font>
    <font>
      <b/>
      <sz val="14"/>
      <name val="Times New Roman"/>
      <family val="1"/>
    </font>
    <font>
      <b/>
      <sz val="13"/>
      <name val="Times New Roman"/>
      <family val="1"/>
    </font>
    <font>
      <b/>
      <sz val="6"/>
      <color indexed="8"/>
      <name val="Times New Roman"/>
      <family val="1"/>
    </font>
    <font>
      <sz val="5"/>
      <name val="Times New Roman"/>
      <family val="1"/>
    </font>
    <font>
      <b/>
      <sz val="16"/>
      <name val="Arial"/>
      <family val="2"/>
    </font>
    <font>
      <sz val="11"/>
      <name val="Arial"/>
      <family val="2"/>
    </font>
    <font>
      <sz val="52"/>
      <name val="Arial"/>
      <family val="2"/>
    </font>
    <font>
      <sz val="7"/>
      <name val="Arial"/>
      <family val="2"/>
    </font>
    <font>
      <b/>
      <sz val="7.5"/>
      <color indexed="8"/>
      <name val="Times New Roman"/>
      <family val="1"/>
    </font>
    <font>
      <b/>
      <sz val="20"/>
      <name val="Times New Roman"/>
      <family val="1"/>
    </font>
    <font>
      <sz val="16"/>
      <name val="Arial"/>
      <family val="2"/>
    </font>
    <font>
      <sz val="22"/>
      <name val="Times New Roman"/>
      <family val="1"/>
    </font>
    <font>
      <b/>
      <sz val="10"/>
      <name val="Arial"/>
      <family val="2"/>
    </font>
    <font>
      <b/>
      <sz val="18"/>
      <name val="Times New Roman"/>
      <family val="1"/>
    </font>
    <font>
      <sz val="8"/>
      <color indexed="8"/>
      <name val="Arial Narrow"/>
      <family val="2"/>
    </font>
    <font>
      <sz val="7"/>
      <name val="Arial Narrow"/>
      <family val="2"/>
    </font>
    <font>
      <sz val="8"/>
      <name val="Arial Narrow"/>
      <family val="2"/>
    </font>
    <font>
      <b/>
      <sz val="9"/>
      <color indexed="8"/>
      <name val="Arial Narrow"/>
      <family val="2"/>
    </font>
    <font>
      <b/>
      <sz val="9"/>
      <name val="Arial Narrow"/>
      <family val="2"/>
    </font>
    <font>
      <sz val="9"/>
      <name val="Arial Narrow"/>
      <family val="2"/>
    </font>
    <font>
      <sz val="7.5"/>
      <color indexed="8"/>
      <name val="Arial Narrow"/>
      <family val="2"/>
    </font>
    <font>
      <b/>
      <sz val="10.5"/>
      <color indexed="8"/>
      <name val="Arial Narrow"/>
      <family val="2"/>
    </font>
    <font>
      <b/>
      <sz val="6.5"/>
      <name val="Arial Narrow"/>
      <family val="2"/>
    </font>
    <font>
      <sz val="6.5"/>
      <name val="Arial Narrow"/>
      <family val="2"/>
    </font>
    <font>
      <b/>
      <sz val="8"/>
      <color indexed="8"/>
      <name val="Arial Narrow"/>
      <family val="2"/>
    </font>
    <font>
      <sz val="5.5"/>
      <name val="Times New Roman"/>
      <family val="1"/>
    </font>
    <font>
      <b/>
      <sz val="5.5"/>
      <name val="Times New Roman"/>
      <family val="1"/>
    </font>
    <font>
      <sz val="7"/>
      <color indexed="8"/>
      <name val="Arial Narrow"/>
      <family val="2"/>
    </font>
    <font>
      <b/>
      <vertAlign val="superscript"/>
      <sz val="9"/>
      <color indexed="8"/>
      <name val="Times New Roman"/>
      <family val="1"/>
    </font>
    <font>
      <b/>
      <sz val="8.5"/>
      <color indexed="8"/>
      <name val="Arial Narrow"/>
      <family val="2"/>
    </font>
    <font>
      <b/>
      <vertAlign val="superscript"/>
      <sz val="8.5"/>
      <color indexed="8"/>
      <name val="Arial Narrow"/>
      <family val="2"/>
    </font>
    <font>
      <b/>
      <sz val="9.5"/>
      <color indexed="8"/>
      <name val="Arial Narrow"/>
      <family val="2"/>
    </font>
    <font>
      <b/>
      <vertAlign val="superscript"/>
      <sz val="8"/>
      <color indexed="8"/>
      <name val="Times New Roman"/>
      <family val="1"/>
    </font>
    <font>
      <b/>
      <sz val="8.25"/>
      <color indexed="8"/>
      <name val="Arial Narrow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  <font>
      <sz val="11"/>
      <color rgb="FF9C0006"/>
      <name val="Calibri"/>
      <family val="2"/>
      <charset val="1"/>
      <scheme val="minor"/>
    </font>
    <font>
      <b/>
      <sz val="11"/>
      <color rgb="FFFA7D00"/>
      <name val="Calibri"/>
      <family val="2"/>
      <charset val="1"/>
      <scheme val="minor"/>
    </font>
    <font>
      <b/>
      <sz val="11"/>
      <color theme="0"/>
      <name val="Calibri"/>
      <family val="2"/>
      <charset val="1"/>
      <scheme val="minor"/>
    </font>
    <font>
      <i/>
      <sz val="11"/>
      <color rgb="FF7F7F7F"/>
      <name val="Calibri"/>
      <family val="2"/>
      <charset val="1"/>
      <scheme val="minor"/>
    </font>
    <font>
      <u/>
      <sz val="8"/>
      <color rgb="FF800080"/>
      <name val="Calibri"/>
      <family val="2"/>
      <scheme val="minor"/>
    </font>
    <font>
      <sz val="11"/>
      <color rgb="FF006100"/>
      <name val="Calibri"/>
      <family val="2"/>
      <charset val="1"/>
      <scheme val="minor"/>
    </font>
    <font>
      <b/>
      <sz val="15"/>
      <color theme="3"/>
      <name val="Calibri"/>
      <family val="2"/>
      <charset val="1"/>
      <scheme val="minor"/>
    </font>
    <font>
      <b/>
      <sz val="13"/>
      <color theme="3"/>
      <name val="Calibri"/>
      <family val="2"/>
      <charset val="1"/>
      <scheme val="minor"/>
    </font>
    <font>
      <b/>
      <sz val="11"/>
      <color theme="3"/>
      <name val="Calibri"/>
      <family val="2"/>
      <charset val="1"/>
      <scheme val="minor"/>
    </font>
    <font>
      <u/>
      <sz val="8"/>
      <color rgb="FF0000FF"/>
      <name val="Calibri"/>
      <family val="2"/>
      <scheme val="minor"/>
    </font>
    <font>
      <sz val="11"/>
      <color rgb="FF3F3F76"/>
      <name val="Calibri"/>
      <family val="2"/>
      <charset val="1"/>
      <scheme val="minor"/>
    </font>
    <font>
      <sz val="11"/>
      <color rgb="FFFA7D00"/>
      <name val="Calibri"/>
      <family val="2"/>
      <charset val="1"/>
      <scheme val="minor"/>
    </font>
    <font>
      <sz val="11"/>
      <color rgb="FF9C6500"/>
      <name val="Calibri"/>
      <family val="2"/>
      <charset val="1"/>
      <scheme val="minor"/>
    </font>
    <font>
      <b/>
      <sz val="11"/>
      <color rgb="FF3F3F3F"/>
      <name val="Calibri"/>
      <family val="2"/>
      <charset val="1"/>
      <scheme val="minor"/>
    </font>
    <font>
      <b/>
      <sz val="18"/>
      <color theme="3"/>
      <name val="Cambria"/>
      <family val="2"/>
      <charset val="1"/>
      <scheme val="major"/>
    </font>
    <font>
      <b/>
      <sz val="11"/>
      <color theme="1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  <font>
      <sz val="7"/>
      <color rgb="FF000000"/>
      <name val="Times New Roman"/>
      <family val="1"/>
    </font>
    <font>
      <sz val="8"/>
      <color theme="1"/>
      <name val="Times New Roman"/>
      <family val="1"/>
    </font>
    <font>
      <sz val="11"/>
      <name val="Calibri"/>
      <family val="2"/>
      <scheme val="minor"/>
    </font>
    <font>
      <b/>
      <sz val="16"/>
      <color theme="0"/>
      <name val="Arial"/>
      <family val="2"/>
    </font>
    <font>
      <sz val="8"/>
      <color rgb="FFFF0000"/>
      <name val="Times New Roman"/>
      <family val="1"/>
    </font>
    <font>
      <sz val="7"/>
      <color rgb="FFFF0000"/>
      <name val="Times New Roman"/>
      <family val="1"/>
    </font>
    <font>
      <sz val="7.5"/>
      <color rgb="FFFF0000"/>
      <name val="Times New Roman"/>
      <family val="1"/>
    </font>
    <font>
      <sz val="6.25"/>
      <color rgb="FFFF0000"/>
      <name val="Arial Narrow"/>
      <family val="2"/>
    </font>
    <font>
      <sz val="6"/>
      <color rgb="FFFF0000"/>
      <name val="Arial Narrow"/>
      <family val="2"/>
    </font>
    <font>
      <sz val="8"/>
      <color rgb="FF000000"/>
      <name val="Times New Roman"/>
      <family val="1"/>
    </font>
    <font>
      <b/>
      <sz val="8"/>
      <color rgb="FF000000"/>
      <name val="Times New Roman"/>
      <family val="1"/>
    </font>
    <font>
      <b/>
      <sz val="8"/>
      <color theme="1"/>
      <name val="Times New Roman"/>
      <family val="1"/>
    </font>
    <font>
      <b/>
      <sz val="12"/>
      <color theme="1"/>
      <name val="Times New Roman"/>
      <family val="1"/>
    </font>
    <font>
      <b/>
      <sz val="10"/>
      <color theme="1"/>
      <name val="Times New Roman"/>
      <family val="1"/>
    </font>
    <font>
      <b/>
      <sz val="9"/>
      <color theme="1"/>
      <name val="Times New Roman"/>
      <family val="1"/>
    </font>
    <font>
      <sz val="9"/>
      <color theme="1"/>
      <name val="Times New Roman"/>
      <family val="1"/>
    </font>
    <font>
      <sz val="6.5"/>
      <color theme="1"/>
      <name val="Times New Roman"/>
      <family val="1"/>
    </font>
    <font>
      <sz val="6"/>
      <color theme="1"/>
      <name val="Times New Roman"/>
      <family val="1"/>
    </font>
    <font>
      <sz val="7.5"/>
      <color theme="1"/>
      <name val="Times New Roman"/>
      <family val="1"/>
    </font>
    <font>
      <b/>
      <sz val="7"/>
      <color theme="1"/>
      <name val="Arial Narrow"/>
      <family val="2"/>
    </font>
    <font>
      <b/>
      <sz val="6"/>
      <color theme="1"/>
      <name val="Arial Narrow"/>
      <family val="2"/>
    </font>
    <font>
      <sz val="7"/>
      <color theme="1"/>
      <name val="Arial Narrow"/>
      <family val="2"/>
    </font>
    <font>
      <sz val="10"/>
      <color theme="1"/>
      <name val="Times New Roman"/>
      <family val="1"/>
    </font>
    <font>
      <sz val="7"/>
      <color theme="1"/>
      <name val="Times New Roman"/>
      <family val="1"/>
    </font>
    <font>
      <sz val="8"/>
      <color theme="1"/>
      <name val="Arial"/>
      <family val="2"/>
    </font>
    <font>
      <sz val="8"/>
      <color rgb="FF000066"/>
      <name val="Times New Roman"/>
      <family val="1"/>
    </font>
    <font>
      <b/>
      <sz val="7.5"/>
      <color theme="1"/>
      <name val="Times New Roman"/>
      <family val="1"/>
    </font>
    <font>
      <b/>
      <sz val="52"/>
      <color theme="0"/>
      <name val="Arial"/>
      <family val="2"/>
    </font>
    <font>
      <b/>
      <sz val="36"/>
      <color theme="0"/>
      <name val="Arial Narrow"/>
      <family val="2"/>
    </font>
    <font>
      <sz val="6"/>
      <color rgb="FF000000"/>
      <name val="Times New Roman"/>
      <family val="1"/>
    </font>
    <font>
      <b/>
      <sz val="7.5"/>
      <color theme="1"/>
      <name val="Arial Narrow"/>
      <family val="2"/>
    </font>
    <font>
      <sz val="8.5"/>
      <color theme="1"/>
      <name val="Times New Roman"/>
      <family val="1"/>
    </font>
    <font>
      <b/>
      <sz val="12"/>
      <color indexed="18"/>
      <name val="Times New Roman"/>
      <family val="1"/>
    </font>
    <font>
      <sz val="12"/>
      <color indexed="18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8"/>
      <name val="Times New Roman"/>
      <family val="1"/>
    </font>
    <font>
      <sz val="6.5"/>
      <name val="Times New Roman"/>
      <family val="1"/>
    </font>
    <font>
      <b/>
      <sz val="8"/>
      <name val="Times New Roman"/>
      <family val="1"/>
    </font>
    <font>
      <b/>
      <sz val="9"/>
      <name val="Times New Roman"/>
      <family val="1"/>
    </font>
    <font>
      <sz val="7"/>
      <name val="Times New Roman"/>
      <family val="1"/>
    </font>
    <font>
      <sz val="11"/>
      <name val="Times New Roman"/>
      <family val="1"/>
    </font>
    <font>
      <b/>
      <vertAlign val="superscript"/>
      <sz val="10"/>
      <name val="Times New Roman"/>
      <family val="1"/>
    </font>
    <font>
      <vertAlign val="superscript"/>
      <sz val="9"/>
      <name val="Times New Roman"/>
      <family val="1"/>
    </font>
    <font>
      <vertAlign val="superscript"/>
      <sz val="8"/>
      <name val="Times New Roman"/>
      <family val="1"/>
    </font>
    <font>
      <b/>
      <vertAlign val="superscript"/>
      <sz val="8"/>
      <name val="Times New Roman"/>
      <family val="1"/>
    </font>
    <font>
      <b/>
      <vertAlign val="superscript"/>
      <sz val="8"/>
      <color indexed="8"/>
      <name val="Arial Narrow"/>
      <family val="2"/>
    </font>
    <font>
      <b/>
      <sz val="14"/>
      <name val="Sylfaen"/>
      <family val="1"/>
    </font>
    <font>
      <sz val="10"/>
      <name val="Sylfaen"/>
      <family val="1"/>
    </font>
    <font>
      <sz val="12"/>
      <name val="Sylfaen"/>
      <family val="1"/>
    </font>
    <font>
      <b/>
      <sz val="12"/>
      <name val="Sylfaen"/>
      <family val="1"/>
    </font>
    <font>
      <sz val="14"/>
      <name val="Sylfaen"/>
      <family val="1"/>
    </font>
    <font>
      <b/>
      <sz val="18"/>
      <name val="Arial"/>
      <family val="2"/>
    </font>
    <font>
      <sz val="16"/>
      <name val="Sylfaen"/>
      <family val="1"/>
    </font>
    <font>
      <b/>
      <sz val="16"/>
      <name val="Sylfaen"/>
      <family val="1"/>
    </font>
    <font>
      <b/>
      <sz val="13"/>
      <name val="Sylfaen"/>
      <family val="1"/>
    </font>
    <font>
      <sz val="13"/>
      <name val="Sylfaen"/>
      <family val="1"/>
    </font>
    <font>
      <sz val="18"/>
      <name val="Sylfaen"/>
      <family val="1"/>
    </font>
    <font>
      <b/>
      <sz val="18"/>
      <name val="Sylfaen"/>
      <family val="1"/>
    </font>
    <font>
      <b/>
      <sz val="12"/>
      <name val="Times New Roman"/>
      <family val="1"/>
    </font>
    <font>
      <sz val="12"/>
      <name val="Times New Roman"/>
      <family val="1"/>
    </font>
    <font>
      <sz val="10"/>
      <name val="Times New Roman"/>
      <family val="1"/>
    </font>
    <font>
      <b/>
      <sz val="9"/>
      <name val="Times New Roman"/>
      <family val="1"/>
    </font>
    <font>
      <sz val="9"/>
      <name val="Times New Roman"/>
      <family val="1"/>
    </font>
    <font>
      <b/>
      <sz val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name val="Arial"/>
      <family val="1"/>
    </font>
    <font>
      <sz val="6"/>
      <name val="Times New Roman"/>
      <family val="1"/>
    </font>
    <font>
      <b/>
      <sz val="14"/>
      <color indexed="8"/>
      <name val="Times New Roman"/>
      <family val="1"/>
    </font>
    <font>
      <sz val="11"/>
      <color theme="1"/>
      <name val="Times New Roman"/>
      <family val="1"/>
    </font>
    <font>
      <b/>
      <sz val="16"/>
      <color indexed="8"/>
      <name val="Calibri"/>
      <family val="2"/>
      <scheme val="minor"/>
    </font>
    <font>
      <b/>
      <sz val="8.5"/>
      <name val="Times New Roman"/>
      <family val="1"/>
    </font>
    <font>
      <b/>
      <sz val="14"/>
      <color theme="1"/>
      <name val="Times New Roman"/>
      <family val="1"/>
    </font>
    <font>
      <b/>
      <sz val="11"/>
      <color theme="1"/>
      <name val="Times New Roman"/>
      <family val="1"/>
    </font>
    <font>
      <b/>
      <vertAlign val="superscript"/>
      <sz val="9"/>
      <color theme="1"/>
      <name val="Times New Roman"/>
      <family val="1"/>
    </font>
    <font>
      <vertAlign val="superscript"/>
      <sz val="8"/>
      <color rgb="FF000000"/>
      <name val="Times New Roman"/>
      <family val="1"/>
    </font>
    <font>
      <b/>
      <vertAlign val="superscript"/>
      <sz val="8"/>
      <color rgb="FF000000"/>
      <name val="Times New Roman"/>
      <family val="1"/>
    </font>
    <font>
      <sz val="9"/>
      <color rgb="FF000000"/>
      <name val="Times New Roman"/>
      <family val="1"/>
    </font>
    <font>
      <b/>
      <sz val="11"/>
      <name val="Calibri"/>
      <family val="2"/>
      <scheme val="minor"/>
    </font>
    <font>
      <b/>
      <vertAlign val="superscript"/>
      <sz val="8"/>
      <color theme="1"/>
      <name val="Times New Roman"/>
      <family val="1"/>
    </font>
    <font>
      <vertAlign val="superscript"/>
      <sz val="7.5"/>
      <color indexed="8"/>
      <name val="Times New Roman"/>
      <family val="1"/>
    </font>
  </fonts>
  <fills count="37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7D7D7"/>
      </patternFill>
    </fill>
  </fills>
  <borders count="7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64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8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/>
      <bottom style="thin">
        <color auto="1"/>
      </bottom>
      <diagonal/>
    </border>
  </borders>
  <cellStyleXfs count="233">
    <xf numFmtId="0" fontId="0" fillId="0" borderId="0"/>
    <xf numFmtId="0" fontId="96" fillId="3" borderId="0" applyNumberFormat="0" applyBorder="0" applyAlignment="0" applyProtection="0"/>
    <xf numFmtId="0" fontId="96" fillId="3" borderId="0" applyNumberFormat="0" applyBorder="0" applyAlignment="0" applyProtection="0"/>
    <xf numFmtId="0" fontId="96" fillId="3" borderId="0" applyNumberFormat="0" applyBorder="0" applyAlignment="0" applyProtection="0"/>
    <xf numFmtId="0" fontId="96" fillId="3" borderId="0" applyNumberFormat="0" applyBorder="0" applyAlignment="0" applyProtection="0"/>
    <xf numFmtId="0" fontId="96" fillId="3" borderId="0" applyNumberFormat="0" applyBorder="0" applyAlignment="0" applyProtection="0"/>
    <xf numFmtId="0" fontId="96" fillId="4" borderId="0" applyNumberFormat="0" applyBorder="0" applyAlignment="0" applyProtection="0"/>
    <xf numFmtId="0" fontId="96" fillId="4" borderId="0" applyNumberFormat="0" applyBorder="0" applyAlignment="0" applyProtection="0"/>
    <xf numFmtId="0" fontId="96" fillId="4" borderId="0" applyNumberFormat="0" applyBorder="0" applyAlignment="0" applyProtection="0"/>
    <xf numFmtId="0" fontId="96" fillId="4" borderId="0" applyNumberFormat="0" applyBorder="0" applyAlignment="0" applyProtection="0"/>
    <xf numFmtId="0" fontId="96" fillId="4" borderId="0" applyNumberFormat="0" applyBorder="0" applyAlignment="0" applyProtection="0"/>
    <xf numFmtId="0" fontId="96" fillId="5" borderId="0" applyNumberFormat="0" applyBorder="0" applyAlignment="0" applyProtection="0"/>
    <xf numFmtId="0" fontId="96" fillId="5" borderId="0" applyNumberFormat="0" applyBorder="0" applyAlignment="0" applyProtection="0"/>
    <xf numFmtId="0" fontId="96" fillId="5" borderId="0" applyNumberFormat="0" applyBorder="0" applyAlignment="0" applyProtection="0"/>
    <xf numFmtId="0" fontId="96" fillId="5" borderId="0" applyNumberFormat="0" applyBorder="0" applyAlignment="0" applyProtection="0"/>
    <xf numFmtId="0" fontId="96" fillId="5" borderId="0" applyNumberFormat="0" applyBorder="0" applyAlignment="0" applyProtection="0"/>
    <xf numFmtId="0" fontId="96" fillId="6" borderId="0" applyNumberFormat="0" applyBorder="0" applyAlignment="0" applyProtection="0"/>
    <xf numFmtId="0" fontId="96" fillId="6" borderId="0" applyNumberFormat="0" applyBorder="0" applyAlignment="0" applyProtection="0"/>
    <xf numFmtId="0" fontId="96" fillId="6" borderId="0" applyNumberFormat="0" applyBorder="0" applyAlignment="0" applyProtection="0"/>
    <xf numFmtId="0" fontId="96" fillId="6" borderId="0" applyNumberFormat="0" applyBorder="0" applyAlignment="0" applyProtection="0"/>
    <xf numFmtId="0" fontId="96" fillId="6" borderId="0" applyNumberFormat="0" applyBorder="0" applyAlignment="0" applyProtection="0"/>
    <xf numFmtId="0" fontId="96" fillId="7" borderId="0" applyNumberFormat="0" applyBorder="0" applyAlignment="0" applyProtection="0"/>
    <xf numFmtId="0" fontId="96" fillId="7" borderId="0" applyNumberFormat="0" applyBorder="0" applyAlignment="0" applyProtection="0"/>
    <xf numFmtId="0" fontId="96" fillId="7" borderId="0" applyNumberFormat="0" applyBorder="0" applyAlignment="0" applyProtection="0"/>
    <xf numFmtId="0" fontId="96" fillId="7" borderId="0" applyNumberFormat="0" applyBorder="0" applyAlignment="0" applyProtection="0"/>
    <xf numFmtId="0" fontId="96" fillId="7" borderId="0" applyNumberFormat="0" applyBorder="0" applyAlignment="0" applyProtection="0"/>
    <xf numFmtId="0" fontId="96" fillId="8" borderId="0" applyNumberFormat="0" applyBorder="0" applyAlignment="0" applyProtection="0"/>
    <xf numFmtId="0" fontId="96" fillId="8" borderId="0" applyNumberFormat="0" applyBorder="0" applyAlignment="0" applyProtection="0"/>
    <xf numFmtId="0" fontId="96" fillId="8" borderId="0" applyNumberFormat="0" applyBorder="0" applyAlignment="0" applyProtection="0"/>
    <xf numFmtId="0" fontId="96" fillId="8" borderId="0" applyNumberFormat="0" applyBorder="0" applyAlignment="0" applyProtection="0"/>
    <xf numFmtId="0" fontId="96" fillId="8" borderId="0" applyNumberFormat="0" applyBorder="0" applyAlignment="0" applyProtection="0"/>
    <xf numFmtId="0" fontId="96" fillId="9" borderId="0" applyNumberFormat="0" applyBorder="0" applyAlignment="0" applyProtection="0"/>
    <xf numFmtId="0" fontId="96" fillId="9" borderId="0" applyNumberFormat="0" applyBorder="0" applyAlignment="0" applyProtection="0"/>
    <xf numFmtId="0" fontId="96" fillId="9" borderId="0" applyNumberFormat="0" applyBorder="0" applyAlignment="0" applyProtection="0"/>
    <xf numFmtId="0" fontId="96" fillId="9" borderId="0" applyNumberFormat="0" applyBorder="0" applyAlignment="0" applyProtection="0"/>
    <xf numFmtId="0" fontId="96" fillId="9" borderId="0" applyNumberFormat="0" applyBorder="0" applyAlignment="0" applyProtection="0"/>
    <xf numFmtId="0" fontId="96" fillId="10" borderId="0" applyNumberFormat="0" applyBorder="0" applyAlignment="0" applyProtection="0"/>
    <xf numFmtId="0" fontId="96" fillId="10" borderId="0" applyNumberFormat="0" applyBorder="0" applyAlignment="0" applyProtection="0"/>
    <xf numFmtId="0" fontId="96" fillId="10" borderId="0" applyNumberFormat="0" applyBorder="0" applyAlignment="0" applyProtection="0"/>
    <xf numFmtId="0" fontId="96" fillId="10" borderId="0" applyNumberFormat="0" applyBorder="0" applyAlignment="0" applyProtection="0"/>
    <xf numFmtId="0" fontId="96" fillId="10" borderId="0" applyNumberFormat="0" applyBorder="0" applyAlignment="0" applyProtection="0"/>
    <xf numFmtId="0" fontId="96" fillId="11" borderId="0" applyNumberFormat="0" applyBorder="0" applyAlignment="0" applyProtection="0"/>
    <xf numFmtId="0" fontId="96" fillId="11" borderId="0" applyNumberFormat="0" applyBorder="0" applyAlignment="0" applyProtection="0"/>
    <xf numFmtId="0" fontId="96" fillId="11" borderId="0" applyNumberFormat="0" applyBorder="0" applyAlignment="0" applyProtection="0"/>
    <xf numFmtId="0" fontId="96" fillId="11" borderId="0" applyNumberFormat="0" applyBorder="0" applyAlignment="0" applyProtection="0"/>
    <xf numFmtId="0" fontId="96" fillId="11" borderId="0" applyNumberFormat="0" applyBorder="0" applyAlignment="0" applyProtection="0"/>
    <xf numFmtId="0" fontId="96" fillId="12" borderId="0" applyNumberFormat="0" applyBorder="0" applyAlignment="0" applyProtection="0"/>
    <xf numFmtId="0" fontId="96" fillId="12" borderId="0" applyNumberFormat="0" applyBorder="0" applyAlignment="0" applyProtection="0"/>
    <xf numFmtId="0" fontId="96" fillId="12" borderId="0" applyNumberFormat="0" applyBorder="0" applyAlignment="0" applyProtection="0"/>
    <xf numFmtId="0" fontId="96" fillId="12" borderId="0" applyNumberFormat="0" applyBorder="0" applyAlignment="0" applyProtection="0"/>
    <xf numFmtId="0" fontId="96" fillId="12" borderId="0" applyNumberFormat="0" applyBorder="0" applyAlignment="0" applyProtection="0"/>
    <xf numFmtId="0" fontId="96" fillId="13" borderId="0" applyNumberFormat="0" applyBorder="0" applyAlignment="0" applyProtection="0"/>
    <xf numFmtId="0" fontId="96" fillId="13" borderId="0" applyNumberFormat="0" applyBorder="0" applyAlignment="0" applyProtection="0"/>
    <xf numFmtId="0" fontId="96" fillId="13" borderId="0" applyNumberFormat="0" applyBorder="0" applyAlignment="0" applyProtection="0"/>
    <xf numFmtId="0" fontId="96" fillId="13" borderId="0" applyNumberFormat="0" applyBorder="0" applyAlignment="0" applyProtection="0"/>
    <xf numFmtId="0" fontId="96" fillId="13" borderId="0" applyNumberFormat="0" applyBorder="0" applyAlignment="0" applyProtection="0"/>
    <xf numFmtId="0" fontId="96" fillId="14" borderId="0" applyNumberFormat="0" applyBorder="0" applyAlignment="0" applyProtection="0"/>
    <xf numFmtId="0" fontId="96" fillId="14" borderId="0" applyNumberFormat="0" applyBorder="0" applyAlignment="0" applyProtection="0"/>
    <xf numFmtId="0" fontId="96" fillId="14" borderId="0" applyNumberFormat="0" applyBorder="0" applyAlignment="0" applyProtection="0"/>
    <xf numFmtId="0" fontId="96" fillId="14" borderId="0" applyNumberFormat="0" applyBorder="0" applyAlignment="0" applyProtection="0"/>
    <xf numFmtId="0" fontId="96" fillId="14" borderId="0" applyNumberFormat="0" applyBorder="0" applyAlignment="0" applyProtection="0"/>
    <xf numFmtId="0" fontId="97" fillId="15" borderId="0" applyNumberFormat="0" applyBorder="0" applyAlignment="0" applyProtection="0"/>
    <xf numFmtId="0" fontId="97" fillId="15" borderId="0" applyNumberFormat="0" applyBorder="0" applyAlignment="0" applyProtection="0"/>
    <xf numFmtId="0" fontId="97" fillId="15" borderId="0" applyNumberFormat="0" applyBorder="0" applyAlignment="0" applyProtection="0"/>
    <xf numFmtId="0" fontId="97" fillId="15" borderId="0" applyNumberFormat="0" applyBorder="0" applyAlignment="0" applyProtection="0"/>
    <xf numFmtId="0" fontId="97" fillId="15" borderId="0" applyNumberFormat="0" applyBorder="0" applyAlignment="0" applyProtection="0"/>
    <xf numFmtId="0" fontId="97" fillId="16" borderId="0" applyNumberFormat="0" applyBorder="0" applyAlignment="0" applyProtection="0"/>
    <xf numFmtId="0" fontId="97" fillId="16" borderId="0" applyNumberFormat="0" applyBorder="0" applyAlignment="0" applyProtection="0"/>
    <xf numFmtId="0" fontId="97" fillId="16" borderId="0" applyNumberFormat="0" applyBorder="0" applyAlignment="0" applyProtection="0"/>
    <xf numFmtId="0" fontId="97" fillId="16" borderId="0" applyNumberFormat="0" applyBorder="0" applyAlignment="0" applyProtection="0"/>
    <xf numFmtId="0" fontId="97" fillId="16" borderId="0" applyNumberFormat="0" applyBorder="0" applyAlignment="0" applyProtection="0"/>
    <xf numFmtId="0" fontId="97" fillId="17" borderId="0" applyNumberFormat="0" applyBorder="0" applyAlignment="0" applyProtection="0"/>
    <xf numFmtId="0" fontId="97" fillId="17" borderId="0" applyNumberFormat="0" applyBorder="0" applyAlignment="0" applyProtection="0"/>
    <xf numFmtId="0" fontId="97" fillId="17" borderId="0" applyNumberFormat="0" applyBorder="0" applyAlignment="0" applyProtection="0"/>
    <xf numFmtId="0" fontId="97" fillId="17" borderId="0" applyNumberFormat="0" applyBorder="0" applyAlignment="0" applyProtection="0"/>
    <xf numFmtId="0" fontId="97" fillId="17" borderId="0" applyNumberFormat="0" applyBorder="0" applyAlignment="0" applyProtection="0"/>
    <xf numFmtId="0" fontId="97" fillId="18" borderId="0" applyNumberFormat="0" applyBorder="0" applyAlignment="0" applyProtection="0"/>
    <xf numFmtId="0" fontId="97" fillId="18" borderId="0" applyNumberFormat="0" applyBorder="0" applyAlignment="0" applyProtection="0"/>
    <xf numFmtId="0" fontId="97" fillId="18" borderId="0" applyNumberFormat="0" applyBorder="0" applyAlignment="0" applyProtection="0"/>
    <xf numFmtId="0" fontId="97" fillId="18" borderId="0" applyNumberFormat="0" applyBorder="0" applyAlignment="0" applyProtection="0"/>
    <xf numFmtId="0" fontId="97" fillId="18" borderId="0" applyNumberFormat="0" applyBorder="0" applyAlignment="0" applyProtection="0"/>
    <xf numFmtId="0" fontId="97" fillId="19" borderId="0" applyNumberFormat="0" applyBorder="0" applyAlignment="0" applyProtection="0"/>
    <xf numFmtId="0" fontId="97" fillId="19" borderId="0" applyNumberFormat="0" applyBorder="0" applyAlignment="0" applyProtection="0"/>
    <xf numFmtId="0" fontId="97" fillId="19" borderId="0" applyNumberFormat="0" applyBorder="0" applyAlignment="0" applyProtection="0"/>
    <xf numFmtId="0" fontId="97" fillId="19" borderId="0" applyNumberFormat="0" applyBorder="0" applyAlignment="0" applyProtection="0"/>
    <xf numFmtId="0" fontId="97" fillId="19" borderId="0" applyNumberFormat="0" applyBorder="0" applyAlignment="0" applyProtection="0"/>
    <xf numFmtId="0" fontId="97" fillId="20" borderId="0" applyNumberFormat="0" applyBorder="0" applyAlignment="0" applyProtection="0"/>
    <xf numFmtId="0" fontId="97" fillId="20" borderId="0" applyNumberFormat="0" applyBorder="0" applyAlignment="0" applyProtection="0"/>
    <xf numFmtId="0" fontId="97" fillId="20" borderId="0" applyNumberFormat="0" applyBorder="0" applyAlignment="0" applyProtection="0"/>
    <xf numFmtId="0" fontId="97" fillId="20" borderId="0" applyNumberFormat="0" applyBorder="0" applyAlignment="0" applyProtection="0"/>
    <xf numFmtId="0" fontId="97" fillId="20" borderId="0" applyNumberFormat="0" applyBorder="0" applyAlignment="0" applyProtection="0"/>
    <xf numFmtId="0" fontId="97" fillId="21" borderId="0" applyNumberFormat="0" applyBorder="0" applyAlignment="0" applyProtection="0"/>
    <xf numFmtId="0" fontId="97" fillId="21" borderId="0" applyNumberFormat="0" applyBorder="0" applyAlignment="0" applyProtection="0"/>
    <xf numFmtId="0" fontId="97" fillId="21" borderId="0" applyNumberFormat="0" applyBorder="0" applyAlignment="0" applyProtection="0"/>
    <xf numFmtId="0" fontId="97" fillId="21" borderId="0" applyNumberFormat="0" applyBorder="0" applyAlignment="0" applyProtection="0"/>
    <xf numFmtId="0" fontId="97" fillId="21" borderId="0" applyNumberFormat="0" applyBorder="0" applyAlignment="0" applyProtection="0"/>
    <xf numFmtId="0" fontId="97" fillId="22" borderId="0" applyNumberFormat="0" applyBorder="0" applyAlignment="0" applyProtection="0"/>
    <xf numFmtId="0" fontId="97" fillId="22" borderId="0" applyNumberFormat="0" applyBorder="0" applyAlignment="0" applyProtection="0"/>
    <xf numFmtId="0" fontId="97" fillId="22" borderId="0" applyNumberFormat="0" applyBorder="0" applyAlignment="0" applyProtection="0"/>
    <xf numFmtId="0" fontId="97" fillId="22" borderId="0" applyNumberFormat="0" applyBorder="0" applyAlignment="0" applyProtection="0"/>
    <xf numFmtId="0" fontId="97" fillId="22" borderId="0" applyNumberFormat="0" applyBorder="0" applyAlignment="0" applyProtection="0"/>
    <xf numFmtId="0" fontId="97" fillId="23" borderId="0" applyNumberFormat="0" applyBorder="0" applyAlignment="0" applyProtection="0"/>
    <xf numFmtId="0" fontId="97" fillId="23" borderId="0" applyNumberFormat="0" applyBorder="0" applyAlignment="0" applyProtection="0"/>
    <xf numFmtId="0" fontId="97" fillId="23" borderId="0" applyNumberFormat="0" applyBorder="0" applyAlignment="0" applyProtection="0"/>
    <xf numFmtId="0" fontId="97" fillId="23" borderId="0" applyNumberFormat="0" applyBorder="0" applyAlignment="0" applyProtection="0"/>
    <xf numFmtId="0" fontId="97" fillId="23" borderId="0" applyNumberFormat="0" applyBorder="0" applyAlignment="0" applyProtection="0"/>
    <xf numFmtId="0" fontId="97" fillId="24" borderId="0" applyNumberFormat="0" applyBorder="0" applyAlignment="0" applyProtection="0"/>
    <xf numFmtId="0" fontId="97" fillId="24" borderId="0" applyNumberFormat="0" applyBorder="0" applyAlignment="0" applyProtection="0"/>
    <xf numFmtId="0" fontId="97" fillId="24" borderId="0" applyNumberFormat="0" applyBorder="0" applyAlignment="0" applyProtection="0"/>
    <xf numFmtId="0" fontId="97" fillId="24" borderId="0" applyNumberFormat="0" applyBorder="0" applyAlignment="0" applyProtection="0"/>
    <xf numFmtId="0" fontId="97" fillId="24" borderId="0" applyNumberFormat="0" applyBorder="0" applyAlignment="0" applyProtection="0"/>
    <xf numFmtId="0" fontId="97" fillId="25" borderId="0" applyNumberFormat="0" applyBorder="0" applyAlignment="0" applyProtection="0"/>
    <xf numFmtId="0" fontId="97" fillId="25" borderId="0" applyNumberFormat="0" applyBorder="0" applyAlignment="0" applyProtection="0"/>
    <xf numFmtId="0" fontId="97" fillId="25" borderId="0" applyNumberFormat="0" applyBorder="0" applyAlignment="0" applyProtection="0"/>
    <xf numFmtId="0" fontId="97" fillId="25" borderId="0" applyNumberFormat="0" applyBorder="0" applyAlignment="0" applyProtection="0"/>
    <xf numFmtId="0" fontId="97" fillId="25" borderId="0" applyNumberFormat="0" applyBorder="0" applyAlignment="0" applyProtection="0"/>
    <xf numFmtId="0" fontId="97" fillId="26" borderId="0" applyNumberFormat="0" applyBorder="0" applyAlignment="0" applyProtection="0"/>
    <xf numFmtId="0" fontId="97" fillId="26" borderId="0" applyNumberFormat="0" applyBorder="0" applyAlignment="0" applyProtection="0"/>
    <xf numFmtId="0" fontId="97" fillId="26" borderId="0" applyNumberFormat="0" applyBorder="0" applyAlignment="0" applyProtection="0"/>
    <xf numFmtId="0" fontId="97" fillId="26" borderId="0" applyNumberFormat="0" applyBorder="0" applyAlignment="0" applyProtection="0"/>
    <xf numFmtId="0" fontId="97" fillId="26" borderId="0" applyNumberFormat="0" applyBorder="0" applyAlignment="0" applyProtection="0"/>
    <xf numFmtId="0" fontId="98" fillId="27" borderId="0" applyNumberFormat="0" applyBorder="0" applyAlignment="0" applyProtection="0"/>
    <xf numFmtId="0" fontId="98" fillId="27" borderId="0" applyNumberFormat="0" applyBorder="0" applyAlignment="0" applyProtection="0"/>
    <xf numFmtId="0" fontId="98" fillId="27" borderId="0" applyNumberFormat="0" applyBorder="0" applyAlignment="0" applyProtection="0"/>
    <xf numFmtId="0" fontId="98" fillId="27" borderId="0" applyNumberFormat="0" applyBorder="0" applyAlignment="0" applyProtection="0"/>
    <xf numFmtId="0" fontId="98" fillId="27" borderId="0" applyNumberFormat="0" applyBorder="0" applyAlignment="0" applyProtection="0"/>
    <xf numFmtId="0" fontId="99" fillId="28" borderId="39" applyNumberFormat="0" applyAlignment="0" applyProtection="0"/>
    <xf numFmtId="0" fontId="99" fillId="28" borderId="39" applyNumberFormat="0" applyAlignment="0" applyProtection="0"/>
    <xf numFmtId="0" fontId="99" fillId="28" borderId="39" applyNumberFormat="0" applyAlignment="0" applyProtection="0"/>
    <xf numFmtId="0" fontId="99" fillId="28" borderId="39" applyNumberFormat="0" applyAlignment="0" applyProtection="0"/>
    <xf numFmtId="0" fontId="99" fillId="28" borderId="39" applyNumberFormat="0" applyAlignment="0" applyProtection="0"/>
    <xf numFmtId="0" fontId="100" fillId="29" borderId="40" applyNumberFormat="0" applyAlignment="0" applyProtection="0"/>
    <xf numFmtId="0" fontId="100" fillId="29" borderId="40" applyNumberFormat="0" applyAlignment="0" applyProtection="0"/>
    <xf numFmtId="0" fontId="100" fillId="29" borderId="40" applyNumberFormat="0" applyAlignment="0" applyProtection="0"/>
    <xf numFmtId="0" fontId="100" fillId="29" borderId="40" applyNumberFormat="0" applyAlignment="0" applyProtection="0"/>
    <xf numFmtId="0" fontId="100" fillId="29" borderId="40" applyNumberFormat="0" applyAlignment="0" applyProtection="0"/>
    <xf numFmtId="43" fontId="2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1" fillId="0" borderId="0" applyNumberFormat="0" applyFill="0" applyBorder="0" applyAlignment="0" applyProtection="0"/>
    <xf numFmtId="0" fontId="101" fillId="0" borderId="0" applyNumberFormat="0" applyFill="0" applyBorder="0" applyAlignment="0" applyProtection="0"/>
    <xf numFmtId="0" fontId="101" fillId="0" borderId="0" applyNumberFormat="0" applyFill="0" applyBorder="0" applyAlignment="0" applyProtection="0"/>
    <xf numFmtId="0" fontId="101" fillId="0" borderId="0" applyNumberFormat="0" applyFill="0" applyBorder="0" applyAlignment="0" applyProtection="0"/>
    <xf numFmtId="0" fontId="101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3" fillId="30" borderId="0" applyNumberFormat="0" applyBorder="0" applyAlignment="0" applyProtection="0"/>
    <xf numFmtId="0" fontId="103" fillId="30" borderId="0" applyNumberFormat="0" applyBorder="0" applyAlignment="0" applyProtection="0"/>
    <xf numFmtId="0" fontId="103" fillId="30" borderId="0" applyNumberFormat="0" applyBorder="0" applyAlignment="0" applyProtection="0"/>
    <xf numFmtId="0" fontId="103" fillId="30" borderId="0" applyNumberFormat="0" applyBorder="0" applyAlignment="0" applyProtection="0"/>
    <xf numFmtId="0" fontId="103" fillId="30" borderId="0" applyNumberFormat="0" applyBorder="0" applyAlignment="0" applyProtection="0"/>
    <xf numFmtId="0" fontId="104" fillId="0" borderId="41" applyNumberFormat="0" applyFill="0" applyAlignment="0" applyProtection="0"/>
    <xf numFmtId="0" fontId="104" fillId="0" borderId="41" applyNumberFormat="0" applyFill="0" applyAlignment="0" applyProtection="0"/>
    <xf numFmtId="0" fontId="104" fillId="0" borderId="41" applyNumberFormat="0" applyFill="0" applyAlignment="0" applyProtection="0"/>
    <xf numFmtId="0" fontId="104" fillId="0" borderId="41" applyNumberFormat="0" applyFill="0" applyAlignment="0" applyProtection="0"/>
    <xf numFmtId="0" fontId="104" fillId="0" borderId="41" applyNumberFormat="0" applyFill="0" applyAlignment="0" applyProtection="0"/>
    <xf numFmtId="0" fontId="105" fillId="0" borderId="42" applyNumberFormat="0" applyFill="0" applyAlignment="0" applyProtection="0"/>
    <xf numFmtId="0" fontId="105" fillId="0" borderId="42" applyNumberFormat="0" applyFill="0" applyAlignment="0" applyProtection="0"/>
    <xf numFmtId="0" fontId="105" fillId="0" borderId="42" applyNumberFormat="0" applyFill="0" applyAlignment="0" applyProtection="0"/>
    <xf numFmtId="0" fontId="105" fillId="0" borderId="42" applyNumberFormat="0" applyFill="0" applyAlignment="0" applyProtection="0"/>
    <xf numFmtId="0" fontId="105" fillId="0" borderId="42" applyNumberFormat="0" applyFill="0" applyAlignment="0" applyProtection="0"/>
    <xf numFmtId="0" fontId="106" fillId="0" borderId="43" applyNumberFormat="0" applyFill="0" applyAlignment="0" applyProtection="0"/>
    <xf numFmtId="0" fontId="106" fillId="0" borderId="43" applyNumberFormat="0" applyFill="0" applyAlignment="0" applyProtection="0"/>
    <xf numFmtId="0" fontId="106" fillId="0" borderId="43" applyNumberFormat="0" applyFill="0" applyAlignment="0" applyProtection="0"/>
    <xf numFmtId="0" fontId="106" fillId="0" borderId="43" applyNumberFormat="0" applyFill="0" applyAlignment="0" applyProtection="0"/>
    <xf numFmtId="0" fontId="106" fillId="0" borderId="43" applyNumberFormat="0" applyFill="0" applyAlignment="0" applyProtection="0"/>
    <xf numFmtId="0" fontId="106" fillId="0" borderId="0" applyNumberFormat="0" applyFill="0" applyBorder="0" applyAlignment="0" applyProtection="0"/>
    <xf numFmtId="0" fontId="106" fillId="0" borderId="0" applyNumberFormat="0" applyFill="0" applyBorder="0" applyAlignment="0" applyProtection="0"/>
    <xf numFmtId="0" fontId="106" fillId="0" borderId="0" applyNumberFormat="0" applyFill="0" applyBorder="0" applyAlignment="0" applyProtection="0"/>
    <xf numFmtId="0" fontId="106" fillId="0" borderId="0" applyNumberFormat="0" applyFill="0" applyBorder="0" applyAlignment="0" applyProtection="0"/>
    <xf numFmtId="0" fontId="106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8" fillId="31" borderId="39" applyNumberFormat="0" applyAlignment="0" applyProtection="0"/>
    <xf numFmtId="0" fontId="108" fillId="31" borderId="39" applyNumberFormat="0" applyAlignment="0" applyProtection="0"/>
    <xf numFmtId="0" fontId="108" fillId="31" borderId="39" applyNumberFormat="0" applyAlignment="0" applyProtection="0"/>
    <xf numFmtId="0" fontId="108" fillId="31" borderId="39" applyNumberFormat="0" applyAlignment="0" applyProtection="0"/>
    <xf numFmtId="0" fontId="108" fillId="31" borderId="39" applyNumberFormat="0" applyAlignment="0" applyProtection="0"/>
    <xf numFmtId="0" fontId="109" fillId="0" borderId="44" applyNumberFormat="0" applyFill="0" applyAlignment="0" applyProtection="0"/>
    <xf numFmtId="0" fontId="109" fillId="0" borderId="44" applyNumberFormat="0" applyFill="0" applyAlignment="0" applyProtection="0"/>
    <xf numFmtId="0" fontId="109" fillId="0" borderId="44" applyNumberFormat="0" applyFill="0" applyAlignment="0" applyProtection="0"/>
    <xf numFmtId="0" fontId="109" fillId="0" borderId="44" applyNumberFormat="0" applyFill="0" applyAlignment="0" applyProtection="0"/>
    <xf numFmtId="0" fontId="109" fillId="0" borderId="44" applyNumberFormat="0" applyFill="0" applyAlignment="0" applyProtection="0"/>
    <xf numFmtId="0" fontId="110" fillId="32" borderId="0" applyNumberFormat="0" applyBorder="0" applyAlignment="0" applyProtection="0"/>
    <xf numFmtId="0" fontId="110" fillId="32" borderId="0" applyNumberFormat="0" applyBorder="0" applyAlignment="0" applyProtection="0"/>
    <xf numFmtId="0" fontId="110" fillId="32" borderId="0" applyNumberFormat="0" applyBorder="0" applyAlignment="0" applyProtection="0"/>
    <xf numFmtId="0" fontId="110" fillId="32" borderId="0" applyNumberFormat="0" applyBorder="0" applyAlignment="0" applyProtection="0"/>
    <xf numFmtId="0" fontId="110" fillId="32" borderId="0" applyNumberFormat="0" applyBorder="0" applyAlignment="0" applyProtection="0"/>
    <xf numFmtId="0" fontId="95" fillId="0" borderId="0"/>
    <xf numFmtId="0" fontId="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6" fillId="33" borderId="45" applyNumberFormat="0" applyFont="0" applyAlignment="0" applyProtection="0"/>
    <xf numFmtId="0" fontId="96" fillId="33" borderId="45" applyNumberFormat="0" applyFont="0" applyAlignment="0" applyProtection="0"/>
    <xf numFmtId="0" fontId="96" fillId="33" borderId="45" applyNumberFormat="0" applyFont="0" applyAlignment="0" applyProtection="0"/>
    <xf numFmtId="0" fontId="96" fillId="33" borderId="45" applyNumberFormat="0" applyFont="0" applyAlignment="0" applyProtection="0"/>
    <xf numFmtId="0" fontId="96" fillId="33" borderId="45" applyNumberFormat="0" applyFont="0" applyAlignment="0" applyProtection="0"/>
    <xf numFmtId="0" fontId="111" fillId="28" borderId="46" applyNumberFormat="0" applyAlignment="0" applyProtection="0"/>
    <xf numFmtId="0" fontId="111" fillId="28" borderId="46" applyNumberFormat="0" applyAlignment="0" applyProtection="0"/>
    <xf numFmtId="0" fontId="111" fillId="28" borderId="46" applyNumberFormat="0" applyAlignment="0" applyProtection="0"/>
    <xf numFmtId="0" fontId="111" fillId="28" borderId="46" applyNumberFormat="0" applyAlignment="0" applyProtection="0"/>
    <xf numFmtId="0" fontId="111" fillId="28" borderId="46" applyNumberFormat="0" applyAlignment="0" applyProtection="0"/>
    <xf numFmtId="0" fontId="112" fillId="0" borderId="0" applyNumberFormat="0" applyFill="0" applyBorder="0" applyAlignment="0" applyProtection="0"/>
    <xf numFmtId="0" fontId="112" fillId="0" borderId="0" applyNumberFormat="0" applyFill="0" applyBorder="0" applyAlignment="0" applyProtection="0"/>
    <xf numFmtId="0" fontId="112" fillId="0" borderId="0" applyNumberFormat="0" applyFill="0" applyBorder="0" applyAlignment="0" applyProtection="0"/>
    <xf numFmtId="0" fontId="112" fillId="0" borderId="0" applyNumberFormat="0" applyFill="0" applyBorder="0" applyAlignment="0" applyProtection="0"/>
    <xf numFmtId="0" fontId="112" fillId="0" borderId="0" applyNumberFormat="0" applyFill="0" applyBorder="0" applyAlignment="0" applyProtection="0"/>
    <xf numFmtId="0" fontId="113" fillId="0" borderId="47" applyNumberFormat="0" applyFill="0" applyAlignment="0" applyProtection="0"/>
    <xf numFmtId="0" fontId="113" fillId="0" borderId="47" applyNumberFormat="0" applyFill="0" applyAlignment="0" applyProtection="0"/>
    <xf numFmtId="0" fontId="113" fillId="0" borderId="47" applyNumberFormat="0" applyFill="0" applyAlignment="0" applyProtection="0"/>
    <xf numFmtId="0" fontId="113" fillId="0" borderId="47" applyNumberFormat="0" applyFill="0" applyAlignment="0" applyProtection="0"/>
    <xf numFmtId="0" fontId="113" fillId="0" borderId="47" applyNumberFormat="0" applyFill="0" applyAlignment="0" applyProtection="0"/>
    <xf numFmtId="0" fontId="114" fillId="0" borderId="0" applyNumberFormat="0" applyFill="0" applyBorder="0" applyAlignment="0" applyProtection="0"/>
    <xf numFmtId="0" fontId="114" fillId="0" borderId="0" applyNumberFormat="0" applyFill="0" applyBorder="0" applyAlignment="0" applyProtection="0"/>
    <xf numFmtId="0" fontId="114" fillId="0" borderId="0" applyNumberFormat="0" applyFill="0" applyBorder="0" applyAlignment="0" applyProtection="0"/>
    <xf numFmtId="0" fontId="114" fillId="0" borderId="0" applyNumberFormat="0" applyFill="0" applyBorder="0" applyAlignment="0" applyProtection="0"/>
    <xf numFmtId="0" fontId="114" fillId="0" borderId="0" applyNumberFormat="0" applyFill="0" applyBorder="0" applyAlignment="0" applyProtection="0"/>
    <xf numFmtId="0" fontId="1" fillId="0" borderId="0"/>
  </cellStyleXfs>
  <cellXfs count="2280">
    <xf numFmtId="0" fontId="0" fillId="0" borderId="0" xfId="0"/>
    <xf numFmtId="0" fontId="4" fillId="0" borderId="0" xfId="0" applyFont="1"/>
    <xf numFmtId="0" fontId="7" fillId="0" borderId="0" xfId="0" applyFont="1"/>
    <xf numFmtId="0" fontId="11" fillId="0" borderId="0" xfId="0" applyFont="1"/>
    <xf numFmtId="0" fontId="12" fillId="0" borderId="0" xfId="0" applyFont="1"/>
    <xf numFmtId="0" fontId="9" fillId="0" borderId="0" xfId="0" applyFont="1"/>
    <xf numFmtId="2" fontId="14" fillId="0" borderId="0" xfId="0" applyNumberFormat="1" applyFont="1" applyBorder="1"/>
    <xf numFmtId="0" fontId="15" fillId="0" borderId="0" xfId="0" applyFont="1" applyBorder="1" applyAlignment="1"/>
    <xf numFmtId="0" fontId="15" fillId="0" borderId="0" xfId="0" applyFont="1" applyBorder="1" applyAlignment="1">
      <alignment horizontal="left"/>
    </xf>
    <xf numFmtId="0" fontId="14" fillId="0" borderId="0" xfId="0" applyFont="1" applyAlignment="1"/>
    <xf numFmtId="0" fontId="15" fillId="0" borderId="0" xfId="0" applyFont="1"/>
    <xf numFmtId="0" fontId="15" fillId="0" borderId="0" xfId="0" applyFont="1" applyBorder="1"/>
    <xf numFmtId="0" fontId="13" fillId="0" borderId="0" xfId="0" applyFont="1" applyBorder="1" applyAlignment="1">
      <alignment horizontal="left" wrapText="1"/>
    </xf>
    <xf numFmtId="0" fontId="18" fillId="0" borderId="0" xfId="0" applyFont="1" applyBorder="1" applyAlignment="1">
      <alignment horizontal="left" wrapText="1"/>
    </xf>
    <xf numFmtId="0" fontId="13" fillId="0" borderId="0" xfId="0" applyFont="1" applyAlignment="1">
      <alignment wrapText="1"/>
    </xf>
    <xf numFmtId="0" fontId="16" fillId="0" borderId="1" xfId="0" applyFont="1" applyBorder="1" applyAlignment="1">
      <alignment wrapText="1"/>
    </xf>
    <xf numFmtId="0" fontId="23" fillId="0" borderId="0" xfId="0" applyFont="1"/>
    <xf numFmtId="0" fontId="27" fillId="0" borderId="0" xfId="0" applyFont="1" applyAlignment="1">
      <alignment horizontal="left" wrapText="1"/>
    </xf>
    <xf numFmtId="0" fontId="25" fillId="0" borderId="0" xfId="0" applyFont="1"/>
    <xf numFmtId="2" fontId="13" fillId="0" borderId="0" xfId="0" applyNumberFormat="1" applyFont="1" applyBorder="1" applyAlignment="1">
      <alignment horizontal="center" wrapText="1"/>
    </xf>
    <xf numFmtId="2" fontId="13" fillId="0" borderId="0" xfId="0" applyNumberFormat="1" applyFont="1" applyFill="1" applyBorder="1" applyAlignment="1">
      <alignment horizontal="center" wrapText="1"/>
    </xf>
    <xf numFmtId="2" fontId="15" fillId="0" borderId="0" xfId="0" applyNumberFormat="1" applyFont="1" applyBorder="1" applyAlignment="1">
      <alignment horizontal="center"/>
    </xf>
    <xf numFmtId="0" fontId="15" fillId="0" borderId="0" xfId="0" applyFont="1" applyBorder="1" applyAlignment="1">
      <alignment wrapText="1"/>
    </xf>
    <xf numFmtId="0" fontId="13" fillId="0" borderId="0" xfId="0" applyFont="1"/>
    <xf numFmtId="0" fontId="15" fillId="0" borderId="0" xfId="0" applyFont="1" applyAlignment="1">
      <alignment horizontal="center" vertical="center"/>
    </xf>
    <xf numFmtId="0" fontId="23" fillId="0" borderId="2" xfId="0" applyFont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16" fillId="0" borderId="2" xfId="0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/>
    </xf>
    <xf numFmtId="0" fontId="16" fillId="0" borderId="0" xfId="0" applyFont="1"/>
    <xf numFmtId="0" fontId="29" fillId="0" borderId="0" xfId="0" applyFont="1" applyBorder="1" applyAlignment="1">
      <alignment horizontal="center" wrapText="1"/>
    </xf>
    <xf numFmtId="0" fontId="31" fillId="0" borderId="0" xfId="0" applyFont="1"/>
    <xf numFmtId="0" fontId="32" fillId="0" borderId="0" xfId="0" applyFont="1"/>
    <xf numFmtId="0" fontId="31" fillId="0" borderId="0" xfId="0" applyFont="1" applyAlignment="1">
      <alignment wrapText="1"/>
    </xf>
    <xf numFmtId="164" fontId="15" fillId="0" borderId="0" xfId="0" applyNumberFormat="1" applyFont="1" applyBorder="1" applyAlignment="1">
      <alignment horizontal="center"/>
    </xf>
    <xf numFmtId="0" fontId="15" fillId="0" borderId="0" xfId="0" applyFont="1" applyBorder="1" applyAlignment="1">
      <alignment horizontal="center"/>
    </xf>
    <xf numFmtId="2" fontId="15" fillId="0" borderId="0" xfId="0" applyNumberFormat="1" applyFont="1" applyAlignment="1">
      <alignment horizontal="center"/>
    </xf>
    <xf numFmtId="164" fontId="15" fillId="0" borderId="0" xfId="0" applyNumberFormat="1" applyFont="1" applyBorder="1" applyAlignment="1">
      <alignment horizontal="center" wrapText="1"/>
    </xf>
    <xf numFmtId="0" fontId="15" fillId="0" borderId="0" xfId="0" applyFont="1" applyAlignment="1">
      <alignment horizontal="center"/>
    </xf>
    <xf numFmtId="0" fontId="15" fillId="0" borderId="0" xfId="0" applyFont="1" applyFill="1" applyBorder="1" applyAlignment="1">
      <alignment horizontal="center"/>
    </xf>
    <xf numFmtId="2" fontId="15" fillId="0" borderId="0" xfId="0" applyNumberFormat="1" applyFont="1" applyFill="1" applyBorder="1" applyAlignment="1">
      <alignment horizontal="center"/>
    </xf>
    <xf numFmtId="1" fontId="15" fillId="0" borderId="0" xfId="0" applyNumberFormat="1" applyFont="1" applyBorder="1" applyAlignment="1">
      <alignment horizontal="center"/>
    </xf>
    <xf numFmtId="0" fontId="13" fillId="0" borderId="2" xfId="0" applyFont="1" applyBorder="1" applyAlignment="1">
      <alignment horizontal="center" vertical="center" wrapText="1"/>
    </xf>
    <xf numFmtId="0" fontId="27" fillId="0" borderId="0" xfId="0" applyFont="1"/>
    <xf numFmtId="0" fontId="14" fillId="0" borderId="0" xfId="0" applyFont="1"/>
    <xf numFmtId="0" fontId="19" fillId="0" borderId="0" xfId="0" applyFont="1" applyBorder="1" applyAlignment="1">
      <alignment wrapText="1"/>
    </xf>
    <xf numFmtId="0" fontId="15" fillId="0" borderId="0" xfId="0" applyFont="1" applyBorder="1" applyAlignment="1">
      <alignment horizontal="center" wrapText="1"/>
    </xf>
    <xf numFmtId="0" fontId="34" fillId="0" borderId="0" xfId="0" applyFont="1"/>
    <xf numFmtId="0" fontId="34" fillId="0" borderId="0" xfId="0" applyFont="1" applyBorder="1"/>
    <xf numFmtId="0" fontId="15" fillId="0" borderId="2" xfId="0" applyFont="1" applyBorder="1" applyAlignment="1">
      <alignment horizontal="center"/>
    </xf>
    <xf numFmtId="0" fontId="15" fillId="0" borderId="0" xfId="0" applyFont="1" applyBorder="1" applyAlignment="1">
      <alignment horizontal="right"/>
    </xf>
    <xf numFmtId="0" fontId="35" fillId="0" borderId="0" xfId="0" applyFont="1" applyAlignment="1"/>
    <xf numFmtId="0" fontId="35" fillId="0" borderId="0" xfId="0" applyFont="1"/>
    <xf numFmtId="164" fontId="15" fillId="0" borderId="0" xfId="0" applyNumberFormat="1" applyFont="1"/>
    <xf numFmtId="0" fontId="30" fillId="0" borderId="0" xfId="0" applyFont="1"/>
    <xf numFmtId="0" fontId="30" fillId="0" borderId="0" xfId="0" applyFont="1" applyAlignment="1">
      <alignment horizontal="center" vertical="center"/>
    </xf>
    <xf numFmtId="0" fontId="19" fillId="0" borderId="0" xfId="0" applyFont="1" applyBorder="1" applyAlignment="1">
      <alignment horizontal="left" wrapText="1"/>
    </xf>
    <xf numFmtId="0" fontId="21" fillId="0" borderId="0" xfId="0" applyFont="1" applyBorder="1" applyAlignment="1">
      <alignment horizontal="left"/>
    </xf>
    <xf numFmtId="0" fontId="15" fillId="0" borderId="0" xfId="0" applyFont="1" applyAlignment="1">
      <alignment horizontal="left"/>
    </xf>
    <xf numFmtId="0" fontId="15" fillId="0" borderId="0" xfId="0" applyFont="1" applyBorder="1" applyAlignment="1">
      <alignment horizontal="right" wrapText="1"/>
    </xf>
    <xf numFmtId="0" fontId="35" fillId="0" borderId="0" xfId="0" applyFont="1" applyBorder="1"/>
    <xf numFmtId="49" fontId="35" fillId="0" borderId="0" xfId="0" applyNumberFormat="1" applyFont="1" applyAlignment="1"/>
    <xf numFmtId="0" fontId="13" fillId="0" borderId="0" xfId="0" applyFont="1" applyBorder="1"/>
    <xf numFmtId="0" fontId="15" fillId="0" borderId="0" xfId="0" applyFont="1" applyAlignment="1">
      <alignment horizontal="right" wrapText="1"/>
    </xf>
    <xf numFmtId="0" fontId="23" fillId="0" borderId="2" xfId="0" applyFont="1" applyBorder="1" applyAlignment="1">
      <alignment horizontal="center" wrapText="1"/>
    </xf>
    <xf numFmtId="0" fontId="36" fillId="0" borderId="0" xfId="0" applyFont="1" applyBorder="1" applyAlignment="1">
      <alignment wrapText="1"/>
    </xf>
    <xf numFmtId="0" fontId="35" fillId="0" borderId="0" xfId="0" applyFont="1" applyBorder="1" applyAlignment="1">
      <alignment wrapText="1"/>
    </xf>
    <xf numFmtId="0" fontId="23" fillId="0" borderId="0" xfId="0" applyFont="1" applyAlignment="1">
      <alignment horizontal="center"/>
    </xf>
    <xf numFmtId="49" fontId="15" fillId="0" borderId="0" xfId="0" applyNumberFormat="1" applyFont="1" applyBorder="1" applyAlignment="1">
      <alignment horizontal="center"/>
    </xf>
    <xf numFmtId="0" fontId="30" fillId="0" borderId="0" xfId="0" applyFont="1" applyAlignment="1">
      <alignment vertical="center"/>
    </xf>
    <xf numFmtId="49" fontId="15" fillId="0" borderId="0" xfId="0" applyNumberFormat="1" applyFont="1"/>
    <xf numFmtId="0" fontId="31" fillId="0" borderId="0" xfId="0" applyFont="1" applyBorder="1" applyAlignment="1">
      <alignment wrapText="1"/>
    </xf>
    <xf numFmtId="0" fontId="14" fillId="0" borderId="0" xfId="0" applyFont="1" applyBorder="1" applyAlignment="1">
      <alignment horizontal="center"/>
    </xf>
    <xf numFmtId="0" fontId="19" fillId="0" borderId="0" xfId="0" applyFont="1" applyBorder="1"/>
    <xf numFmtId="0" fontId="20" fillId="0" borderId="2" xfId="0" applyFont="1" applyBorder="1" applyAlignment="1">
      <alignment horizontal="center" vertical="center" wrapText="1"/>
    </xf>
    <xf numFmtId="0" fontId="20" fillId="0" borderId="5" xfId="0" applyFont="1" applyBorder="1" applyAlignment="1">
      <alignment horizontal="center" vertical="center" wrapText="1"/>
    </xf>
    <xf numFmtId="0" fontId="17" fillId="0" borderId="0" xfId="0" applyFont="1" applyBorder="1"/>
    <xf numFmtId="0" fontId="14" fillId="0" borderId="0" xfId="0" applyFont="1" applyBorder="1" applyAlignment="1"/>
    <xf numFmtId="164" fontId="15" fillId="0" borderId="0" xfId="0" applyNumberFormat="1" applyFont="1" applyFill="1" applyBorder="1" applyAlignment="1">
      <alignment horizontal="center"/>
    </xf>
    <xf numFmtId="0" fontId="30" fillId="0" borderId="2" xfId="0" applyFont="1" applyBorder="1" applyAlignment="1">
      <alignment horizontal="center" vertical="center" wrapText="1"/>
    </xf>
    <xf numFmtId="0" fontId="15" fillId="0" borderId="0" xfId="0" applyFont="1" applyAlignment="1"/>
    <xf numFmtId="0" fontId="30" fillId="0" borderId="0" xfId="0" applyFont="1" applyBorder="1"/>
    <xf numFmtId="0" fontId="19" fillId="0" borderId="2" xfId="0" applyFont="1" applyBorder="1" applyAlignment="1">
      <alignment horizontal="center" vertical="center" wrapText="1"/>
    </xf>
    <xf numFmtId="0" fontId="31" fillId="0" borderId="0" xfId="0" applyFont="1" applyBorder="1" applyAlignment="1"/>
    <xf numFmtId="0" fontId="29" fillId="0" borderId="0" xfId="0" applyFont="1" applyBorder="1" applyAlignment="1">
      <alignment horizontal="center"/>
    </xf>
    <xf numFmtId="0" fontId="29" fillId="0" borderId="0" xfId="0" applyFont="1" applyBorder="1" applyAlignment="1"/>
    <xf numFmtId="0" fontId="16" fillId="0" borderId="0" xfId="0" applyFont="1" applyBorder="1"/>
    <xf numFmtId="0" fontId="13" fillId="0" borderId="0" xfId="0" applyFont="1" applyBorder="1" applyAlignment="1">
      <alignment horizontal="left"/>
    </xf>
    <xf numFmtId="0" fontId="19" fillId="0" borderId="0" xfId="0" applyFont="1" applyAlignment="1">
      <alignment vertical="center"/>
    </xf>
    <xf numFmtId="0" fontId="19" fillId="0" borderId="5" xfId="0" applyFont="1" applyBorder="1" applyAlignment="1">
      <alignment horizontal="center" vertical="center" wrapText="1"/>
    </xf>
    <xf numFmtId="0" fontId="20" fillId="0" borderId="6" xfId="0" applyFont="1" applyBorder="1" applyAlignment="1">
      <alignment horizontal="center" vertical="center" wrapText="1"/>
    </xf>
    <xf numFmtId="0" fontId="20" fillId="0" borderId="7" xfId="0" applyFont="1" applyBorder="1" applyAlignment="1">
      <alignment horizontal="center" vertical="center" wrapText="1"/>
    </xf>
    <xf numFmtId="0" fontId="14" fillId="0" borderId="0" xfId="0" applyFont="1" applyBorder="1"/>
    <xf numFmtId="0" fontId="19" fillId="0" borderId="0" xfId="0" applyFont="1"/>
    <xf numFmtId="0" fontId="20" fillId="0" borderId="0" xfId="0" applyFont="1" applyAlignment="1">
      <alignment horizontal="center" vertical="center"/>
    </xf>
    <xf numFmtId="0" fontId="13" fillId="0" borderId="0" xfId="0" applyFont="1" applyBorder="1" applyAlignment="1">
      <alignment vertical="center" wrapText="1"/>
    </xf>
    <xf numFmtId="0" fontId="13" fillId="0" borderId="0" xfId="0" applyFont="1" applyBorder="1" applyAlignment="1">
      <alignment wrapText="1"/>
    </xf>
    <xf numFmtId="0" fontId="13" fillId="0" borderId="0" xfId="0" applyFont="1" applyBorder="1" applyAlignment="1">
      <alignment horizontal="center" vertical="center" wrapText="1"/>
    </xf>
    <xf numFmtId="0" fontId="13" fillId="0" borderId="0" xfId="0" applyFont="1" applyBorder="1" applyAlignment="1">
      <alignment horizontal="right"/>
    </xf>
    <xf numFmtId="0" fontId="13" fillId="0" borderId="0" xfId="0" applyFont="1" applyBorder="1" applyAlignment="1">
      <alignment horizontal="right" wrapText="1"/>
    </xf>
    <xf numFmtId="0" fontId="7" fillId="0" borderId="0" xfId="0" applyFont="1" applyBorder="1"/>
    <xf numFmtId="0" fontId="7" fillId="0" borderId="0" xfId="0" applyFont="1" applyBorder="1" applyAlignment="1">
      <alignment horizontal="left"/>
    </xf>
    <xf numFmtId="0" fontId="16" fillId="0" borderId="0" xfId="0" applyFont="1" applyAlignment="1">
      <alignment vertical="center"/>
    </xf>
    <xf numFmtId="0" fontId="16" fillId="0" borderId="0" xfId="0" applyFont="1" applyAlignment="1">
      <alignment horizontal="center"/>
    </xf>
    <xf numFmtId="0" fontId="29" fillId="0" borderId="0" xfId="0" applyFont="1" applyBorder="1" applyAlignment="1">
      <alignment wrapText="1"/>
    </xf>
    <xf numFmtId="0" fontId="29" fillId="0" borderId="0" xfId="0" applyFont="1" applyAlignment="1">
      <alignment wrapText="1"/>
    </xf>
    <xf numFmtId="0" fontId="13" fillId="0" borderId="1" xfId="0" applyFont="1" applyBorder="1" applyAlignment="1">
      <alignment horizontal="right" wrapText="1"/>
    </xf>
    <xf numFmtId="0" fontId="10" fillId="0" borderId="0" xfId="0" applyFont="1" applyAlignment="1">
      <alignment horizontal="center" vertical="center"/>
    </xf>
    <xf numFmtId="0" fontId="39" fillId="0" borderId="0" xfId="0" applyFont="1"/>
    <xf numFmtId="0" fontId="17" fillId="0" borderId="0" xfId="0" applyFont="1" applyBorder="1" applyAlignment="1">
      <alignment wrapText="1"/>
    </xf>
    <xf numFmtId="0" fontId="13" fillId="0" borderId="0" xfId="0" applyFont="1" applyAlignment="1">
      <alignment vertical="center"/>
    </xf>
    <xf numFmtId="0" fontId="16" fillId="0" borderId="0" xfId="0" applyFont="1" applyBorder="1" applyAlignment="1">
      <alignment horizontal="left" wrapText="1"/>
    </xf>
    <xf numFmtId="0" fontId="16" fillId="0" borderId="0" xfId="0" applyFont="1" applyBorder="1" applyAlignment="1">
      <alignment vertical="center"/>
    </xf>
    <xf numFmtId="0" fontId="17" fillId="0" borderId="0" xfId="0" applyFont="1"/>
    <xf numFmtId="0" fontId="30" fillId="0" borderId="2" xfId="0" applyFont="1" applyFill="1" applyBorder="1" applyAlignment="1">
      <alignment horizontal="center" vertical="center" wrapText="1"/>
    </xf>
    <xf numFmtId="0" fontId="40" fillId="0" borderId="0" xfId="0" applyFont="1"/>
    <xf numFmtId="0" fontId="14" fillId="0" borderId="0" xfId="0" applyFont="1" applyAlignment="1">
      <alignment horizontal="center"/>
    </xf>
    <xf numFmtId="0" fontId="19" fillId="0" borderId="0" xfId="0" applyFont="1" applyAlignment="1">
      <alignment wrapText="1"/>
    </xf>
    <xf numFmtId="0" fontId="13" fillId="0" borderId="2" xfId="0" applyFont="1" applyBorder="1" applyAlignment="1">
      <alignment wrapText="1"/>
    </xf>
    <xf numFmtId="2" fontId="15" fillId="0" borderId="0" xfId="0" applyNumberFormat="1" applyFont="1"/>
    <xf numFmtId="0" fontId="9" fillId="0" borderId="2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wrapText="1"/>
    </xf>
    <xf numFmtId="0" fontId="16" fillId="0" borderId="0" xfId="0" applyFont="1" applyAlignment="1">
      <alignment horizontal="center" vertical="center"/>
    </xf>
    <xf numFmtId="0" fontId="13" fillId="0" borderId="0" xfId="0" applyFont="1" applyBorder="1" applyAlignment="1"/>
    <xf numFmtId="49" fontId="15" fillId="0" borderId="0" xfId="0" applyNumberFormat="1" applyFont="1" applyBorder="1"/>
    <xf numFmtId="0" fontId="16" fillId="0" borderId="5" xfId="0" applyFont="1" applyBorder="1" applyAlignment="1">
      <alignment horizontal="center" vertical="center" wrapText="1"/>
    </xf>
    <xf numFmtId="0" fontId="14" fillId="0" borderId="0" xfId="0" applyFont="1" applyAlignment="1">
      <alignment horizontal="left"/>
    </xf>
    <xf numFmtId="0" fontId="16" fillId="0" borderId="0" xfId="0" applyFont="1" applyBorder="1" applyAlignment="1">
      <alignment wrapText="1"/>
    </xf>
    <xf numFmtId="0" fontId="16" fillId="0" borderId="0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wrapText="1"/>
    </xf>
    <xf numFmtId="0" fontId="17" fillId="0" borderId="0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30" fillId="0" borderId="0" xfId="0" applyFont="1" applyAlignment="1">
      <alignment horizontal="center"/>
    </xf>
    <xf numFmtId="0" fontId="28" fillId="0" borderId="1" xfId="0" applyFont="1" applyBorder="1" applyAlignment="1">
      <alignment horizontal="center"/>
    </xf>
    <xf numFmtId="0" fontId="17" fillId="0" borderId="0" xfId="0" applyFont="1" applyAlignment="1">
      <alignment wrapText="1"/>
    </xf>
    <xf numFmtId="49" fontId="30" fillId="0" borderId="0" xfId="0" applyNumberFormat="1" applyFont="1" applyAlignment="1">
      <alignment horizontal="left"/>
    </xf>
    <xf numFmtId="0" fontId="7" fillId="0" borderId="0" xfId="0" applyFont="1" applyAlignment="1">
      <alignment horizontal="center"/>
    </xf>
    <xf numFmtId="0" fontId="15" fillId="0" borderId="8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right" wrapText="1"/>
    </xf>
    <xf numFmtId="0" fontId="10" fillId="0" borderId="0" xfId="0" applyFont="1" applyBorder="1" applyAlignment="1">
      <alignment horizontal="right" wrapText="1"/>
    </xf>
    <xf numFmtId="0" fontId="15" fillId="0" borderId="0" xfId="0" applyFont="1" applyAlignment="1">
      <alignment horizontal="center" wrapText="1"/>
    </xf>
    <xf numFmtId="0" fontId="15" fillId="0" borderId="0" xfId="0" applyFont="1" applyAlignment="1">
      <alignment vertical="center"/>
    </xf>
    <xf numFmtId="49" fontId="14" fillId="0" borderId="0" xfId="0" applyNumberFormat="1" applyFont="1" applyBorder="1" applyAlignment="1">
      <alignment horizontal="center"/>
    </xf>
    <xf numFmtId="2" fontId="14" fillId="0" borderId="0" xfId="0" applyNumberFormat="1" applyFont="1" applyBorder="1" applyAlignment="1">
      <alignment horizontal="center"/>
    </xf>
    <xf numFmtId="0" fontId="36" fillId="0" borderId="2" xfId="0" applyFont="1" applyBorder="1" applyAlignment="1">
      <alignment horizontal="center" vertical="center" wrapText="1"/>
    </xf>
    <xf numFmtId="0" fontId="23" fillId="0" borderId="0" xfId="0" applyFont="1" applyAlignment="1">
      <alignment vertical="center"/>
    </xf>
    <xf numFmtId="49" fontId="14" fillId="0" borderId="0" xfId="0" applyNumberFormat="1" applyFont="1" applyAlignment="1">
      <alignment horizontal="center"/>
    </xf>
    <xf numFmtId="2" fontId="14" fillId="0" borderId="0" xfId="0" applyNumberFormat="1" applyFont="1" applyAlignment="1">
      <alignment horizontal="center"/>
    </xf>
    <xf numFmtId="2" fontId="14" fillId="0" borderId="0" xfId="0" applyNumberFormat="1" applyFont="1" applyFill="1" applyBorder="1" applyAlignment="1">
      <alignment horizontal="center"/>
    </xf>
    <xf numFmtId="0" fontId="23" fillId="0" borderId="0" xfId="0" applyFont="1" applyFill="1" applyBorder="1" applyAlignment="1">
      <alignment horizontal="left"/>
    </xf>
    <xf numFmtId="0" fontId="45" fillId="0" borderId="0" xfId="0" applyFont="1"/>
    <xf numFmtId="0" fontId="30" fillId="0" borderId="0" xfId="0" applyFont="1" applyAlignment="1">
      <alignment wrapText="1"/>
    </xf>
    <xf numFmtId="0" fontId="9" fillId="0" borderId="0" xfId="0" applyFont="1" applyAlignment="1">
      <alignment vertical="center"/>
    </xf>
    <xf numFmtId="0" fontId="16" fillId="0" borderId="1" xfId="0" applyFont="1" applyBorder="1" applyAlignment="1">
      <alignment vertical="top" wrapText="1"/>
    </xf>
    <xf numFmtId="2" fontId="19" fillId="0" borderId="0" xfId="0" applyNumberFormat="1" applyFont="1" applyBorder="1" applyAlignment="1">
      <alignment horizontal="center" wrapText="1"/>
    </xf>
    <xf numFmtId="0" fontId="18" fillId="0" borderId="0" xfId="0" applyFont="1" applyBorder="1" applyAlignment="1">
      <alignment horizontal="center" wrapText="1"/>
    </xf>
    <xf numFmtId="0" fontId="18" fillId="0" borderId="0" xfId="0" applyFont="1" applyBorder="1" applyAlignment="1">
      <alignment horizontal="right" wrapText="1"/>
    </xf>
    <xf numFmtId="0" fontId="35" fillId="0" borderId="0" xfId="0" applyFont="1" applyAlignment="1">
      <alignment horizontal="center"/>
    </xf>
    <xf numFmtId="2" fontId="18" fillId="0" borderId="0" xfId="0" applyNumberFormat="1" applyFont="1" applyBorder="1" applyAlignment="1">
      <alignment horizontal="center" wrapText="1"/>
    </xf>
    <xf numFmtId="0" fontId="13" fillId="0" borderId="0" xfId="0" applyFont="1" applyAlignment="1">
      <alignment horizontal="center"/>
    </xf>
    <xf numFmtId="0" fontId="29" fillId="0" borderId="0" xfId="0" applyFont="1" applyAlignment="1">
      <alignment horizontal="center" vertical="center"/>
    </xf>
    <xf numFmtId="0" fontId="15" fillId="0" borderId="0" xfId="0" applyFont="1" applyAlignment="1">
      <alignment horizontal="right"/>
    </xf>
    <xf numFmtId="0" fontId="20" fillId="0" borderId="0" xfId="0" applyFont="1" applyBorder="1" applyAlignment="1">
      <alignment horizontal="left" wrapText="1"/>
    </xf>
    <xf numFmtId="0" fontId="9" fillId="0" borderId="1" xfId="0" applyFont="1" applyBorder="1" applyAlignment="1"/>
    <xf numFmtId="0" fontId="16" fillId="0" borderId="6" xfId="0" applyFont="1" applyBorder="1" applyAlignment="1">
      <alignment horizontal="center" vertical="center" wrapText="1"/>
    </xf>
    <xf numFmtId="0" fontId="16" fillId="0" borderId="10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 wrapText="1"/>
    </xf>
    <xf numFmtId="0" fontId="13" fillId="0" borderId="10" xfId="0" applyFont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/>
    </xf>
    <xf numFmtId="0" fontId="13" fillId="0" borderId="0" xfId="0" applyFont="1" applyBorder="1" applyAlignment="1">
      <alignment horizontal="left" vertical="top" wrapText="1"/>
    </xf>
    <xf numFmtId="2" fontId="13" fillId="0" borderId="0" xfId="0" applyNumberFormat="1" applyFont="1" applyBorder="1" applyAlignment="1">
      <alignment horizontal="center" vertical="top" wrapText="1"/>
    </xf>
    <xf numFmtId="0" fontId="13" fillId="0" borderId="0" xfId="0" applyFont="1" applyBorder="1" applyAlignment="1">
      <alignment vertical="top" wrapText="1"/>
    </xf>
    <xf numFmtId="0" fontId="47" fillId="0" borderId="0" xfId="0" applyFont="1" applyBorder="1" applyAlignment="1">
      <alignment wrapText="1"/>
    </xf>
    <xf numFmtId="0" fontId="13" fillId="0" borderId="0" xfId="0" applyFont="1" applyBorder="1" applyAlignment="1">
      <alignment horizontal="center" vertical="top" wrapText="1"/>
    </xf>
    <xf numFmtId="0" fontId="17" fillId="0" borderId="0" xfId="0" applyFont="1" applyBorder="1" applyAlignment="1"/>
    <xf numFmtId="0" fontId="19" fillId="0" borderId="0" xfId="0" applyFont="1" applyBorder="1" applyAlignment="1">
      <alignment horizontal="center" vertical="top" wrapText="1"/>
    </xf>
    <xf numFmtId="0" fontId="13" fillId="0" borderId="0" xfId="0" applyFont="1" applyAlignment="1"/>
    <xf numFmtId="0" fontId="32" fillId="0" borderId="0" xfId="0" applyFont="1" applyBorder="1"/>
    <xf numFmtId="0" fontId="13" fillId="0" borderId="1" xfId="0" applyFont="1" applyBorder="1" applyAlignment="1">
      <alignment wrapText="1"/>
    </xf>
    <xf numFmtId="0" fontId="48" fillId="0" borderId="0" xfId="0" applyFont="1" applyBorder="1" applyAlignment="1">
      <alignment wrapText="1"/>
    </xf>
    <xf numFmtId="0" fontId="29" fillId="0" borderId="0" xfId="0" applyFont="1" applyBorder="1" applyAlignment="1">
      <alignment vertical="center"/>
    </xf>
    <xf numFmtId="0" fontId="34" fillId="0" borderId="0" xfId="0" applyFont="1" applyBorder="1" applyAlignment="1">
      <alignment horizontal="right"/>
    </xf>
    <xf numFmtId="0" fontId="21" fillId="0" borderId="0" xfId="0" applyFont="1" applyAlignment="1">
      <alignment wrapText="1"/>
    </xf>
    <xf numFmtId="0" fontId="21" fillId="0" borderId="0" xfId="0" applyFont="1" applyAlignment="1">
      <alignment horizontal="right" vertical="center" wrapText="1" indent="1"/>
    </xf>
    <xf numFmtId="0" fontId="30" fillId="0" borderId="0" xfId="0" applyFont="1" applyBorder="1" applyAlignment="1">
      <alignment horizontal="right" vertical="center"/>
    </xf>
    <xf numFmtId="0" fontId="19" fillId="0" borderId="0" xfId="0" applyFont="1" applyAlignment="1">
      <alignment horizontal="center"/>
    </xf>
    <xf numFmtId="0" fontId="19" fillId="0" borderId="2" xfId="0" applyFont="1" applyBorder="1" applyAlignment="1">
      <alignment horizontal="center" wrapText="1"/>
    </xf>
    <xf numFmtId="0" fontId="19" fillId="0" borderId="0" xfId="0" applyFont="1" applyBorder="1" applyAlignment="1">
      <alignment horizontal="center"/>
    </xf>
    <xf numFmtId="0" fontId="29" fillId="0" borderId="2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right" wrapText="1"/>
    </xf>
    <xf numFmtId="0" fontId="32" fillId="0" borderId="0" xfId="0" applyFont="1" applyAlignment="1">
      <alignment horizontal="center" vertical="center"/>
    </xf>
    <xf numFmtId="0" fontId="31" fillId="0" borderId="0" xfId="0" applyFont="1" applyBorder="1"/>
    <xf numFmtId="0" fontId="29" fillId="0" borderId="0" xfId="0" applyFont="1" applyBorder="1" applyAlignment="1">
      <alignment horizontal="center" vertical="center"/>
    </xf>
    <xf numFmtId="0" fontId="20" fillId="0" borderId="0" xfId="0" applyFont="1" applyBorder="1"/>
    <xf numFmtId="0" fontId="36" fillId="0" borderId="2" xfId="0" applyFont="1" applyBorder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25" fillId="0" borderId="0" xfId="0" applyFont="1" applyAlignment="1">
      <alignment vertical="center"/>
    </xf>
    <xf numFmtId="2" fontId="33" fillId="0" borderId="0" xfId="0" applyNumberFormat="1" applyFont="1" applyBorder="1" applyAlignment="1">
      <alignment horizontal="center" wrapText="1"/>
    </xf>
    <xf numFmtId="0" fontId="51" fillId="0" borderId="0" xfId="0" applyFont="1" applyBorder="1" applyAlignment="1">
      <alignment wrapText="1"/>
    </xf>
    <xf numFmtId="49" fontId="35" fillId="0" borderId="0" xfId="0" applyNumberFormat="1" applyFont="1" applyBorder="1" applyAlignment="1">
      <alignment wrapText="1"/>
    </xf>
    <xf numFmtId="0" fontId="50" fillId="0" borderId="0" xfId="0" applyFont="1" applyBorder="1"/>
    <xf numFmtId="0" fontId="27" fillId="0" borderId="0" xfId="0" applyFont="1" applyAlignment="1">
      <alignment horizontal="center" wrapText="1"/>
    </xf>
    <xf numFmtId="0" fontId="16" fillId="0" borderId="0" xfId="0" applyFont="1" applyBorder="1" applyAlignment="1">
      <alignment horizontal="center" wrapText="1"/>
    </xf>
    <xf numFmtId="0" fontId="10" fillId="0" borderId="0" xfId="0" applyFont="1" applyBorder="1" applyAlignment="1">
      <alignment vertical="center"/>
    </xf>
    <xf numFmtId="2" fontId="16" fillId="0" borderId="0" xfId="0" applyNumberFormat="1" applyFont="1" applyBorder="1" applyAlignment="1">
      <alignment horizontal="center" wrapText="1"/>
    </xf>
    <xf numFmtId="2" fontId="30" fillId="0" borderId="0" xfId="0" applyNumberFormat="1" applyFont="1" applyBorder="1" applyAlignment="1">
      <alignment horizontal="center"/>
    </xf>
    <xf numFmtId="0" fontId="30" fillId="0" borderId="0" xfId="0" applyFont="1" applyBorder="1" applyAlignment="1">
      <alignment horizontal="center"/>
    </xf>
    <xf numFmtId="0" fontId="13" fillId="0" borderId="3" xfId="0" applyFont="1" applyBorder="1" applyAlignment="1">
      <alignment horizontal="center" vertical="center" wrapText="1"/>
    </xf>
    <xf numFmtId="0" fontId="43" fillId="0" borderId="2" xfId="0" applyFont="1" applyBorder="1" applyAlignment="1">
      <alignment horizontal="center" vertical="center" wrapText="1"/>
    </xf>
    <xf numFmtId="1" fontId="15" fillId="0" borderId="0" xfId="0" applyNumberFormat="1" applyFont="1" applyFill="1" applyBorder="1" applyAlignment="1">
      <alignment horizontal="center"/>
    </xf>
    <xf numFmtId="0" fontId="15" fillId="0" borderId="0" xfId="0" applyFont="1" applyFill="1" applyBorder="1" applyAlignment="1">
      <alignment horizontal="left"/>
    </xf>
    <xf numFmtId="2" fontId="23" fillId="0" borderId="0" xfId="0" applyNumberFormat="1" applyFont="1" applyFill="1" applyBorder="1" applyAlignment="1">
      <alignment horizontal="center"/>
    </xf>
    <xf numFmtId="164" fontId="15" fillId="0" borderId="0" xfId="0" applyNumberFormat="1" applyFont="1" applyBorder="1"/>
    <xf numFmtId="1" fontId="16" fillId="0" borderId="0" xfId="0" applyNumberFormat="1" applyFont="1" applyBorder="1" applyAlignment="1">
      <alignment horizontal="center" wrapText="1"/>
    </xf>
    <xf numFmtId="2" fontId="15" fillId="0" borderId="0" xfId="0" applyNumberFormat="1" applyFont="1" applyBorder="1" applyAlignment="1">
      <alignment horizontal="left"/>
    </xf>
    <xf numFmtId="0" fontId="35" fillId="0" borderId="0" xfId="0" applyFont="1" applyBorder="1" applyAlignment="1">
      <alignment horizontal="left"/>
    </xf>
    <xf numFmtId="0" fontId="35" fillId="0" borderId="0" xfId="0" applyFont="1" applyBorder="1" applyAlignment="1">
      <alignment vertical="center" wrapText="1"/>
    </xf>
    <xf numFmtId="0" fontId="21" fillId="0" borderId="0" xfId="196" applyFont="1" applyAlignment="1">
      <alignment wrapText="1"/>
    </xf>
    <xf numFmtId="0" fontId="21" fillId="0" borderId="0" xfId="196" applyFont="1" applyAlignment="1">
      <alignment horizontal="right"/>
    </xf>
    <xf numFmtId="0" fontId="7" fillId="0" borderId="1" xfId="196" applyFont="1" applyBorder="1" applyAlignment="1">
      <alignment horizontal="left"/>
    </xf>
    <xf numFmtId="0" fontId="7" fillId="0" borderId="1" xfId="196" applyFont="1" applyBorder="1"/>
    <xf numFmtId="0" fontId="54" fillId="0" borderId="0" xfId="196" applyFont="1"/>
    <xf numFmtId="0" fontId="55" fillId="0" borderId="0" xfId="0" applyFont="1"/>
    <xf numFmtId="0" fontId="28" fillId="0" borderId="5" xfId="196" applyFont="1" applyBorder="1" applyAlignment="1">
      <alignment horizontal="center" vertical="center" wrapText="1"/>
    </xf>
    <xf numFmtId="0" fontId="56" fillId="0" borderId="0" xfId="0" applyFont="1"/>
    <xf numFmtId="0" fontId="43" fillId="0" borderId="0" xfId="0" applyFont="1" applyBorder="1" applyAlignment="1">
      <alignment horizontal="left" wrapText="1"/>
    </xf>
    <xf numFmtId="0" fontId="23" fillId="0" borderId="0" xfId="196" applyFont="1" applyBorder="1" applyAlignment="1">
      <alignment horizontal="left"/>
    </xf>
    <xf numFmtId="2" fontId="23" fillId="0" borderId="0" xfId="196" applyNumberFormat="1" applyFont="1" applyBorder="1" applyAlignment="1">
      <alignment horizontal="center"/>
    </xf>
    <xf numFmtId="0" fontId="15" fillId="0" borderId="0" xfId="196" applyFont="1" applyBorder="1" applyAlignment="1">
      <alignment horizontal="left"/>
    </xf>
    <xf numFmtId="2" fontId="15" fillId="0" borderId="0" xfId="196" applyNumberFormat="1" applyFont="1" applyBorder="1" applyAlignment="1">
      <alignment horizontal="center"/>
    </xf>
    <xf numFmtId="2" fontId="15" fillId="0" borderId="0" xfId="196" applyNumberFormat="1" applyFont="1" applyAlignment="1">
      <alignment horizontal="center"/>
    </xf>
    <xf numFmtId="2" fontId="23" fillId="0" borderId="0" xfId="196" applyNumberFormat="1" applyFont="1" applyAlignment="1">
      <alignment horizontal="center"/>
    </xf>
    <xf numFmtId="2" fontId="23" fillId="0" borderId="0" xfId="196" applyNumberFormat="1" applyFont="1" applyFill="1" applyAlignment="1">
      <alignment horizontal="center"/>
    </xf>
    <xf numFmtId="2" fontId="17" fillId="0" borderId="0" xfId="0" applyNumberFormat="1" applyFont="1" applyAlignment="1">
      <alignment horizontal="center"/>
    </xf>
    <xf numFmtId="2" fontId="13" fillId="0" borderId="0" xfId="0" applyNumberFormat="1" applyFont="1" applyAlignment="1">
      <alignment horizontal="center"/>
    </xf>
    <xf numFmtId="2" fontId="15" fillId="0" borderId="0" xfId="196" applyNumberFormat="1" applyFont="1" applyFill="1" applyAlignment="1">
      <alignment horizontal="center"/>
    </xf>
    <xf numFmtId="0" fontId="43" fillId="0" borderId="0" xfId="0" applyFont="1" applyBorder="1" applyAlignment="1">
      <alignment horizontal="center" wrapText="1"/>
    </xf>
    <xf numFmtId="2" fontId="43" fillId="0" borderId="0" xfId="0" applyNumberFormat="1" applyFont="1" applyBorder="1" applyAlignment="1">
      <alignment horizontal="center" wrapText="1"/>
    </xf>
    <xf numFmtId="0" fontId="43" fillId="0" borderId="0" xfId="0" applyFont="1" applyBorder="1" applyAlignment="1">
      <alignment horizontal="right" wrapText="1"/>
    </xf>
    <xf numFmtId="0" fontId="40" fillId="0" borderId="0" xfId="0" applyFont="1" applyBorder="1"/>
    <xf numFmtId="2" fontId="13" fillId="0" borderId="0" xfId="0" applyNumberFormat="1" applyFont="1" applyBorder="1" applyAlignment="1">
      <alignment horizontal="center"/>
    </xf>
    <xf numFmtId="0" fontId="20" fillId="0" borderId="0" xfId="0" applyFont="1" applyBorder="1" applyAlignment="1">
      <alignment horizontal="left" vertical="center" wrapText="1"/>
    </xf>
    <xf numFmtId="0" fontId="14" fillId="0" borderId="0" xfId="0" applyFont="1" applyAlignment="1">
      <alignment horizontal="left" vertical="center"/>
    </xf>
    <xf numFmtId="2" fontId="15" fillId="0" borderId="0" xfId="0" applyNumberFormat="1" applyFont="1" applyBorder="1"/>
    <xf numFmtId="0" fontId="35" fillId="0" borderId="0" xfId="0" applyFont="1" applyBorder="1" applyAlignment="1">
      <alignment horizontal="left" wrapText="1"/>
    </xf>
    <xf numFmtId="0" fontId="51" fillId="0" borderId="0" xfId="0" applyFont="1" applyBorder="1" applyAlignment="1">
      <alignment horizontal="center" wrapText="1"/>
    </xf>
    <xf numFmtId="0" fontId="7" fillId="0" borderId="0" xfId="0" applyFont="1" applyAlignment="1">
      <alignment horizontal="left"/>
    </xf>
    <xf numFmtId="0" fontId="27" fillId="0" borderId="0" xfId="0" applyFont="1" applyFill="1" applyBorder="1" applyAlignment="1">
      <alignment wrapText="1"/>
    </xf>
    <xf numFmtId="0" fontId="30" fillId="0" borderId="5" xfId="0" applyFont="1" applyFill="1" applyBorder="1" applyAlignment="1">
      <alignment horizontal="center" vertical="center" wrapText="1"/>
    </xf>
    <xf numFmtId="0" fontId="15" fillId="0" borderId="0" xfId="0" applyFont="1" applyFill="1" applyBorder="1"/>
    <xf numFmtId="0" fontId="15" fillId="0" borderId="0" xfId="0" applyFont="1" applyFill="1" applyBorder="1" applyAlignment="1">
      <alignment horizontal="left" wrapText="1"/>
    </xf>
    <xf numFmtId="0" fontId="15" fillId="0" borderId="0" xfId="0" applyFont="1" applyFill="1"/>
    <xf numFmtId="0" fontId="21" fillId="0" borderId="0" xfId="0" applyFont="1" applyFill="1" applyBorder="1" applyAlignment="1">
      <alignment horizontal="right" wrapText="1"/>
    </xf>
    <xf numFmtId="0" fontId="21" fillId="0" borderId="0" xfId="0" applyFont="1" applyFill="1" applyBorder="1" applyAlignment="1">
      <alignment wrapText="1"/>
    </xf>
    <xf numFmtId="0" fontId="34" fillId="0" borderId="0" xfId="0" applyFont="1" applyFill="1"/>
    <xf numFmtId="0" fontId="28" fillId="0" borderId="0" xfId="0" applyFont="1" applyFill="1" applyBorder="1" applyAlignment="1">
      <alignment horizontal="center" wrapText="1"/>
    </xf>
    <xf numFmtId="0" fontId="28" fillId="0" borderId="0" xfId="0" applyFont="1" applyFill="1" applyBorder="1" applyAlignment="1">
      <alignment wrapText="1"/>
    </xf>
    <xf numFmtId="0" fontId="30" fillId="0" borderId="0" xfId="0" applyFont="1" applyFill="1"/>
    <xf numFmtId="0" fontId="30" fillId="0" borderId="1" xfId="0" applyFont="1" applyFill="1" applyBorder="1" applyAlignment="1">
      <alignment vertical="top" wrapText="1"/>
    </xf>
    <xf numFmtId="0" fontId="30" fillId="0" borderId="0" xfId="0" applyFont="1" applyFill="1" applyBorder="1"/>
    <xf numFmtId="0" fontId="30" fillId="0" borderId="0" xfId="0" applyFont="1" applyFill="1" applyAlignment="1">
      <alignment horizontal="center" vertical="center"/>
    </xf>
    <xf numFmtId="0" fontId="15" fillId="0" borderId="0" xfId="0" applyFont="1" applyFill="1" applyAlignment="1">
      <alignment horizontal="center"/>
    </xf>
    <xf numFmtId="0" fontId="23" fillId="0" borderId="0" xfId="0" applyFont="1" applyFill="1" applyBorder="1" applyAlignment="1">
      <alignment horizontal="left" wrapText="1"/>
    </xf>
    <xf numFmtId="0" fontId="23" fillId="0" borderId="0" xfId="0" applyFont="1" applyFill="1" applyBorder="1" applyAlignment="1"/>
    <xf numFmtId="0" fontId="23" fillId="0" borderId="0" xfId="0" applyFont="1" applyFill="1" applyBorder="1" applyAlignment="1">
      <alignment horizontal="right" wrapText="1"/>
    </xf>
    <xf numFmtId="0" fontId="14" fillId="0" borderId="0" xfId="0" applyFont="1" applyFill="1" applyBorder="1" applyAlignment="1">
      <alignment horizontal="left" wrapText="1"/>
    </xf>
    <xf numFmtId="0" fontId="14" fillId="0" borderId="0" xfId="0" applyFont="1" applyFill="1" applyBorder="1"/>
    <xf numFmtId="164" fontId="15" fillId="0" borderId="0" xfId="0" applyNumberFormat="1" applyFont="1" applyFill="1"/>
    <xf numFmtId="0" fontId="6" fillId="0" borderId="0" xfId="0" applyFont="1" applyFill="1"/>
    <xf numFmtId="2" fontId="15" fillId="0" borderId="0" xfId="0" applyNumberFormat="1" applyFont="1" applyBorder="1" applyAlignment="1"/>
    <xf numFmtId="0" fontId="30" fillId="0" borderId="0" xfId="0" applyFont="1" applyAlignment="1">
      <alignment vertical="center" wrapText="1"/>
    </xf>
    <xf numFmtId="2" fontId="7" fillId="0" borderId="0" xfId="0" applyNumberFormat="1" applyFont="1" applyBorder="1" applyAlignment="1">
      <alignment horizontal="center"/>
    </xf>
    <xf numFmtId="0" fontId="22" fillId="0" borderId="0" xfId="0" applyFont="1" applyAlignment="1">
      <alignment wrapText="1"/>
    </xf>
    <xf numFmtId="0" fontId="16" fillId="0" borderId="0" xfId="0" applyFont="1" applyAlignment="1">
      <alignment wrapText="1"/>
    </xf>
    <xf numFmtId="0" fontId="16" fillId="0" borderId="0" xfId="0" applyFont="1" applyAlignment="1">
      <alignment horizontal="left" vertical="justify" wrapText="1"/>
    </xf>
    <xf numFmtId="0" fontId="16" fillId="0" borderId="0" xfId="0" applyFont="1" applyAlignment="1">
      <alignment vertical="justify" wrapText="1"/>
    </xf>
    <xf numFmtId="0" fontId="7" fillId="0" borderId="0" xfId="0" applyFont="1" applyAlignment="1">
      <alignment vertical="justify"/>
    </xf>
    <xf numFmtId="0" fontId="16" fillId="0" borderId="0" xfId="0" applyFont="1" applyFill="1" applyAlignment="1">
      <alignment vertical="justify" wrapText="1"/>
    </xf>
    <xf numFmtId="0" fontId="0" fillId="0" borderId="0" xfId="0" applyFill="1"/>
    <xf numFmtId="0" fontId="0" fillId="0" borderId="0" xfId="0" applyFill="1" applyBorder="1"/>
    <xf numFmtId="0" fontId="30" fillId="0" borderId="0" xfId="0" applyFont="1" applyAlignment="1"/>
    <xf numFmtId="0" fontId="7" fillId="0" borderId="0" xfId="0" applyFont="1" applyAlignment="1"/>
    <xf numFmtId="0" fontId="0" fillId="0" borderId="0" xfId="0" applyAlignment="1"/>
    <xf numFmtId="0" fontId="5" fillId="0" borderId="0" xfId="0" applyFont="1" applyAlignment="1"/>
    <xf numFmtId="0" fontId="62" fillId="0" borderId="0" xfId="0" applyFont="1" applyAlignment="1"/>
    <xf numFmtId="0" fontId="23" fillId="0" borderId="0" xfId="0" applyFont="1" applyFill="1"/>
    <xf numFmtId="0" fontId="23" fillId="0" borderId="0" xfId="0" applyFont="1" applyFill="1" applyBorder="1"/>
    <xf numFmtId="0" fontId="61" fillId="0" borderId="0" xfId="0" applyFont="1" applyAlignment="1"/>
    <xf numFmtId="0" fontId="3" fillId="0" borderId="0" xfId="173" applyAlignment="1" applyProtection="1"/>
    <xf numFmtId="0" fontId="0" fillId="2" borderId="0" xfId="0" applyFill="1"/>
    <xf numFmtId="0" fontId="0" fillId="2" borderId="0" xfId="0" applyFill="1" applyBorder="1"/>
    <xf numFmtId="0" fontId="31" fillId="0" borderId="0" xfId="0" applyFont="1" applyBorder="1" applyAlignment="1">
      <alignment horizontal="left"/>
    </xf>
    <xf numFmtId="0" fontId="115" fillId="0" borderId="0" xfId="0" applyFont="1"/>
    <xf numFmtId="0" fontId="0" fillId="0" borderId="0" xfId="0" applyBorder="1"/>
    <xf numFmtId="0" fontId="19" fillId="0" borderId="2" xfId="0" applyFont="1" applyBorder="1" applyAlignment="1">
      <alignment vertical="center" wrapText="1"/>
    </xf>
    <xf numFmtId="0" fontId="63" fillId="0" borderId="0" xfId="0" applyFont="1" applyBorder="1" applyAlignment="1">
      <alignment horizontal="left" wrapText="1"/>
    </xf>
    <xf numFmtId="0" fontId="35" fillId="0" borderId="0" xfId="0" applyFont="1" applyBorder="1" applyAlignment="1">
      <alignment horizontal="center"/>
    </xf>
    <xf numFmtId="0" fontId="63" fillId="0" borderId="0" xfId="0" applyFont="1" applyBorder="1" applyAlignment="1">
      <alignment horizontal="center" wrapText="1"/>
    </xf>
    <xf numFmtId="0" fontId="18" fillId="0" borderId="0" xfId="0" applyFont="1"/>
    <xf numFmtId="0" fontId="18" fillId="0" borderId="0" xfId="0" applyFont="1" applyBorder="1" applyAlignment="1">
      <alignment wrapText="1"/>
    </xf>
    <xf numFmtId="0" fontId="64" fillId="0" borderId="0" xfId="0" applyFont="1"/>
    <xf numFmtId="0" fontId="60" fillId="0" borderId="0" xfId="0" applyFont="1" applyBorder="1" applyAlignment="1">
      <alignment wrapText="1"/>
    </xf>
    <xf numFmtId="0" fontId="35" fillId="0" borderId="0" xfId="0" applyFont="1" applyAlignment="1">
      <alignment vertical="center"/>
    </xf>
    <xf numFmtId="0" fontId="35" fillId="0" borderId="0" xfId="0" applyFont="1" applyBorder="1" applyAlignment="1">
      <alignment vertical="center"/>
    </xf>
    <xf numFmtId="0" fontId="19" fillId="0" borderId="0" xfId="0" applyFont="1" applyAlignment="1"/>
    <xf numFmtId="0" fontId="51" fillId="0" borderId="0" xfId="0" applyFont="1" applyBorder="1" applyAlignment="1">
      <alignment horizontal="left"/>
    </xf>
    <xf numFmtId="0" fontId="51" fillId="0" borderId="0" xfId="0" applyFont="1" applyBorder="1" applyAlignment="1">
      <alignment horizontal="center"/>
    </xf>
    <xf numFmtId="0" fontId="18" fillId="0" borderId="0" xfId="0" applyFont="1" applyBorder="1"/>
    <xf numFmtId="49" fontId="18" fillId="0" borderId="0" xfId="0" applyNumberFormat="1" applyFont="1" applyBorder="1" applyAlignment="1"/>
    <xf numFmtId="0" fontId="26" fillId="0" borderId="0" xfId="0" applyFont="1" applyBorder="1" applyAlignment="1">
      <alignment horizontal="center" wrapText="1"/>
    </xf>
    <xf numFmtId="0" fontId="27" fillId="0" borderId="0" xfId="0" applyFont="1" applyBorder="1" applyAlignment="1">
      <alignment horizontal="left"/>
    </xf>
    <xf numFmtId="0" fontId="64" fillId="0" borderId="0" xfId="0" applyFont="1" applyAlignment="1">
      <alignment vertical="center"/>
    </xf>
    <xf numFmtId="0" fontId="24" fillId="0" borderId="0" xfId="0" applyFont="1" applyAlignment="1">
      <alignment horizontal="right"/>
    </xf>
    <xf numFmtId="0" fontId="15" fillId="0" borderId="0" xfId="0" applyFont="1" applyFill="1" applyBorder="1" applyAlignment="1">
      <alignment horizontal="right"/>
    </xf>
    <xf numFmtId="2" fontId="116" fillId="0" borderId="0" xfId="0" applyNumberFormat="1" applyFont="1" applyFill="1" applyBorder="1" applyAlignment="1">
      <alignment horizontal="center"/>
    </xf>
    <xf numFmtId="0" fontId="34" fillId="2" borderId="0" xfId="0" applyFont="1" applyFill="1" applyBorder="1" applyAlignment="1">
      <alignment horizontal="right"/>
    </xf>
    <xf numFmtId="0" fontId="21" fillId="0" borderId="0" xfId="0" applyFont="1"/>
    <xf numFmtId="0" fontId="21" fillId="0" borderId="0" xfId="0" applyFont="1" applyAlignment="1">
      <alignment horizontal="center" wrapText="1"/>
    </xf>
    <xf numFmtId="0" fontId="21" fillId="0" borderId="0" xfId="0" applyFont="1" applyBorder="1" applyAlignment="1">
      <alignment horizontal="center" wrapText="1"/>
    </xf>
    <xf numFmtId="0" fontId="21" fillId="0" borderId="0" xfId="0" applyNumberFormat="1" applyFont="1" applyBorder="1" applyAlignment="1">
      <alignment horizontal="center" wrapText="1"/>
    </xf>
    <xf numFmtId="0" fontId="28" fillId="0" borderId="0" xfId="0" applyFont="1" applyBorder="1" applyAlignment="1">
      <alignment horizontal="right" wrapText="1"/>
    </xf>
    <xf numFmtId="0" fontId="28" fillId="0" borderId="0" xfId="0" applyFont="1" applyAlignment="1">
      <alignment horizontal="center" wrapText="1"/>
    </xf>
    <xf numFmtId="0" fontId="28" fillId="0" borderId="0" xfId="0" applyFont="1" applyBorder="1" applyAlignment="1">
      <alignment horizontal="center" wrapText="1"/>
    </xf>
    <xf numFmtId="0" fontId="30" fillId="0" borderId="0" xfId="0" applyFont="1" applyAlignment="1">
      <alignment horizontal="left" wrapText="1"/>
    </xf>
    <xf numFmtId="0" fontId="20" fillId="0" borderId="0" xfId="0" applyFont="1" applyAlignment="1">
      <alignment vertical="center"/>
    </xf>
    <xf numFmtId="0" fontId="13" fillId="0" borderId="0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 wrapText="1"/>
    </xf>
    <xf numFmtId="2" fontId="15" fillId="0" borderId="0" xfId="0" applyNumberFormat="1" applyFont="1" applyAlignment="1">
      <alignment horizontal="center" vertical="center"/>
    </xf>
    <xf numFmtId="46" fontId="15" fillId="0" borderId="0" xfId="0" applyNumberFormat="1" applyFont="1" applyFill="1" applyBorder="1" applyAlignment="1">
      <alignment horizontal="center"/>
    </xf>
    <xf numFmtId="0" fontId="23" fillId="0" borderId="0" xfId="0" applyFont="1" applyFill="1" applyAlignment="1">
      <alignment horizontal="right" vertical="center"/>
    </xf>
    <xf numFmtId="0" fontId="14" fillId="0" borderId="0" xfId="0" applyFont="1" applyFill="1"/>
    <xf numFmtId="0" fontId="15" fillId="0" borderId="0" xfId="0" applyNumberFormat="1" applyFont="1" applyBorder="1" applyAlignment="1">
      <alignment horizontal="center"/>
    </xf>
    <xf numFmtId="0" fontId="56" fillId="0" borderId="0" xfId="0" applyFont="1" applyBorder="1"/>
    <xf numFmtId="164" fontId="15" fillId="0" borderId="0" xfId="0" applyNumberFormat="1" applyFont="1" applyBorder="1" applyAlignment="1">
      <alignment horizontal="center" vertical="center" wrapText="1"/>
    </xf>
    <xf numFmtId="164" fontId="15" fillId="0" borderId="0" xfId="0" applyNumberFormat="1" applyFont="1" applyBorder="1" applyAlignment="1">
      <alignment horizontal="center" vertical="center"/>
    </xf>
    <xf numFmtId="164" fontId="15" fillId="0" borderId="0" xfId="0" applyNumberFormat="1" applyFont="1" applyAlignment="1">
      <alignment horizontal="center" vertical="center"/>
    </xf>
    <xf numFmtId="0" fontId="23" fillId="0" borderId="0" xfId="0" applyFont="1" applyFill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164" fontId="15" fillId="0" borderId="0" xfId="0" applyNumberFormat="1" applyFont="1" applyFill="1" applyBorder="1" applyAlignment="1">
      <alignment horizontal="left" vertical="center" wrapText="1"/>
    </xf>
    <xf numFmtId="164" fontId="15" fillId="0" borderId="0" xfId="0" applyNumberFormat="1" applyFont="1" applyFill="1" applyBorder="1" applyAlignment="1">
      <alignment horizontal="center" vertical="center" wrapText="1"/>
    </xf>
    <xf numFmtId="164" fontId="15" fillId="0" borderId="0" xfId="0" applyNumberFormat="1" applyFont="1" applyFill="1" applyBorder="1" applyAlignment="1">
      <alignment horizontal="center" vertical="center"/>
    </xf>
    <xf numFmtId="2" fontId="15" fillId="0" borderId="0" xfId="0" applyNumberFormat="1" applyFont="1" applyFill="1" applyBorder="1" applyAlignment="1">
      <alignment horizontal="center" vertical="center" wrapText="1"/>
    </xf>
    <xf numFmtId="1" fontId="15" fillId="0" borderId="0" xfId="0" applyNumberFormat="1" applyFont="1" applyFill="1" applyBorder="1" applyAlignment="1">
      <alignment horizontal="center" vertical="center" wrapText="1"/>
    </xf>
    <xf numFmtId="0" fontId="15" fillId="0" borderId="0" xfId="0" applyFont="1" applyFill="1" applyBorder="1" applyAlignment="1">
      <alignment horizontal="center" vertical="center" wrapText="1"/>
    </xf>
    <xf numFmtId="2" fontId="15" fillId="0" borderId="0" xfId="0" applyNumberFormat="1" applyFont="1" applyFill="1" applyAlignment="1">
      <alignment horizontal="center" vertical="center"/>
    </xf>
    <xf numFmtId="164" fontId="15" fillId="0" borderId="0" xfId="0" applyNumberFormat="1" applyFont="1" applyBorder="1" applyAlignment="1">
      <alignment horizontal="left" wrapText="1"/>
    </xf>
    <xf numFmtId="2" fontId="15" fillId="0" borderId="0" xfId="0" applyNumberFormat="1" applyFont="1" applyBorder="1" applyAlignment="1">
      <alignment horizontal="center" wrapText="1"/>
    </xf>
    <xf numFmtId="164" fontId="15" fillId="0" borderId="0" xfId="0" applyNumberFormat="1" applyFont="1" applyFill="1" applyBorder="1" applyAlignment="1">
      <alignment horizontal="center" wrapText="1"/>
    </xf>
    <xf numFmtId="0" fontId="23" fillId="0" borderId="0" xfId="0" applyFont="1" applyFill="1" applyBorder="1" applyAlignment="1">
      <alignment wrapText="1"/>
    </xf>
    <xf numFmtId="2" fontId="23" fillId="0" borderId="0" xfId="196" applyNumberFormat="1" applyFont="1" applyFill="1" applyBorder="1" applyAlignment="1">
      <alignment horizontal="center"/>
    </xf>
    <xf numFmtId="0" fontId="68" fillId="0" borderId="0" xfId="0" applyFont="1"/>
    <xf numFmtId="0" fontId="23" fillId="0" borderId="0" xfId="196" applyFont="1" applyFill="1" applyBorder="1" applyAlignment="1">
      <alignment horizontal="left"/>
    </xf>
    <xf numFmtId="0" fontId="15" fillId="0" borderId="0" xfId="196" applyFont="1" applyFill="1" applyBorder="1" applyAlignment="1">
      <alignment horizontal="left" vertical="center"/>
    </xf>
    <xf numFmtId="0" fontId="15" fillId="0" borderId="0" xfId="0" applyFont="1" applyFill="1" applyBorder="1" applyAlignment="1"/>
    <xf numFmtId="0" fontId="13" fillId="0" borderId="0" xfId="0" applyFont="1" applyFill="1" applyBorder="1" applyAlignment="1">
      <alignment horizontal="left" wrapText="1"/>
    </xf>
    <xf numFmtId="0" fontId="13" fillId="0" borderId="0" xfId="0" applyFont="1" applyFill="1" applyBorder="1" applyAlignment="1">
      <alignment horizontal="center" wrapText="1"/>
    </xf>
    <xf numFmtId="0" fontId="13" fillId="0" borderId="0" xfId="0" applyFont="1" applyFill="1" applyBorder="1" applyAlignment="1">
      <alignment horizontal="right" wrapText="1"/>
    </xf>
    <xf numFmtId="0" fontId="15" fillId="0" borderId="0" xfId="0" applyFont="1" applyFill="1" applyBorder="1" applyAlignment="1">
      <alignment horizontal="left" vertical="center" wrapText="1"/>
    </xf>
    <xf numFmtId="0" fontId="15" fillId="0" borderId="0" xfId="0" applyNumberFormat="1" applyFont="1" applyBorder="1" applyAlignment="1" applyProtection="1">
      <alignment horizontal="center"/>
      <protection locked="0"/>
    </xf>
    <xf numFmtId="49" fontId="15" fillId="0" borderId="0" xfId="0" applyNumberFormat="1" applyFont="1" applyAlignment="1">
      <alignment horizontal="center"/>
    </xf>
    <xf numFmtId="172" fontId="15" fillId="0" borderId="0" xfId="0" applyNumberFormat="1" applyFont="1" applyBorder="1" applyAlignment="1">
      <alignment horizontal="center"/>
    </xf>
    <xf numFmtId="49" fontId="15" fillId="0" borderId="0" xfId="0" applyNumberFormat="1" applyFont="1" applyAlignment="1"/>
    <xf numFmtId="2" fontId="15" fillId="0" borderId="0" xfId="0" applyNumberFormat="1" applyFont="1" applyAlignment="1">
      <alignment vertical="top"/>
    </xf>
    <xf numFmtId="49" fontId="15" fillId="0" borderId="0" xfId="0" applyNumberFormat="1" applyFont="1" applyAlignment="1">
      <alignment vertical="top"/>
    </xf>
    <xf numFmtId="0" fontId="15" fillId="0" borderId="0" xfId="0" applyFont="1" applyAlignment="1">
      <alignment vertical="top"/>
    </xf>
    <xf numFmtId="2" fontId="15" fillId="0" borderId="0" xfId="0" applyNumberFormat="1" applyFont="1" applyAlignment="1"/>
    <xf numFmtId="0" fontId="15" fillId="0" borderId="0" xfId="0" applyFont="1" applyBorder="1" applyAlignment="1">
      <alignment vertical="top"/>
    </xf>
    <xf numFmtId="0" fontId="15" fillId="0" borderId="0" xfId="0" applyNumberFormat="1" applyFont="1" applyBorder="1" applyAlignment="1"/>
    <xf numFmtId="49" fontId="15" fillId="0" borderId="0" xfId="0" applyNumberFormat="1" applyFont="1" applyBorder="1" applyAlignment="1">
      <alignment vertical="top"/>
    </xf>
    <xf numFmtId="0" fontId="27" fillId="0" borderId="0" xfId="0" applyFont="1" applyFill="1" applyBorder="1" applyAlignment="1">
      <alignment horizontal="left" wrapText="1"/>
    </xf>
    <xf numFmtId="0" fontId="13" fillId="0" borderId="0" xfId="0" applyFont="1" applyBorder="1" applyAlignment="1">
      <alignment horizontal="left" vertical="center" wrapText="1"/>
    </xf>
    <xf numFmtId="2" fontId="13" fillId="0" borderId="0" xfId="0" applyNumberFormat="1" applyFont="1" applyBorder="1" applyAlignment="1">
      <alignment horizontal="left" wrapText="1"/>
    </xf>
    <xf numFmtId="0" fontId="42" fillId="0" borderId="0" xfId="0" applyFont="1"/>
    <xf numFmtId="2" fontId="15" fillId="0" borderId="0" xfId="0" applyNumberFormat="1" applyFont="1" applyFill="1" applyBorder="1"/>
    <xf numFmtId="0" fontId="13" fillId="0" borderId="0" xfId="0" applyFont="1" applyFill="1" applyBorder="1" applyAlignment="1">
      <alignment wrapText="1"/>
    </xf>
    <xf numFmtId="0" fontId="18" fillId="0" borderId="0" xfId="0" applyFont="1" applyFill="1" applyBorder="1" applyAlignment="1">
      <alignment horizontal="center" wrapText="1"/>
    </xf>
    <xf numFmtId="0" fontId="9" fillId="0" borderId="0" xfId="0" applyFont="1" applyFill="1" applyBorder="1" applyAlignment="1">
      <alignment vertical="center" wrapText="1"/>
    </xf>
    <xf numFmtId="0" fontId="9" fillId="0" borderId="0" xfId="0" applyFont="1" applyFill="1" applyBorder="1" applyAlignment="1">
      <alignment wrapText="1"/>
    </xf>
    <xf numFmtId="0" fontId="20" fillId="0" borderId="2" xfId="0" applyFont="1" applyFill="1" applyBorder="1" applyAlignment="1">
      <alignment horizontal="center" vertical="center" wrapText="1"/>
    </xf>
    <xf numFmtId="0" fontId="15" fillId="0" borderId="0" xfId="0" applyFont="1" applyFill="1" applyAlignment="1">
      <alignment vertical="center"/>
    </xf>
    <xf numFmtId="2" fontId="13" fillId="0" borderId="0" xfId="0" applyNumberFormat="1" applyFont="1" applyFill="1" applyBorder="1" applyAlignment="1">
      <alignment horizontal="center" vertical="center" wrapText="1"/>
    </xf>
    <xf numFmtId="0" fontId="18" fillId="0" borderId="0" xfId="0" applyFont="1" applyFill="1" applyBorder="1" applyAlignment="1">
      <alignment horizontal="center" vertical="center" wrapText="1"/>
    </xf>
    <xf numFmtId="0" fontId="19" fillId="0" borderId="0" xfId="0" applyFont="1" applyFill="1" applyBorder="1" applyAlignment="1">
      <alignment horizontal="left" wrapText="1"/>
    </xf>
    <xf numFmtId="0" fontId="15" fillId="0" borderId="0" xfId="0" applyFont="1" applyFill="1" applyBorder="1" applyAlignment="1">
      <alignment vertical="center"/>
    </xf>
    <xf numFmtId="37" fontId="14" fillId="0" borderId="0" xfId="0" applyNumberFormat="1" applyFont="1" applyFill="1" applyBorder="1" applyAlignment="1">
      <alignment wrapText="1"/>
    </xf>
    <xf numFmtId="0" fontId="15" fillId="0" borderId="0" xfId="0" applyFont="1" applyFill="1" applyBorder="1" applyAlignment="1">
      <alignment horizontal="center" vertical="center"/>
    </xf>
    <xf numFmtId="2" fontId="15" fillId="0" borderId="0" xfId="0" applyNumberFormat="1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vertical="center" wrapText="1"/>
    </xf>
    <xf numFmtId="0" fontId="13" fillId="0" borderId="0" xfId="0" applyFont="1" applyFill="1" applyBorder="1" applyAlignment="1">
      <alignment horizontal="right" vertical="center" wrapText="1"/>
    </xf>
    <xf numFmtId="0" fontId="19" fillId="0" borderId="0" xfId="0" applyFont="1" applyFill="1" applyBorder="1" applyAlignment="1">
      <alignment wrapText="1"/>
    </xf>
    <xf numFmtId="0" fontId="18" fillId="0" borderId="0" xfId="0" applyFont="1" applyFill="1" applyBorder="1" applyAlignment="1">
      <alignment wrapText="1"/>
    </xf>
    <xf numFmtId="0" fontId="17" fillId="0" borderId="0" xfId="0" applyFont="1" applyFill="1" applyBorder="1" applyAlignment="1">
      <alignment vertical="center" wrapText="1"/>
    </xf>
    <xf numFmtId="21" fontId="13" fillId="0" borderId="0" xfId="0" applyNumberFormat="1" applyFont="1" applyFill="1" applyBorder="1" applyAlignment="1">
      <alignment horizontal="center" vertical="center" wrapText="1"/>
    </xf>
    <xf numFmtId="46" fontId="13" fillId="0" borderId="0" xfId="0" applyNumberFormat="1" applyFont="1" applyFill="1" applyBorder="1" applyAlignment="1">
      <alignment horizontal="center" wrapText="1"/>
    </xf>
    <xf numFmtId="0" fontId="14" fillId="0" borderId="0" xfId="0" applyFont="1" applyFill="1" applyBorder="1" applyAlignment="1"/>
    <xf numFmtId="0" fontId="14" fillId="0" borderId="0" xfId="0" applyFont="1" applyFill="1" applyAlignment="1"/>
    <xf numFmtId="0" fontId="35" fillId="0" borderId="0" xfId="0" applyFont="1" applyFill="1"/>
    <xf numFmtId="0" fontId="15" fillId="0" borderId="0" xfId="0" applyFont="1" applyFill="1" applyAlignment="1"/>
    <xf numFmtId="0" fontId="35" fillId="0" borderId="0" xfId="0" applyFont="1" applyFill="1" applyAlignment="1">
      <alignment vertical="center"/>
    </xf>
    <xf numFmtId="0" fontId="64" fillId="0" borderId="0" xfId="0" applyFont="1" applyFill="1"/>
    <xf numFmtId="0" fontId="64" fillId="0" borderId="0" xfId="0" applyFont="1" applyFill="1" applyAlignment="1"/>
    <xf numFmtId="0" fontId="35" fillId="0" borderId="0" xfId="0" applyFont="1" applyFill="1" applyAlignment="1"/>
    <xf numFmtId="0" fontId="35" fillId="0" borderId="0" xfId="0" applyFont="1" applyFill="1" applyBorder="1" applyAlignment="1">
      <alignment vertical="center"/>
    </xf>
    <xf numFmtId="0" fontId="35" fillId="0" borderId="0" xfId="0" applyFont="1" applyFill="1" applyBorder="1" applyAlignment="1"/>
    <xf numFmtId="0" fontId="60" fillId="0" borderId="0" xfId="0" applyFont="1" applyFill="1" applyBorder="1" applyAlignment="1">
      <alignment horizontal="center" wrapText="1"/>
    </xf>
    <xf numFmtId="0" fontId="60" fillId="0" borderId="0" xfId="0" applyFont="1" applyFill="1" applyBorder="1" applyAlignment="1">
      <alignment horizontal="left" wrapText="1"/>
    </xf>
    <xf numFmtId="0" fontId="40" fillId="0" borderId="0" xfId="0" applyFont="1" applyFill="1"/>
    <xf numFmtId="0" fontId="40" fillId="0" borderId="0" xfId="0" applyFont="1" applyFill="1" applyAlignment="1"/>
    <xf numFmtId="0" fontId="40" fillId="0" borderId="0" xfId="0" applyFont="1" applyFill="1" applyBorder="1"/>
    <xf numFmtId="0" fontId="40" fillId="0" borderId="0" xfId="0" applyFont="1" applyFill="1" applyBorder="1" applyAlignment="1"/>
    <xf numFmtId="0" fontId="35" fillId="0" borderId="0" xfId="0" applyFont="1" applyFill="1" applyBorder="1"/>
    <xf numFmtId="0" fontId="14" fillId="0" borderId="0" xfId="0" applyFont="1" applyFill="1" applyBorder="1" applyAlignment="1">
      <alignment horizontal="right"/>
    </xf>
    <xf numFmtId="0" fontId="19" fillId="0" borderId="0" xfId="0" applyFont="1" applyFill="1" applyBorder="1" applyAlignment="1">
      <alignment horizontal="center" wrapText="1"/>
    </xf>
    <xf numFmtId="2" fontId="19" fillId="0" borderId="0" xfId="0" applyNumberFormat="1" applyFont="1" applyFill="1" applyBorder="1" applyAlignment="1">
      <alignment horizontal="center" wrapText="1"/>
    </xf>
    <xf numFmtId="0" fontId="19" fillId="0" borderId="0" xfId="0" applyFont="1" applyFill="1" applyBorder="1" applyAlignment="1">
      <alignment horizontal="right" wrapText="1"/>
    </xf>
    <xf numFmtId="0" fontId="14" fillId="0" borderId="0" xfId="0" applyFont="1" applyFill="1" applyAlignment="1">
      <alignment horizontal="center"/>
    </xf>
    <xf numFmtId="2" fontId="14" fillId="0" borderId="0" xfId="0" applyNumberFormat="1" applyFont="1" applyFill="1" applyAlignment="1">
      <alignment horizontal="center"/>
    </xf>
    <xf numFmtId="0" fontId="25" fillId="0" borderId="0" xfId="0" applyFont="1" applyFill="1"/>
    <xf numFmtId="0" fontId="25" fillId="0" borderId="0" xfId="0" applyFont="1" applyFill="1" applyAlignment="1"/>
    <xf numFmtId="0" fontId="18" fillId="0" borderId="0" xfId="0" applyFont="1" applyFill="1" applyBorder="1" applyAlignment="1">
      <alignment horizontal="left" wrapText="1"/>
    </xf>
    <xf numFmtId="0" fontId="35" fillId="0" borderId="0" xfId="0" applyFont="1" applyFill="1" applyAlignment="1">
      <alignment horizontal="center"/>
    </xf>
    <xf numFmtId="2" fontId="35" fillId="0" borderId="0" xfId="0" applyNumberFormat="1" applyFont="1" applyFill="1" applyAlignment="1">
      <alignment horizontal="center"/>
    </xf>
    <xf numFmtId="164" fontId="15" fillId="34" borderId="0" xfId="0" applyNumberFormat="1" applyFont="1" applyFill="1" applyBorder="1" applyAlignment="1">
      <alignment horizontal="left" vertical="center" wrapText="1"/>
    </xf>
    <xf numFmtId="164" fontId="15" fillId="34" borderId="0" xfId="0" applyNumberFormat="1" applyFont="1" applyFill="1" applyBorder="1" applyAlignment="1">
      <alignment horizontal="center" vertical="center" wrapText="1"/>
    </xf>
    <xf numFmtId="164" fontId="15" fillId="34" borderId="0" xfId="0" applyNumberFormat="1" applyFont="1" applyFill="1" applyBorder="1" applyAlignment="1">
      <alignment horizontal="center" vertical="center"/>
    </xf>
    <xf numFmtId="2" fontId="15" fillId="34" borderId="0" xfId="0" applyNumberFormat="1" applyFont="1" applyFill="1" applyBorder="1" applyAlignment="1">
      <alignment horizontal="center" vertical="center" wrapText="1"/>
    </xf>
    <xf numFmtId="1" fontId="15" fillId="34" borderId="0" xfId="0" applyNumberFormat="1" applyFont="1" applyFill="1" applyBorder="1" applyAlignment="1">
      <alignment horizontal="center" vertical="center" wrapText="1"/>
    </xf>
    <xf numFmtId="0" fontId="15" fillId="34" borderId="0" xfId="0" applyFont="1" applyFill="1" applyBorder="1" applyAlignment="1">
      <alignment horizontal="center" vertical="center" wrapText="1"/>
    </xf>
    <xf numFmtId="2" fontId="15" fillId="34" borderId="0" xfId="0" applyNumberFormat="1" applyFont="1" applyFill="1" applyAlignment="1">
      <alignment horizontal="center" vertical="center"/>
    </xf>
    <xf numFmtId="164" fontId="15" fillId="34" borderId="0" xfId="0" applyNumberFormat="1" applyFont="1" applyFill="1" applyBorder="1" applyAlignment="1">
      <alignment horizontal="center"/>
    </xf>
    <xf numFmtId="0" fontId="15" fillId="34" borderId="0" xfId="0" applyFont="1" applyFill="1" applyBorder="1" applyAlignment="1">
      <alignment horizontal="center" vertical="center"/>
    </xf>
    <xf numFmtId="2" fontId="15" fillId="34" borderId="0" xfId="0" applyNumberFormat="1" applyFont="1" applyFill="1" applyBorder="1" applyAlignment="1">
      <alignment horizontal="center" vertical="center"/>
    </xf>
    <xf numFmtId="1" fontId="15" fillId="34" borderId="0" xfId="0" applyNumberFormat="1" applyFont="1" applyFill="1" applyBorder="1" applyAlignment="1">
      <alignment horizontal="center" vertical="center"/>
    </xf>
    <xf numFmtId="164" fontId="15" fillId="34" borderId="0" xfId="0" applyNumberFormat="1" applyFont="1" applyFill="1" applyBorder="1" applyAlignment="1">
      <alignment horizontal="left" wrapText="1"/>
    </xf>
    <xf numFmtId="0" fontId="15" fillId="34" borderId="0" xfId="0" applyFont="1" applyFill="1" applyBorder="1" applyAlignment="1">
      <alignment horizontal="center"/>
    </xf>
    <xf numFmtId="164" fontId="15" fillId="34" borderId="0" xfId="0" applyNumberFormat="1" applyFont="1" applyFill="1" applyBorder="1" applyAlignment="1">
      <alignment horizontal="center" wrapText="1"/>
    </xf>
    <xf numFmtId="2" fontId="15" fillId="34" borderId="0" xfId="0" applyNumberFormat="1" applyFont="1" applyFill="1" applyBorder="1" applyAlignment="1">
      <alignment horizontal="center" wrapText="1"/>
    </xf>
    <xf numFmtId="2" fontId="15" fillId="34" borderId="0" xfId="0" applyNumberFormat="1" applyFont="1" applyFill="1" applyBorder="1" applyAlignment="1">
      <alignment horizontal="center"/>
    </xf>
    <xf numFmtId="1" fontId="15" fillId="34" borderId="0" xfId="0" applyNumberFormat="1" applyFont="1" applyFill="1" applyBorder="1" applyAlignment="1">
      <alignment horizontal="center"/>
    </xf>
    <xf numFmtId="0" fontId="15" fillId="34" borderId="0" xfId="0" applyFont="1" applyFill="1" applyBorder="1" applyAlignment="1">
      <alignment horizontal="center" wrapText="1"/>
    </xf>
    <xf numFmtId="2" fontId="15" fillId="34" borderId="0" xfId="0" applyNumberFormat="1" applyFont="1" applyFill="1" applyAlignment="1">
      <alignment horizontal="center"/>
    </xf>
    <xf numFmtId="164" fontId="23" fillId="34" borderId="0" xfId="0" applyNumberFormat="1" applyFont="1" applyFill="1" applyBorder="1" applyAlignment="1">
      <alignment horizontal="center"/>
    </xf>
    <xf numFmtId="2" fontId="23" fillId="34" borderId="0" xfId="0" applyNumberFormat="1" applyFont="1" applyFill="1" applyBorder="1" applyAlignment="1">
      <alignment horizontal="center"/>
    </xf>
    <xf numFmtId="0" fontId="15" fillId="34" borderId="0" xfId="0" applyFont="1" applyFill="1" applyBorder="1"/>
    <xf numFmtId="0" fontId="15" fillId="34" borderId="0" xfId="0" applyFont="1" applyFill="1" applyBorder="1" applyAlignment="1">
      <alignment horizontal="right"/>
    </xf>
    <xf numFmtId="0" fontId="23" fillId="34" borderId="0" xfId="0" applyFont="1" applyFill="1" applyBorder="1"/>
    <xf numFmtId="0" fontId="23" fillId="34" borderId="0" xfId="0" applyFont="1" applyFill="1" applyBorder="1" applyAlignment="1">
      <alignment horizontal="right"/>
    </xf>
    <xf numFmtId="0" fontId="15" fillId="34" borderId="0" xfId="0" applyFont="1" applyFill="1" applyBorder="1" applyAlignment="1">
      <alignment horizontal="justify" wrapText="1"/>
    </xf>
    <xf numFmtId="0" fontId="15" fillId="34" borderId="0" xfId="0" applyFont="1" applyFill="1" applyBorder="1" applyAlignment="1">
      <alignment horizontal="right" wrapText="1"/>
    </xf>
    <xf numFmtId="0" fontId="15" fillId="34" borderId="0" xfId="0" applyFont="1" applyFill="1" applyAlignment="1">
      <alignment horizontal="center"/>
    </xf>
    <xf numFmtId="49" fontId="15" fillId="34" borderId="0" xfId="0" applyNumberFormat="1" applyFont="1" applyFill="1" applyBorder="1" applyAlignment="1">
      <alignment horizontal="center"/>
    </xf>
    <xf numFmtId="0" fontId="13" fillId="34" borderId="0" xfId="0" applyFont="1" applyFill="1" applyBorder="1" applyAlignment="1">
      <alignment horizontal="left" wrapText="1"/>
    </xf>
    <xf numFmtId="0" fontId="13" fillId="34" borderId="0" xfId="0" applyFont="1" applyFill="1" applyBorder="1" applyAlignment="1">
      <alignment horizontal="right" wrapText="1"/>
    </xf>
    <xf numFmtId="0" fontId="15" fillId="34" borderId="0" xfId="0" applyFont="1" applyFill="1" applyBorder="1" applyAlignment="1">
      <alignment horizontal="left"/>
    </xf>
    <xf numFmtId="0" fontId="15" fillId="34" borderId="0" xfId="0" applyFont="1" applyFill="1" applyBorder="1" applyAlignment="1">
      <alignment horizontal="left" wrapText="1"/>
    </xf>
    <xf numFmtId="0" fontId="23" fillId="34" borderId="0" xfId="0" applyFont="1" applyFill="1" applyBorder="1" applyAlignment="1">
      <alignment horizontal="left" wrapText="1"/>
    </xf>
    <xf numFmtId="0" fontId="23" fillId="34" borderId="0" xfId="196" applyFont="1" applyFill="1" applyBorder="1" applyAlignment="1">
      <alignment horizontal="left"/>
    </xf>
    <xf numFmtId="2" fontId="23" fillId="34" borderId="0" xfId="196" applyNumberFormat="1" applyFont="1" applyFill="1" applyBorder="1" applyAlignment="1">
      <alignment horizontal="center"/>
    </xf>
    <xf numFmtId="2" fontId="23" fillId="34" borderId="0" xfId="196" applyNumberFormat="1" applyFont="1" applyFill="1" applyAlignment="1">
      <alignment horizontal="center"/>
    </xf>
    <xf numFmtId="0" fontId="15" fillId="34" borderId="0" xfId="196" applyFont="1" applyFill="1" applyBorder="1" applyAlignment="1">
      <alignment horizontal="left"/>
    </xf>
    <xf numFmtId="2" fontId="15" fillId="34" borderId="0" xfId="196" applyNumberFormat="1" applyFont="1" applyFill="1" applyBorder="1" applyAlignment="1">
      <alignment horizontal="center"/>
    </xf>
    <xf numFmtId="2" fontId="15" fillId="34" borderId="0" xfId="196" applyNumberFormat="1" applyFont="1" applyFill="1" applyAlignment="1">
      <alignment horizontal="center"/>
    </xf>
    <xf numFmtId="2" fontId="17" fillId="34" borderId="0" xfId="0" applyNumberFormat="1" applyFont="1" applyFill="1" applyAlignment="1">
      <alignment horizontal="center"/>
    </xf>
    <xf numFmtId="2" fontId="13" fillId="34" borderId="0" xfId="0" applyNumberFormat="1" applyFont="1" applyFill="1" applyAlignment="1">
      <alignment horizontal="center"/>
    </xf>
    <xf numFmtId="2" fontId="13" fillId="34" borderId="0" xfId="0" applyNumberFormat="1" applyFont="1" applyFill="1" applyBorder="1" applyAlignment="1">
      <alignment horizontal="center"/>
    </xf>
    <xf numFmtId="1" fontId="13" fillId="34" borderId="0" xfId="0" applyNumberFormat="1" applyFont="1" applyFill="1" applyBorder="1" applyAlignment="1">
      <alignment horizontal="left" wrapText="1"/>
    </xf>
    <xf numFmtId="1" fontId="13" fillId="34" borderId="0" xfId="0" applyNumberFormat="1" applyFont="1" applyFill="1" applyBorder="1" applyAlignment="1">
      <alignment horizontal="center" wrapText="1"/>
    </xf>
    <xf numFmtId="1" fontId="13" fillId="34" borderId="0" xfId="0" applyNumberFormat="1" applyFont="1" applyFill="1" applyBorder="1" applyAlignment="1">
      <alignment horizontal="right" wrapText="1"/>
    </xf>
    <xf numFmtId="0" fontId="13" fillId="34" borderId="0" xfId="0" applyFont="1" applyFill="1" applyBorder="1" applyAlignment="1">
      <alignment horizontal="center" wrapText="1"/>
    </xf>
    <xf numFmtId="0" fontId="13" fillId="34" borderId="0" xfId="0" applyFont="1" applyFill="1" applyBorder="1" applyAlignment="1">
      <alignment horizontal="left"/>
    </xf>
    <xf numFmtId="2" fontId="13" fillId="34" borderId="0" xfId="0" applyNumberFormat="1" applyFont="1" applyFill="1" applyBorder="1" applyAlignment="1">
      <alignment horizontal="center" vertical="center" wrapText="1"/>
    </xf>
    <xf numFmtId="2" fontId="13" fillId="34" borderId="0" xfId="0" applyNumberFormat="1" applyFont="1" applyFill="1" applyBorder="1" applyAlignment="1">
      <alignment horizontal="center" wrapText="1"/>
    </xf>
    <xf numFmtId="0" fontId="13" fillId="34" borderId="0" xfId="0" applyFont="1" applyFill="1" applyBorder="1" applyAlignment="1">
      <alignment wrapText="1"/>
    </xf>
    <xf numFmtId="0" fontId="15" fillId="34" borderId="0" xfId="0" applyFont="1" applyFill="1" applyBorder="1" applyAlignment="1">
      <alignment horizontal="left" vertical="center" wrapText="1"/>
    </xf>
    <xf numFmtId="0" fontId="15" fillId="35" borderId="0" xfId="0" applyFont="1" applyFill="1" applyBorder="1" applyAlignment="1">
      <alignment horizontal="center"/>
    </xf>
    <xf numFmtId="0" fontId="15" fillId="34" borderId="0" xfId="0" applyNumberFormat="1" applyFont="1" applyFill="1" applyBorder="1" applyAlignment="1">
      <alignment horizontal="center"/>
    </xf>
    <xf numFmtId="167" fontId="15" fillId="34" borderId="0" xfId="0" applyNumberFormat="1" applyFont="1" applyFill="1" applyBorder="1" applyAlignment="1">
      <alignment horizontal="center"/>
    </xf>
    <xf numFmtId="49" fontId="15" fillId="34" borderId="0" xfId="0" applyNumberFormat="1" applyFont="1" applyFill="1" applyBorder="1"/>
    <xf numFmtId="0" fontId="15" fillId="35" borderId="0" xfId="0" applyFont="1" applyFill="1" applyBorder="1" applyAlignment="1">
      <alignment horizontal="left"/>
    </xf>
    <xf numFmtId="0" fontId="15" fillId="35" borderId="0" xfId="0" applyFont="1" applyFill="1" applyBorder="1" applyAlignment="1">
      <alignment horizontal="right"/>
    </xf>
    <xf numFmtId="0" fontId="15" fillId="34" borderId="0" xfId="0" applyFont="1" applyFill="1" applyBorder="1" applyAlignment="1">
      <alignment horizontal="left" vertical="top"/>
    </xf>
    <xf numFmtId="0" fontId="15" fillId="34" borderId="0" xfId="0" applyFont="1" applyFill="1" applyBorder="1" applyAlignment="1">
      <alignment vertical="top"/>
    </xf>
    <xf numFmtId="0" fontId="15" fillId="34" borderId="0" xfId="0" applyNumberFormat="1" applyFont="1" applyFill="1" applyBorder="1" applyAlignment="1">
      <alignment vertical="top"/>
    </xf>
    <xf numFmtId="168" fontId="13" fillId="34" borderId="0" xfId="0" applyNumberFormat="1" applyFont="1" applyFill="1" applyBorder="1" applyAlignment="1">
      <alignment horizontal="center" wrapText="1"/>
    </xf>
    <xf numFmtId="0" fontId="13" fillId="34" borderId="0" xfId="0" applyFont="1" applyFill="1"/>
    <xf numFmtId="0" fontId="13" fillId="34" borderId="0" xfId="0" applyFont="1" applyFill="1" applyAlignment="1">
      <alignment horizontal="right"/>
    </xf>
    <xf numFmtId="0" fontId="27" fillId="34" borderId="0" xfId="0" applyFont="1" applyFill="1" applyBorder="1" applyAlignment="1">
      <alignment horizontal="left" wrapText="1"/>
    </xf>
    <xf numFmtId="0" fontId="13" fillId="34" borderId="0" xfId="0" applyFont="1" applyFill="1" applyBorder="1" applyAlignment="1">
      <alignment horizontal="right" vertical="center" wrapText="1"/>
    </xf>
    <xf numFmtId="0" fontId="15" fillId="34" borderId="0" xfId="0" applyFont="1" applyFill="1" applyBorder="1" applyAlignment="1">
      <alignment vertical="center"/>
    </xf>
    <xf numFmtId="0" fontId="19" fillId="34" borderId="0" xfId="0" applyFont="1" applyFill="1" applyBorder="1" applyAlignment="1">
      <alignment horizontal="left" wrapText="1"/>
    </xf>
    <xf numFmtId="0" fontId="20" fillId="34" borderId="0" xfId="0" applyFont="1" applyFill="1" applyBorder="1" applyAlignment="1">
      <alignment horizontal="left" wrapText="1"/>
    </xf>
    <xf numFmtId="0" fontId="19" fillId="34" borderId="0" xfId="0" applyFont="1" applyFill="1" applyBorder="1" applyAlignment="1">
      <alignment horizontal="left" vertical="top" wrapText="1"/>
    </xf>
    <xf numFmtId="0" fontId="13" fillId="34" borderId="0" xfId="0" applyFont="1" applyFill="1" applyBorder="1" applyAlignment="1">
      <alignment horizontal="left" vertical="top" wrapText="1"/>
    </xf>
    <xf numFmtId="2" fontId="13" fillId="34" borderId="0" xfId="0" applyNumberFormat="1" applyFont="1" applyFill="1" applyBorder="1" applyAlignment="1">
      <alignment horizontal="center" vertical="top" wrapText="1"/>
    </xf>
    <xf numFmtId="0" fontId="13" fillId="34" borderId="0" xfId="0" applyFont="1" applyFill="1" applyBorder="1" applyAlignment="1">
      <alignment horizontal="left" vertical="center" wrapText="1"/>
    </xf>
    <xf numFmtId="0" fontId="16" fillId="34" borderId="0" xfId="0" applyFont="1" applyFill="1" applyBorder="1" applyAlignment="1">
      <alignment horizontal="center" wrapText="1"/>
    </xf>
    <xf numFmtId="2" fontId="16" fillId="34" borderId="0" xfId="0" applyNumberFormat="1" applyFont="1" applyFill="1" applyBorder="1" applyAlignment="1">
      <alignment horizontal="center" wrapText="1"/>
    </xf>
    <xf numFmtId="0" fontId="16" fillId="34" borderId="0" xfId="0" applyFont="1" applyFill="1" applyBorder="1" applyAlignment="1">
      <alignment horizontal="left" wrapText="1"/>
    </xf>
    <xf numFmtId="0" fontId="30" fillId="34" borderId="0" xfId="0" applyFont="1" applyFill="1" applyBorder="1"/>
    <xf numFmtId="0" fontId="30" fillId="34" borderId="0" xfId="0" applyFont="1" applyFill="1" applyBorder="1" applyAlignment="1">
      <alignment horizontal="center"/>
    </xf>
    <xf numFmtId="2" fontId="30" fillId="34" borderId="0" xfId="0" applyNumberFormat="1" applyFont="1" applyFill="1" applyBorder="1" applyAlignment="1">
      <alignment horizontal="center"/>
    </xf>
    <xf numFmtId="2" fontId="30" fillId="34" borderId="0" xfId="0" applyNumberFormat="1" applyFont="1" applyFill="1" applyBorder="1" applyAlignment="1">
      <alignment horizontal="center" wrapText="1"/>
    </xf>
    <xf numFmtId="1" fontId="16" fillId="34" borderId="0" xfId="0" applyNumberFormat="1" applyFont="1" applyFill="1" applyBorder="1" applyAlignment="1">
      <alignment horizontal="center" wrapText="1"/>
    </xf>
    <xf numFmtId="2" fontId="13" fillId="34" borderId="0" xfId="0" applyNumberFormat="1" applyFont="1" applyFill="1" applyBorder="1" applyAlignment="1">
      <alignment horizontal="left" wrapText="1"/>
    </xf>
    <xf numFmtId="2" fontId="116" fillId="0" borderId="0" xfId="0" applyNumberFormat="1" applyFont="1" applyFill="1" applyBorder="1" applyAlignment="1">
      <alignment horizontal="center" wrapText="1"/>
    </xf>
    <xf numFmtId="164" fontId="23" fillId="34" borderId="0" xfId="0" applyNumberFormat="1" applyFont="1" applyFill="1" applyBorder="1" applyAlignment="1">
      <alignment horizontal="left" vertical="center" wrapText="1"/>
    </xf>
    <xf numFmtId="164" fontId="23" fillId="34" borderId="0" xfId="0" applyNumberFormat="1" applyFont="1" applyFill="1" applyBorder="1" applyAlignment="1">
      <alignment horizontal="center" vertical="center"/>
    </xf>
    <xf numFmtId="2" fontId="23" fillId="34" borderId="0" xfId="0" applyNumberFormat="1" applyFont="1" applyFill="1" applyBorder="1" applyAlignment="1">
      <alignment horizontal="center" vertical="center"/>
    </xf>
    <xf numFmtId="2" fontId="15" fillId="0" borderId="0" xfId="0" applyNumberFormat="1" applyFont="1" applyBorder="1" applyAlignment="1">
      <alignment horizontal="center" vertical="center"/>
    </xf>
    <xf numFmtId="0" fontId="15" fillId="34" borderId="12" xfId="0" applyFont="1" applyFill="1" applyBorder="1"/>
    <xf numFmtId="0" fontId="15" fillId="34" borderId="12" xfId="0" applyFont="1" applyFill="1" applyBorder="1" applyAlignment="1">
      <alignment horizontal="center"/>
    </xf>
    <xf numFmtId="0" fontId="23" fillId="0" borderId="2" xfId="0" applyFont="1" applyFill="1" applyBorder="1" applyAlignment="1">
      <alignment horizontal="center" vertical="center" wrapText="1"/>
    </xf>
    <xf numFmtId="2" fontId="13" fillId="34" borderId="12" xfId="0" applyNumberFormat="1" applyFont="1" applyFill="1" applyBorder="1" applyAlignment="1">
      <alignment horizontal="center" vertical="center" wrapText="1"/>
    </xf>
    <xf numFmtId="167" fontId="15" fillId="34" borderId="12" xfId="0" applyNumberFormat="1" applyFont="1" applyFill="1" applyBorder="1" applyAlignment="1">
      <alignment horizontal="center"/>
    </xf>
    <xf numFmtId="49" fontId="15" fillId="34" borderId="12" xfId="0" applyNumberFormat="1" applyFont="1" applyFill="1" applyBorder="1"/>
    <xf numFmtId="0" fontId="16" fillId="0" borderId="12" xfId="0" applyFont="1" applyBorder="1" applyAlignment="1">
      <alignment wrapText="1"/>
    </xf>
    <xf numFmtId="0" fontId="16" fillId="0" borderId="12" xfId="0" applyFont="1" applyBorder="1" applyAlignment="1">
      <alignment vertical="justify" wrapText="1"/>
    </xf>
    <xf numFmtId="0" fontId="13" fillId="0" borderId="0" xfId="0" applyFont="1" applyFill="1" applyBorder="1" applyAlignment="1">
      <alignment horizontal="left" vertical="top" wrapText="1"/>
    </xf>
    <xf numFmtId="2" fontId="13" fillId="0" borderId="0" xfId="0" applyNumberFormat="1" applyFont="1" applyFill="1" applyBorder="1" applyAlignment="1">
      <alignment horizontal="center" vertical="top" wrapText="1"/>
    </xf>
    <xf numFmtId="164" fontId="23" fillId="0" borderId="0" xfId="0" applyNumberFormat="1" applyFont="1" applyFill="1" applyBorder="1" applyAlignment="1">
      <alignment horizontal="center" vertical="center"/>
    </xf>
    <xf numFmtId="2" fontId="23" fillId="0" borderId="0" xfId="0" applyNumberFormat="1" applyFont="1" applyFill="1" applyBorder="1" applyAlignment="1">
      <alignment horizontal="center" vertical="center"/>
    </xf>
    <xf numFmtId="1" fontId="23" fillId="0" borderId="0" xfId="0" applyNumberFormat="1" applyFont="1" applyFill="1" applyBorder="1" applyAlignment="1">
      <alignment horizontal="center" vertical="center"/>
    </xf>
    <xf numFmtId="0" fontId="39" fillId="0" borderId="0" xfId="0" applyFont="1" applyBorder="1"/>
    <xf numFmtId="0" fontId="13" fillId="0" borderId="0" xfId="0" applyFont="1" applyFill="1" applyBorder="1" applyAlignment="1">
      <alignment horizontal="left"/>
    </xf>
    <xf numFmtId="0" fontId="31" fillId="0" borderId="0" xfId="0" applyFont="1" applyAlignment="1">
      <alignment vertical="center" wrapText="1"/>
    </xf>
    <xf numFmtId="2" fontId="13" fillId="0" borderId="0" xfId="0" applyNumberFormat="1" applyFont="1" applyBorder="1" applyAlignment="1">
      <alignment horizontal="left" vertical="center" wrapText="1"/>
    </xf>
    <xf numFmtId="0" fontId="19" fillId="0" borderId="0" xfId="0" applyFont="1" applyFill="1" applyBorder="1" applyAlignment="1">
      <alignment vertical="center" wrapText="1"/>
    </xf>
    <xf numFmtId="0" fontId="19" fillId="0" borderId="0" xfId="0" applyFont="1" applyFill="1" applyBorder="1" applyAlignment="1">
      <alignment horizontal="center" vertical="center" wrapText="1"/>
    </xf>
    <xf numFmtId="0" fontId="19" fillId="0" borderId="0" xfId="0" applyFont="1" applyFill="1" applyBorder="1" applyAlignment="1">
      <alignment horizontal="left" vertical="center" wrapText="1"/>
    </xf>
    <xf numFmtId="0" fontId="40" fillId="0" borderId="0" xfId="0" applyFont="1" applyFill="1" applyBorder="1" applyAlignment="1">
      <alignment vertical="center"/>
    </xf>
    <xf numFmtId="0" fontId="43" fillId="0" borderId="0" xfId="0" applyFont="1" applyFill="1" applyBorder="1" applyAlignment="1">
      <alignment horizontal="left" vertical="center" wrapText="1"/>
    </xf>
    <xf numFmtId="0" fontId="15" fillId="0" borderId="0" xfId="0" applyFont="1" applyBorder="1" applyAlignment="1">
      <alignment vertical="center"/>
    </xf>
    <xf numFmtId="21" fontId="15" fillId="0" borderId="0" xfId="0" applyNumberFormat="1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166" fontId="15" fillId="34" borderId="0" xfId="0" applyNumberFormat="1" applyFont="1" applyFill="1" applyBorder="1" applyAlignment="1">
      <alignment horizontal="center" vertical="center"/>
    </xf>
    <xf numFmtId="0" fontId="15" fillId="34" borderId="0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vertical="center"/>
    </xf>
    <xf numFmtId="0" fontId="66" fillId="0" borderId="0" xfId="0" applyFont="1" applyFill="1" applyBorder="1"/>
    <xf numFmtId="0" fontId="117" fillId="0" borderId="0" xfId="0" applyFont="1" applyFill="1" applyBorder="1"/>
    <xf numFmtId="0" fontId="67" fillId="0" borderId="0" xfId="0" applyFont="1" applyFill="1" applyBorder="1"/>
    <xf numFmtId="0" fontId="118" fillId="0" borderId="0" xfId="0" applyFont="1" applyFill="1" applyBorder="1" applyAlignment="1">
      <alignment vertical="center" textRotation="180"/>
    </xf>
    <xf numFmtId="0" fontId="38" fillId="0" borderId="0" xfId="0" applyFont="1" applyBorder="1" applyAlignment="1">
      <alignment horizontal="right" wrapText="1"/>
    </xf>
    <xf numFmtId="0" fontId="15" fillId="0" borderId="0" xfId="0" applyFont="1" applyBorder="1" applyAlignment="1">
      <alignment horizontal="right" vertical="center"/>
    </xf>
    <xf numFmtId="166" fontId="15" fillId="0" borderId="0" xfId="0" applyNumberFormat="1" applyFont="1" applyBorder="1" applyAlignment="1">
      <alignment horizontal="center" vertical="center"/>
    </xf>
    <xf numFmtId="0" fontId="23" fillId="0" borderId="0" xfId="0" applyFont="1" applyBorder="1" applyAlignment="1">
      <alignment vertical="center"/>
    </xf>
    <xf numFmtId="0" fontId="23" fillId="34" borderId="0" xfId="0" applyFont="1" applyFill="1" applyBorder="1" applyAlignment="1">
      <alignment vertical="center"/>
    </xf>
    <xf numFmtId="0" fontId="23" fillId="34" borderId="0" xfId="0" applyFont="1" applyFill="1" applyBorder="1" applyAlignment="1">
      <alignment horizontal="right" vertical="center"/>
    </xf>
    <xf numFmtId="0" fontId="23" fillId="0" borderId="0" xfId="0" applyFont="1" applyFill="1" applyBorder="1" applyAlignment="1">
      <alignment vertical="center"/>
    </xf>
    <xf numFmtId="166" fontId="15" fillId="0" borderId="0" xfId="0" applyNumberFormat="1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right" vertical="center"/>
    </xf>
    <xf numFmtId="0" fontId="51" fillId="0" borderId="0" xfId="0" applyFont="1" applyBorder="1" applyAlignment="1">
      <alignment horizontal="left" vertical="center" wrapText="1"/>
    </xf>
    <xf numFmtId="0" fontId="51" fillId="0" borderId="0" xfId="0" applyFont="1" applyBorder="1" applyAlignment="1">
      <alignment horizontal="center" vertical="center" wrapText="1"/>
    </xf>
    <xf numFmtId="2" fontId="116" fillId="0" borderId="0" xfId="0" applyNumberFormat="1" applyFont="1" applyFill="1" applyBorder="1" applyAlignment="1">
      <alignment horizontal="center" vertical="center" wrapText="1"/>
    </xf>
    <xf numFmtId="0" fontId="30" fillId="0" borderId="0" xfId="0" applyFont="1" applyFill="1" applyBorder="1" applyAlignment="1">
      <alignment horizontal="center"/>
    </xf>
    <xf numFmtId="0" fontId="72" fillId="0" borderId="0" xfId="0" applyFont="1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16" xfId="0" applyFill="1" applyBorder="1"/>
    <xf numFmtId="0" fontId="0" fillId="2" borderId="17" xfId="0" applyFill="1" applyBorder="1"/>
    <xf numFmtId="0" fontId="0" fillId="2" borderId="18" xfId="0" applyFill="1" applyBorder="1"/>
    <xf numFmtId="0" fontId="0" fillId="2" borderId="12" xfId="0" applyFill="1" applyBorder="1"/>
    <xf numFmtId="0" fontId="0" fillId="2" borderId="19" xfId="0" applyFill="1" applyBorder="1"/>
    <xf numFmtId="0" fontId="72" fillId="2" borderId="0" xfId="0" applyFont="1" applyFill="1" applyBorder="1"/>
    <xf numFmtId="0" fontId="72" fillId="0" borderId="0" xfId="0" applyFont="1" applyFill="1" applyBorder="1" applyAlignment="1"/>
    <xf numFmtId="175" fontId="72" fillId="0" borderId="0" xfId="0" applyNumberFormat="1" applyFont="1" applyFill="1" applyBorder="1" applyAlignment="1"/>
    <xf numFmtId="49" fontId="72" fillId="0" borderId="0" xfId="0" applyNumberFormat="1" applyFont="1" applyFill="1" applyBorder="1" applyAlignment="1"/>
    <xf numFmtId="0" fontId="72" fillId="2" borderId="0" xfId="0" applyFont="1" applyFill="1" applyBorder="1" applyAlignment="1"/>
    <xf numFmtId="2" fontId="116" fillId="34" borderId="0" xfId="0" applyNumberFormat="1" applyFont="1" applyFill="1" applyBorder="1" applyAlignment="1">
      <alignment horizontal="center" vertical="center" wrapText="1"/>
    </xf>
    <xf numFmtId="2" fontId="116" fillId="34" borderId="0" xfId="0" applyNumberFormat="1" applyFont="1" applyFill="1" applyBorder="1" applyAlignment="1">
      <alignment horizontal="center"/>
    </xf>
    <xf numFmtId="164" fontId="15" fillId="34" borderId="0" xfId="0" applyNumberFormat="1" applyFont="1" applyFill="1" applyBorder="1" applyAlignment="1">
      <alignment horizontal="right" vertical="center" wrapText="1"/>
    </xf>
    <xf numFmtId="0" fontId="15" fillId="0" borderId="0" xfId="0" applyFont="1" applyFill="1" applyBorder="1" applyAlignment="1">
      <alignment horizontal="right" vertical="center"/>
    </xf>
    <xf numFmtId="1" fontId="13" fillId="0" borderId="0" xfId="0" applyNumberFormat="1" applyFont="1" applyFill="1" applyBorder="1" applyAlignment="1">
      <alignment horizontal="left" vertical="center" wrapText="1"/>
    </xf>
    <xf numFmtId="1" fontId="13" fillId="0" borderId="0" xfId="0" applyNumberFormat="1" applyFont="1" applyFill="1" applyBorder="1" applyAlignment="1">
      <alignment horizontal="center" vertical="center" wrapText="1"/>
    </xf>
    <xf numFmtId="1" fontId="15" fillId="0" borderId="0" xfId="0" applyNumberFormat="1" applyFont="1" applyFill="1" applyBorder="1" applyAlignment="1">
      <alignment horizontal="center" vertical="center"/>
    </xf>
    <xf numFmtId="2" fontId="30" fillId="0" borderId="0" xfId="0" applyNumberFormat="1" applyFont="1" applyFill="1" applyBorder="1" applyAlignment="1">
      <alignment horizontal="center"/>
    </xf>
    <xf numFmtId="0" fontId="15" fillId="0" borderId="0" xfId="0" applyFont="1" applyFill="1" applyBorder="1" applyAlignment="1">
      <alignment horizontal="left" vertical="center"/>
    </xf>
    <xf numFmtId="0" fontId="30" fillId="0" borderId="0" xfId="0" applyFont="1" applyFill="1" applyAlignment="1">
      <alignment vertical="center"/>
    </xf>
    <xf numFmtId="0" fontId="30" fillId="0" borderId="0" xfId="0" applyFont="1" applyFill="1" applyAlignment="1">
      <alignment vertical="justify"/>
    </xf>
    <xf numFmtId="2" fontId="16" fillId="0" borderId="0" xfId="0" applyNumberFormat="1" applyFont="1" applyFill="1" applyBorder="1" applyAlignment="1">
      <alignment horizontal="center" vertical="center" wrapText="1"/>
    </xf>
    <xf numFmtId="0" fontId="16" fillId="0" borderId="0" xfId="0" applyFont="1" applyFill="1" applyBorder="1" applyAlignment="1">
      <alignment horizontal="right" vertical="center" wrapText="1"/>
    </xf>
    <xf numFmtId="2" fontId="30" fillId="0" borderId="0" xfId="0" applyNumberFormat="1" applyFont="1" applyFill="1" applyAlignment="1">
      <alignment horizontal="center" vertical="center"/>
    </xf>
    <xf numFmtId="2" fontId="30" fillId="0" borderId="0" xfId="0" applyNumberFormat="1" applyFont="1" applyFill="1" applyBorder="1" applyAlignment="1">
      <alignment horizontal="center" vertical="center"/>
    </xf>
    <xf numFmtId="0" fontId="30" fillId="0" borderId="0" xfId="0" applyFont="1" applyFill="1" applyBorder="1" applyAlignment="1">
      <alignment vertical="center"/>
    </xf>
    <xf numFmtId="2" fontId="16" fillId="34" borderId="0" xfId="0" applyNumberFormat="1" applyFont="1" applyFill="1" applyBorder="1" applyAlignment="1">
      <alignment horizontal="center" vertical="center" wrapText="1"/>
    </xf>
    <xf numFmtId="0" fontId="16" fillId="34" borderId="0" xfId="0" applyFont="1" applyFill="1" applyBorder="1" applyAlignment="1">
      <alignment horizontal="right" vertical="center" wrapText="1"/>
    </xf>
    <xf numFmtId="2" fontId="30" fillId="34" borderId="0" xfId="0" applyNumberFormat="1" applyFont="1" applyFill="1" applyBorder="1" applyAlignment="1">
      <alignment horizontal="center" vertical="center"/>
    </xf>
    <xf numFmtId="0" fontId="30" fillId="34" borderId="0" xfId="0" applyFont="1" applyFill="1"/>
    <xf numFmtId="0" fontId="65" fillId="0" borderId="0" xfId="0" applyFont="1" applyFill="1" applyBorder="1" applyAlignment="1">
      <alignment vertical="center" textRotation="180"/>
    </xf>
    <xf numFmtId="0" fontId="71" fillId="0" borderId="0" xfId="0" applyFont="1" applyFill="1" applyBorder="1" applyAlignment="1">
      <alignment vertical="center" textRotation="180"/>
    </xf>
    <xf numFmtId="0" fontId="15" fillId="34" borderId="0" xfId="0" applyFont="1" applyFill="1" applyBorder="1" applyAlignment="1">
      <alignment horizontal="left" vertical="center"/>
    </xf>
    <xf numFmtId="0" fontId="13" fillId="0" borderId="0" xfId="0" applyFont="1" applyFill="1" applyBorder="1"/>
    <xf numFmtId="164" fontId="13" fillId="0" borderId="0" xfId="0" applyNumberFormat="1" applyFont="1" applyFill="1" applyBorder="1" applyAlignment="1">
      <alignment horizontal="center" wrapText="1"/>
    </xf>
    <xf numFmtId="164" fontId="15" fillId="0" borderId="0" xfId="0" applyNumberFormat="1" applyFont="1" applyFill="1" applyBorder="1" applyAlignment="1">
      <alignment horizontal="right" vertical="center" wrapText="1"/>
    </xf>
    <xf numFmtId="1" fontId="13" fillId="34" borderId="0" xfId="0" applyNumberFormat="1" applyFont="1" applyFill="1" applyBorder="1" applyAlignment="1">
      <alignment horizontal="center" vertical="center" wrapText="1"/>
    </xf>
    <xf numFmtId="21" fontId="119" fillId="0" borderId="0" xfId="0" applyNumberFormat="1" applyFont="1" applyFill="1" applyBorder="1" applyAlignment="1">
      <alignment horizontal="center" vertical="center" wrapText="1"/>
    </xf>
    <xf numFmtId="2" fontId="119" fillId="0" borderId="0" xfId="0" applyNumberFormat="1" applyFont="1" applyFill="1" applyBorder="1" applyAlignment="1">
      <alignment horizontal="center" vertical="center"/>
    </xf>
    <xf numFmtId="0" fontId="119" fillId="0" borderId="0" xfId="0" applyFont="1" applyFill="1" applyBorder="1" applyAlignment="1">
      <alignment horizontal="center" vertical="center" wrapText="1"/>
    </xf>
    <xf numFmtId="0" fontId="120" fillId="0" borderId="0" xfId="0" applyFont="1" applyFill="1" applyBorder="1" applyAlignment="1">
      <alignment horizontal="center" vertical="center" wrapText="1"/>
    </xf>
    <xf numFmtId="0" fontId="119" fillId="0" borderId="0" xfId="0" applyFont="1" applyFill="1" applyBorder="1" applyAlignment="1">
      <alignment vertical="center" wrapText="1"/>
    </xf>
    <xf numFmtId="0" fontId="119" fillId="0" borderId="0" xfId="0" applyFont="1" applyFill="1" applyBorder="1"/>
    <xf numFmtId="0" fontId="121" fillId="0" borderId="0" xfId="0" applyFont="1" applyFill="1" applyBorder="1" applyAlignment="1">
      <alignment horizontal="left" vertical="center" wrapText="1"/>
    </xf>
    <xf numFmtId="0" fontId="120" fillId="0" borderId="0" xfId="0" applyFont="1" applyFill="1" applyBorder="1" applyAlignment="1">
      <alignment horizontal="left"/>
    </xf>
    <xf numFmtId="0" fontId="122" fillId="0" borderId="0" xfId="0" applyFont="1" applyFill="1" applyBorder="1" applyAlignment="1">
      <alignment horizontal="left" vertical="center" wrapText="1"/>
    </xf>
    <xf numFmtId="0" fontId="119" fillId="0" borderId="0" xfId="0" applyFont="1" applyFill="1" applyBorder="1" applyAlignment="1">
      <alignment vertical="center"/>
    </xf>
    <xf numFmtId="0" fontId="123" fillId="0" borderId="0" xfId="0" applyFont="1" applyFill="1" applyBorder="1" applyAlignment="1">
      <alignment horizontal="left" vertical="center" wrapText="1"/>
    </xf>
    <xf numFmtId="0" fontId="119" fillId="0" borderId="0" xfId="0" applyFont="1" applyFill="1" applyBorder="1" applyAlignment="1">
      <alignment horizontal="center" vertical="center"/>
    </xf>
    <xf numFmtId="0" fontId="119" fillId="0" borderId="0" xfId="0" applyFont="1" applyBorder="1"/>
    <xf numFmtId="2" fontId="119" fillId="0" borderId="0" xfId="0" applyNumberFormat="1" applyFont="1" applyBorder="1" applyAlignment="1">
      <alignment horizontal="center"/>
    </xf>
    <xf numFmtId="0" fontId="76" fillId="34" borderId="0" xfId="0" applyFont="1" applyFill="1" applyAlignment="1">
      <alignment horizontal="center" vertical="center"/>
    </xf>
    <xf numFmtId="0" fontId="76" fillId="34" borderId="0" xfId="0" applyFont="1" applyFill="1" applyBorder="1" applyAlignment="1">
      <alignment vertical="center"/>
    </xf>
    <xf numFmtId="0" fontId="78" fillId="34" borderId="0" xfId="0" applyFont="1" applyFill="1" applyBorder="1" applyAlignment="1">
      <alignment horizontal="left" vertical="center" wrapText="1"/>
    </xf>
    <xf numFmtId="0" fontId="78" fillId="0" borderId="0" xfId="0" applyFont="1" applyFill="1" applyBorder="1" applyAlignment="1">
      <alignment horizontal="left" vertical="top" wrapText="1"/>
    </xf>
    <xf numFmtId="0" fontId="58" fillId="34" borderId="0" xfId="0" applyFont="1" applyFill="1" applyBorder="1" applyAlignment="1">
      <alignment horizontal="left" vertical="center" wrapText="1"/>
    </xf>
    <xf numFmtId="0" fontId="58" fillId="0" borderId="0" xfId="0" applyFont="1" applyFill="1" applyBorder="1" applyAlignment="1">
      <alignment horizontal="left" vertical="center" wrapText="1"/>
    </xf>
    <xf numFmtId="0" fontId="79" fillId="34" borderId="0" xfId="0" applyFont="1" applyFill="1" applyBorder="1" applyAlignment="1">
      <alignment horizontal="left" vertical="top" wrapText="1"/>
    </xf>
    <xf numFmtId="0" fontId="79" fillId="0" borderId="0" xfId="0" applyFont="1" applyFill="1" applyBorder="1" applyAlignment="1">
      <alignment horizontal="left" vertical="top" wrapText="1"/>
    </xf>
    <xf numFmtId="0" fontId="80" fillId="34" borderId="0" xfId="0" applyFont="1" applyFill="1" applyAlignment="1">
      <alignment horizontal="left"/>
    </xf>
    <xf numFmtId="0" fontId="77" fillId="0" borderId="0" xfId="0" applyFont="1" applyAlignment="1">
      <alignment horizontal="left"/>
    </xf>
    <xf numFmtId="0" fontId="30" fillId="0" borderId="0" xfId="0" applyFont="1" applyFill="1" applyAlignment="1">
      <alignment horizontal="center"/>
    </xf>
    <xf numFmtId="0" fontId="76" fillId="0" borderId="0" xfId="0" applyFont="1" applyFill="1" applyAlignment="1">
      <alignment horizontal="center" vertical="center"/>
    </xf>
    <xf numFmtId="0" fontId="80" fillId="0" borderId="0" xfId="0" applyFont="1" applyFill="1" applyAlignment="1">
      <alignment horizontal="left"/>
    </xf>
    <xf numFmtId="0" fontId="58" fillId="34" borderId="0" xfId="0" applyFont="1" applyFill="1" applyBorder="1" applyAlignment="1">
      <alignment horizontal="left" vertical="justify" wrapText="1"/>
    </xf>
    <xf numFmtId="2" fontId="16" fillId="34" borderId="0" xfId="0" applyNumberFormat="1" applyFont="1" applyFill="1" applyBorder="1" applyAlignment="1">
      <alignment horizontal="center" vertical="justify" wrapText="1"/>
    </xf>
    <xf numFmtId="0" fontId="30" fillId="34" borderId="0" xfId="0" applyFont="1" applyFill="1" applyAlignment="1">
      <alignment vertical="center"/>
    </xf>
    <xf numFmtId="0" fontId="78" fillId="34" borderId="0" xfId="0" applyFont="1" applyFill="1" applyBorder="1" applyAlignment="1">
      <alignment horizontal="left" vertical="justify" wrapText="1"/>
    </xf>
    <xf numFmtId="2" fontId="30" fillId="34" borderId="0" xfId="0" applyNumberFormat="1" applyFont="1" applyFill="1" applyAlignment="1">
      <alignment horizontal="center" vertical="justify"/>
    </xf>
    <xf numFmtId="0" fontId="58" fillId="34" borderId="12" xfId="0" applyFont="1" applyFill="1" applyBorder="1" applyAlignment="1">
      <alignment horizontal="left" vertical="center" wrapText="1"/>
    </xf>
    <xf numFmtId="2" fontId="16" fillId="34" borderId="12" xfId="0" applyNumberFormat="1" applyFont="1" applyFill="1" applyBorder="1" applyAlignment="1">
      <alignment horizontal="center" vertical="center" wrapText="1"/>
    </xf>
    <xf numFmtId="0" fontId="83" fillId="0" borderId="0" xfId="0" applyFont="1" applyAlignment="1">
      <alignment vertical="center"/>
    </xf>
    <xf numFmtId="0" fontId="83" fillId="0" borderId="0" xfId="0" applyFont="1" applyFill="1"/>
    <xf numFmtId="49" fontId="27" fillId="0" borderId="0" xfId="0" applyNumberFormat="1" applyFont="1" applyFill="1" applyBorder="1" applyAlignment="1">
      <alignment vertical="center" wrapText="1"/>
    </xf>
    <xf numFmtId="0" fontId="84" fillId="0" borderId="0" xfId="0" applyFont="1" applyAlignment="1">
      <alignment horizontal="left"/>
    </xf>
    <xf numFmtId="0" fontId="25" fillId="0" borderId="0" xfId="0" applyFont="1" applyAlignment="1">
      <alignment horizontal="left" vertical="center"/>
    </xf>
    <xf numFmtId="2" fontId="15" fillId="0" borderId="0" xfId="0" applyNumberFormat="1" applyFont="1" applyFill="1" applyAlignment="1">
      <alignment horizontal="center"/>
    </xf>
    <xf numFmtId="0" fontId="19" fillId="0" borderId="0" xfId="0" applyFont="1" applyFill="1" applyBorder="1" applyAlignment="1">
      <alignment horizontal="left" vertical="top" wrapText="1"/>
    </xf>
    <xf numFmtId="0" fontId="20" fillId="0" borderId="0" xfId="0" applyFont="1" applyFill="1" applyBorder="1" applyAlignment="1">
      <alignment horizontal="left" wrapText="1"/>
    </xf>
    <xf numFmtId="0" fontId="13" fillId="0" borderId="0" xfId="0" applyFont="1" applyFill="1" applyBorder="1" applyAlignment="1">
      <alignment horizontal="right"/>
    </xf>
    <xf numFmtId="0" fontId="15" fillId="0" borderId="0" xfId="0" applyFont="1" applyFill="1" applyAlignment="1">
      <alignment horizontal="right"/>
    </xf>
    <xf numFmtId="0" fontId="7" fillId="0" borderId="0" xfId="0" applyFont="1" applyFill="1"/>
    <xf numFmtId="0" fontId="41" fillId="0" borderId="0" xfId="0" applyFont="1" applyBorder="1" applyAlignment="1">
      <alignment wrapText="1"/>
    </xf>
    <xf numFmtId="1" fontId="13" fillId="34" borderId="0" xfId="0" applyNumberFormat="1" applyFont="1" applyFill="1" applyBorder="1" applyAlignment="1">
      <alignment horizontal="left" vertical="center" wrapText="1"/>
    </xf>
    <xf numFmtId="0" fontId="13" fillId="34" borderId="0" xfId="0" applyFont="1" applyFill="1" applyAlignment="1">
      <alignment vertical="center"/>
    </xf>
    <xf numFmtId="168" fontId="13" fillId="34" borderId="0" xfId="0" applyNumberFormat="1" applyFont="1" applyFill="1" applyBorder="1" applyAlignment="1">
      <alignment horizontal="center" vertical="center" wrapText="1"/>
    </xf>
    <xf numFmtId="0" fontId="13" fillId="34" borderId="0" xfId="0" applyFont="1" applyFill="1" applyAlignment="1">
      <alignment horizontal="right" vertical="center"/>
    </xf>
    <xf numFmtId="0" fontId="17" fillId="0" borderId="0" xfId="0" applyFont="1" applyFill="1" applyBorder="1" applyAlignment="1">
      <alignment horizontal="left" vertical="center" wrapText="1"/>
    </xf>
    <xf numFmtId="0" fontId="124" fillId="34" borderId="0" xfId="0" applyFont="1" applyFill="1" applyBorder="1" applyAlignment="1">
      <alignment horizontal="center" vertical="center" wrapText="1"/>
    </xf>
    <xf numFmtId="0" fontId="36" fillId="0" borderId="0" xfId="0" applyFont="1" applyFill="1" applyAlignment="1"/>
    <xf numFmtId="0" fontId="36" fillId="0" borderId="0" xfId="0" applyFont="1" applyFill="1" applyBorder="1" applyAlignment="1">
      <alignment horizontal="right" wrapText="1"/>
    </xf>
    <xf numFmtId="2" fontId="124" fillId="34" borderId="0" xfId="0" applyNumberFormat="1" applyFont="1" applyFill="1" applyBorder="1" applyAlignment="1">
      <alignment horizontal="center" vertical="center" wrapText="1"/>
    </xf>
    <xf numFmtId="164" fontId="116" fillId="0" borderId="0" xfId="0" applyNumberFormat="1" applyFont="1" applyFill="1" applyBorder="1" applyAlignment="1">
      <alignment horizontal="center" vertical="center"/>
    </xf>
    <xf numFmtId="0" fontId="116" fillId="0" borderId="0" xfId="0" applyFont="1" applyFill="1" applyBorder="1" applyAlignment="1">
      <alignment horizontal="center" vertical="center"/>
    </xf>
    <xf numFmtId="0" fontId="86" fillId="0" borderId="0" xfId="0" applyFont="1" applyBorder="1"/>
    <xf numFmtId="0" fontId="87" fillId="0" borderId="0" xfId="0" applyFont="1" applyBorder="1" applyAlignment="1">
      <alignment wrapText="1"/>
    </xf>
    <xf numFmtId="0" fontId="86" fillId="0" borderId="0" xfId="0" applyFont="1" applyBorder="1" applyAlignment="1"/>
    <xf numFmtId="0" fontId="86" fillId="0" borderId="0" xfId="0" applyFont="1" applyBorder="1" applyAlignment="1">
      <alignment horizontal="left" wrapText="1"/>
    </xf>
    <xf numFmtId="0" fontId="87" fillId="0" borderId="0" xfId="0" applyFont="1" applyBorder="1" applyAlignment="1">
      <alignment horizontal="left" wrapText="1"/>
    </xf>
    <xf numFmtId="49" fontId="87" fillId="0" borderId="0" xfId="0" applyNumberFormat="1" applyFont="1" applyBorder="1" applyAlignment="1">
      <alignment horizontal="left" wrapText="1"/>
    </xf>
    <xf numFmtId="164" fontId="86" fillId="0" borderId="0" xfId="0" applyNumberFormat="1" applyFont="1" applyBorder="1" applyAlignment="1">
      <alignment horizontal="left" wrapText="1"/>
    </xf>
    <xf numFmtId="0" fontId="86" fillId="0" borderId="0" xfId="0" applyFont="1" applyBorder="1" applyAlignment="1">
      <alignment horizontal="center"/>
    </xf>
    <xf numFmtId="0" fontId="87" fillId="0" borderId="0" xfId="0" applyFont="1" applyBorder="1" applyAlignment="1">
      <alignment horizontal="center" wrapText="1"/>
    </xf>
    <xf numFmtId="0" fontId="87" fillId="0" borderId="0" xfId="0" applyFont="1" applyBorder="1" applyAlignment="1">
      <alignment horizontal="center"/>
    </xf>
    <xf numFmtId="0" fontId="86" fillId="0" borderId="0" xfId="0" applyFont="1"/>
    <xf numFmtId="0" fontId="86" fillId="0" borderId="0" xfId="0" applyFont="1" applyAlignment="1">
      <alignment wrapText="1"/>
    </xf>
    <xf numFmtId="0" fontId="86" fillId="0" borderId="0" xfId="0" applyFont="1" applyAlignment="1">
      <alignment horizontal="left" wrapText="1"/>
    </xf>
    <xf numFmtId="0" fontId="86" fillId="0" borderId="0" xfId="0" applyFont="1" applyBorder="1" applyAlignment="1">
      <alignment horizontal="center" wrapText="1"/>
    </xf>
    <xf numFmtId="164" fontId="86" fillId="0" borderId="0" xfId="0" applyNumberFormat="1" applyFont="1" applyBorder="1" applyAlignment="1">
      <alignment horizontal="center"/>
    </xf>
    <xf numFmtId="0" fontId="86" fillId="0" borderId="0" xfId="0" applyFont="1" applyAlignment="1"/>
    <xf numFmtId="0" fontId="15" fillId="35" borderId="0" xfId="0" applyFont="1" applyFill="1" applyBorder="1"/>
    <xf numFmtId="164" fontId="124" fillId="34" borderId="0" xfId="0" applyNumberFormat="1" applyFont="1" applyFill="1" applyBorder="1" applyAlignment="1">
      <alignment horizontal="center" vertical="center" wrapText="1"/>
    </xf>
    <xf numFmtId="164" fontId="124" fillId="0" borderId="0" xfId="0" applyNumberFormat="1" applyFont="1" applyFill="1" applyBorder="1" applyAlignment="1">
      <alignment horizontal="center" wrapText="1"/>
    </xf>
    <xf numFmtId="164" fontId="124" fillId="34" borderId="0" xfId="0" applyNumberFormat="1" applyFont="1" applyFill="1" applyBorder="1" applyAlignment="1">
      <alignment horizontal="center" wrapText="1"/>
    </xf>
    <xf numFmtId="0" fontId="15" fillId="0" borderId="12" xfId="0" applyFont="1" applyFill="1" applyBorder="1" applyAlignment="1">
      <alignment horizontal="center" vertical="center"/>
    </xf>
    <xf numFmtId="164" fontId="116" fillId="34" borderId="0" xfId="0" applyNumberFormat="1" applyFont="1" applyFill="1" applyBorder="1" applyAlignment="1">
      <alignment horizontal="center" vertical="center" wrapText="1"/>
    </xf>
    <xf numFmtId="164" fontId="116" fillId="34" borderId="0" xfId="0" applyNumberFormat="1" applyFont="1" applyFill="1" applyBorder="1" applyAlignment="1">
      <alignment horizontal="center" vertical="center"/>
    </xf>
    <xf numFmtId="164" fontId="124" fillId="0" borderId="0" xfId="0" applyNumberFormat="1" applyFont="1" applyFill="1" applyBorder="1" applyAlignment="1">
      <alignment horizontal="center" vertical="center" wrapText="1"/>
    </xf>
    <xf numFmtId="0" fontId="124" fillId="0" borderId="0" xfId="0" applyFont="1" applyFill="1" applyBorder="1" applyAlignment="1">
      <alignment horizontal="center" wrapText="1"/>
    </xf>
    <xf numFmtId="164" fontId="23" fillId="0" borderId="0" xfId="0" applyNumberFormat="1" applyFont="1" applyFill="1" applyBorder="1" applyAlignment="1">
      <alignment horizontal="center"/>
    </xf>
    <xf numFmtId="0" fontId="124" fillId="34" borderId="0" xfId="0" applyFont="1" applyFill="1" applyBorder="1" applyAlignment="1">
      <alignment horizontal="center" wrapText="1"/>
    </xf>
    <xf numFmtId="0" fontId="124" fillId="0" borderId="0" xfId="0" applyFont="1" applyFill="1" applyBorder="1" applyAlignment="1">
      <alignment horizontal="center" vertical="center" wrapText="1"/>
    </xf>
    <xf numFmtId="0" fontId="13" fillId="0" borderId="12" xfId="0" applyFont="1" applyFill="1" applyBorder="1" applyAlignment="1">
      <alignment horizontal="left" vertical="center" wrapText="1"/>
    </xf>
    <xf numFmtId="49" fontId="15" fillId="0" borderId="0" xfId="0" applyNumberFormat="1" applyFont="1" applyFill="1"/>
    <xf numFmtId="0" fontId="21" fillId="0" borderId="0" xfId="0" applyFont="1" applyFill="1" applyBorder="1" applyAlignment="1"/>
    <xf numFmtId="0" fontId="34" fillId="0" borderId="0" xfId="0" applyFont="1" applyFill="1" applyBorder="1"/>
    <xf numFmtId="0" fontId="30" fillId="0" borderId="0" xfId="0" applyFont="1" applyFill="1" applyAlignment="1">
      <alignment horizontal="right"/>
    </xf>
    <xf numFmtId="0" fontId="30" fillId="0" borderId="2" xfId="0" quotePrefix="1" applyFont="1" applyFill="1" applyBorder="1" applyAlignment="1">
      <alignment horizontal="center" vertical="center" wrapText="1"/>
    </xf>
    <xf numFmtId="0" fontId="23" fillId="0" borderId="0" xfId="0" applyFont="1" applyFill="1" applyBorder="1" applyAlignment="1">
      <alignment horizontal="right"/>
    </xf>
    <xf numFmtId="0" fontId="24" fillId="0" borderId="0" xfId="0" applyFont="1" applyFill="1"/>
    <xf numFmtId="0" fontId="24" fillId="0" borderId="0" xfId="0" applyFont="1" applyFill="1" applyBorder="1"/>
    <xf numFmtId="0" fontId="27" fillId="0" borderId="0" xfId="0" applyFont="1" applyFill="1" applyAlignment="1">
      <alignment wrapText="1"/>
    </xf>
    <xf numFmtId="0" fontId="43" fillId="0" borderId="0" xfId="0" applyFont="1" applyFill="1" applyBorder="1" applyAlignment="1">
      <alignment vertical="center" wrapText="1"/>
    </xf>
    <xf numFmtId="0" fontId="25" fillId="0" borderId="0" xfId="0" applyFont="1" applyFill="1" applyBorder="1" applyAlignment="1">
      <alignment vertical="center"/>
    </xf>
    <xf numFmtId="0" fontId="14" fillId="0" borderId="0" xfId="0" applyFont="1" applyFill="1" applyBorder="1" applyAlignment="1">
      <alignment vertical="center" wrapText="1"/>
    </xf>
    <xf numFmtId="21" fontId="15" fillId="0" borderId="0" xfId="0" applyNumberFormat="1" applyFont="1" applyFill="1" applyBorder="1" applyAlignment="1">
      <alignment horizontal="center" vertical="center" wrapText="1"/>
    </xf>
    <xf numFmtId="0" fontId="19" fillId="0" borderId="12" xfId="0" applyFont="1" applyFill="1" applyBorder="1" applyAlignment="1">
      <alignment horizontal="left" vertical="center" wrapText="1"/>
    </xf>
    <xf numFmtId="2" fontId="13" fillId="0" borderId="12" xfId="0" applyNumberFormat="1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left" vertical="justify" wrapText="1"/>
    </xf>
    <xf numFmtId="2" fontId="13" fillId="0" borderId="0" xfId="0" applyNumberFormat="1" applyFont="1" applyFill="1" applyBorder="1" applyAlignment="1">
      <alignment horizontal="center" vertical="justify" wrapText="1"/>
    </xf>
    <xf numFmtId="0" fontId="15" fillId="0" borderId="0" xfId="0" applyFont="1" applyFill="1" applyAlignment="1">
      <alignment horizontal="center" vertical="justify"/>
    </xf>
    <xf numFmtId="0" fontId="14" fillId="0" borderId="0" xfId="0" applyFont="1" applyFill="1" applyAlignment="1">
      <alignment vertical="center"/>
    </xf>
    <xf numFmtId="164" fontId="116" fillId="0" borderId="0" xfId="0" applyNumberFormat="1" applyFont="1" applyFill="1" applyBorder="1" applyAlignment="1">
      <alignment horizontal="center" vertical="center" wrapText="1"/>
    </xf>
    <xf numFmtId="164" fontId="116" fillId="0" borderId="0" xfId="0" applyNumberFormat="1" applyFont="1" applyFill="1" applyBorder="1" applyAlignment="1">
      <alignment horizontal="center"/>
    </xf>
    <xf numFmtId="0" fontId="13" fillId="0" borderId="0" xfId="0" applyFont="1" applyFill="1" applyBorder="1" applyAlignment="1">
      <alignment horizontal="left" vertical="center" wrapText="1"/>
    </xf>
    <xf numFmtId="2" fontId="4" fillId="0" borderId="0" xfId="0" applyNumberFormat="1" applyFont="1"/>
    <xf numFmtId="2" fontId="15" fillId="34" borderId="12" xfId="0" applyNumberFormat="1" applyFont="1" applyFill="1" applyBorder="1" applyAlignment="1">
      <alignment horizontal="center" vertical="center"/>
    </xf>
    <xf numFmtId="1" fontId="15" fillId="0" borderId="0" xfId="0" applyNumberFormat="1" applyFont="1" applyBorder="1" applyAlignment="1">
      <alignment horizontal="center" vertical="center"/>
    </xf>
    <xf numFmtId="49" fontId="27" fillId="0" borderId="0" xfId="0" applyNumberFormat="1" applyFont="1" applyFill="1" applyBorder="1" applyAlignment="1">
      <alignment horizontal="left" vertical="center" wrapText="1"/>
    </xf>
    <xf numFmtId="0" fontId="7" fillId="0" borderId="0" xfId="0" applyFont="1" applyFill="1" applyBorder="1"/>
    <xf numFmtId="2" fontId="17" fillId="34" borderId="0" xfId="0" applyNumberFormat="1" applyFont="1" applyFill="1" applyBorder="1" applyAlignment="1">
      <alignment horizontal="center" vertical="center" wrapText="1"/>
    </xf>
    <xf numFmtId="2" fontId="17" fillId="0" borderId="0" xfId="0" applyNumberFormat="1" applyFont="1" applyFill="1" applyBorder="1" applyAlignment="1">
      <alignment horizontal="center" vertical="center" wrapText="1"/>
    </xf>
    <xf numFmtId="2" fontId="13" fillId="34" borderId="0" xfId="0" applyNumberFormat="1" applyFont="1" applyFill="1" applyBorder="1" applyAlignment="1">
      <alignment horizontal="center" vertical="justify" wrapText="1"/>
    </xf>
    <xf numFmtId="2" fontId="15" fillId="0" borderId="0" xfId="0" quotePrefix="1" applyNumberFormat="1" applyFont="1" applyFill="1" applyBorder="1" applyAlignment="1">
      <alignment horizontal="center" vertical="center" wrapText="1"/>
    </xf>
    <xf numFmtId="2" fontId="15" fillId="34" borderId="0" xfId="0" quotePrefix="1" applyNumberFormat="1" applyFont="1" applyFill="1" applyBorder="1" applyAlignment="1">
      <alignment horizontal="center" vertical="center" wrapText="1"/>
    </xf>
    <xf numFmtId="2" fontId="15" fillId="0" borderId="0" xfId="0" applyNumberFormat="1" applyFont="1" applyFill="1"/>
    <xf numFmtId="2" fontId="15" fillId="34" borderId="0" xfId="0" applyNumberFormat="1" applyFont="1" applyFill="1" applyAlignment="1">
      <alignment horizontal="right"/>
    </xf>
    <xf numFmtId="2" fontId="15" fillId="0" borderId="0" xfId="0" applyNumberFormat="1" applyFont="1" applyFill="1" applyAlignment="1">
      <alignment horizontal="right"/>
    </xf>
    <xf numFmtId="2" fontId="15" fillId="34" borderId="0" xfId="0" applyNumberFormat="1" applyFont="1" applyFill="1" applyBorder="1"/>
    <xf numFmtId="1" fontId="23" fillId="34" borderId="0" xfId="0" applyNumberFormat="1" applyFont="1" applyFill="1" applyBorder="1" applyAlignment="1">
      <alignment horizontal="center" vertical="center"/>
    </xf>
    <xf numFmtId="0" fontId="15" fillId="0" borderId="0" xfId="0" applyNumberFormat="1" applyFont="1" applyBorder="1" applyAlignment="1">
      <alignment horizontal="center" wrapText="1"/>
    </xf>
    <xf numFmtId="1" fontId="13" fillId="0" borderId="0" xfId="0" applyNumberFormat="1" applyFont="1" applyFill="1" applyBorder="1" applyAlignment="1">
      <alignment horizontal="left" wrapText="1"/>
    </xf>
    <xf numFmtId="1" fontId="13" fillId="0" borderId="0" xfId="0" applyNumberFormat="1" applyFont="1" applyFill="1" applyBorder="1" applyAlignment="1">
      <alignment horizontal="right" wrapText="1"/>
    </xf>
    <xf numFmtId="164" fontId="124" fillId="0" borderId="0" xfId="0" applyNumberFormat="1" applyFont="1" applyFill="1" applyBorder="1" applyAlignment="1">
      <alignment horizontal="center" vertical="center"/>
    </xf>
    <xf numFmtId="0" fontId="15" fillId="0" borderId="0" xfId="0" applyNumberFormat="1" applyFont="1" applyFill="1" applyBorder="1" applyAlignment="1">
      <alignment horizontal="center" wrapText="1"/>
    </xf>
    <xf numFmtId="0" fontId="15" fillId="0" borderId="0" xfId="0" applyNumberFormat="1" applyFont="1" applyFill="1" applyBorder="1" applyAlignment="1">
      <alignment horizontal="center"/>
    </xf>
    <xf numFmtId="169" fontId="15" fillId="0" borderId="0" xfId="0" applyNumberFormat="1" applyFont="1" applyFill="1" applyBorder="1" applyAlignment="1">
      <alignment horizontal="center"/>
    </xf>
    <xf numFmtId="0" fontId="23" fillId="0" borderId="0" xfId="0" applyFont="1" applyFill="1" applyBorder="1" applyAlignment="1">
      <alignment horizontal="center" vertical="center"/>
    </xf>
    <xf numFmtId="166" fontId="23" fillId="0" borderId="0" xfId="0" applyNumberFormat="1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left" vertical="center"/>
    </xf>
    <xf numFmtId="0" fontId="86" fillId="0" borderId="0" xfId="0" applyFont="1" applyBorder="1" applyAlignment="1">
      <alignment horizontal="left" vertical="center"/>
    </xf>
    <xf numFmtId="164" fontId="15" fillId="34" borderId="0" xfId="0" applyNumberFormat="1" applyFont="1" applyFill="1" applyAlignment="1">
      <alignment horizontal="center" vertical="center"/>
    </xf>
    <xf numFmtId="0" fontId="15" fillId="34" borderId="0" xfId="0" applyFont="1" applyFill="1" applyAlignment="1">
      <alignment horizontal="center" vertical="center"/>
    </xf>
    <xf numFmtId="0" fontId="87" fillId="0" borderId="0" xfId="0" applyFont="1" applyBorder="1" applyAlignment="1">
      <alignment horizontal="right" wrapText="1"/>
    </xf>
    <xf numFmtId="0" fontId="30" fillId="0" borderId="0" xfId="0" applyFont="1" applyBorder="1" applyAlignment="1">
      <alignment wrapText="1"/>
    </xf>
    <xf numFmtId="0" fontId="17" fillId="0" borderId="0" xfId="0" applyFont="1" applyFill="1" applyBorder="1" applyAlignment="1">
      <alignment horizontal="right" vertical="center" wrapText="1"/>
    </xf>
    <xf numFmtId="164" fontId="23" fillId="0" borderId="0" xfId="0" applyNumberFormat="1" applyFont="1" applyFill="1" applyBorder="1" applyAlignment="1">
      <alignment horizontal="left" vertical="center" wrapText="1"/>
    </xf>
    <xf numFmtId="0" fontId="23" fillId="0" borderId="0" xfId="0" applyFont="1" applyFill="1" applyBorder="1" applyAlignment="1">
      <alignment horizontal="left" vertical="center"/>
    </xf>
    <xf numFmtId="0" fontId="124" fillId="34" borderId="0" xfId="0" applyFont="1" applyFill="1" applyBorder="1" applyAlignment="1">
      <alignment horizontal="left" vertical="center" wrapText="1"/>
    </xf>
    <xf numFmtId="0" fontId="16" fillId="0" borderId="0" xfId="0" applyFont="1" applyFill="1" applyBorder="1" applyAlignment="1">
      <alignment horizontal="center" wrapText="1"/>
    </xf>
    <xf numFmtId="2" fontId="16" fillId="0" borderId="0" xfId="0" applyNumberFormat="1" applyFont="1" applyFill="1" applyBorder="1" applyAlignment="1">
      <alignment horizontal="center" wrapText="1"/>
    </xf>
    <xf numFmtId="1" fontId="16" fillId="0" borderId="0" xfId="0" applyNumberFormat="1" applyFont="1" applyFill="1" applyBorder="1" applyAlignment="1">
      <alignment horizontal="center" wrapText="1"/>
    </xf>
    <xf numFmtId="0" fontId="15" fillId="0" borderId="0" xfId="0" applyFont="1" applyFill="1" applyBorder="1" applyAlignment="1">
      <alignment horizontal="right" wrapText="1"/>
    </xf>
    <xf numFmtId="0" fontId="124" fillId="0" borderId="0" xfId="0" applyFont="1" applyFill="1" applyBorder="1" applyAlignment="1">
      <alignment horizontal="left" vertical="center" wrapText="1"/>
    </xf>
    <xf numFmtId="0" fontId="15" fillId="0" borderId="12" xfId="0" applyFont="1" applyFill="1" applyBorder="1" applyAlignment="1">
      <alignment vertical="center"/>
    </xf>
    <xf numFmtId="0" fontId="23" fillId="0" borderId="5" xfId="0" applyFont="1" applyFill="1" applyBorder="1" applyAlignment="1">
      <alignment horizontal="center" vertical="center" wrapText="1"/>
    </xf>
    <xf numFmtId="164" fontId="15" fillId="0" borderId="0" xfId="0" applyNumberFormat="1" applyFont="1" applyFill="1" applyBorder="1" applyAlignment="1">
      <alignment horizontal="left" wrapText="1"/>
    </xf>
    <xf numFmtId="164" fontId="15" fillId="0" borderId="0" xfId="0" applyNumberFormat="1" applyFont="1" applyFill="1" applyAlignment="1">
      <alignment horizontal="center" vertical="center"/>
    </xf>
    <xf numFmtId="0" fontId="15" fillId="0" borderId="0" xfId="0" applyFont="1" applyFill="1" applyBorder="1" applyAlignment="1">
      <alignment horizontal="justify" wrapText="1"/>
    </xf>
    <xf numFmtId="2" fontId="13" fillId="0" borderId="0" xfId="0" applyNumberFormat="1" applyFont="1" applyFill="1" applyBorder="1" applyAlignment="1">
      <alignment horizontal="center"/>
    </xf>
    <xf numFmtId="46" fontId="15" fillId="0" borderId="0" xfId="0" applyNumberFormat="1" applyFont="1" applyFill="1" applyBorder="1" applyAlignment="1">
      <alignment horizontal="center" vertical="center"/>
    </xf>
    <xf numFmtId="37" fontId="14" fillId="0" borderId="0" xfId="0" applyNumberFormat="1" applyFont="1" applyFill="1" applyBorder="1" applyAlignment="1">
      <alignment vertical="center" wrapText="1"/>
    </xf>
    <xf numFmtId="173" fontId="116" fillId="34" borderId="0" xfId="0" applyNumberFormat="1" applyFont="1" applyFill="1" applyBorder="1" applyAlignment="1">
      <alignment horizontal="center" wrapText="1"/>
    </xf>
    <xf numFmtId="173" fontId="116" fillId="0" borderId="0" xfId="0" applyNumberFormat="1" applyFont="1" applyFill="1" applyBorder="1" applyAlignment="1">
      <alignment horizontal="center" wrapText="1"/>
    </xf>
    <xf numFmtId="164" fontId="15" fillId="0" borderId="0" xfId="0" applyNumberFormat="1" applyFont="1" applyFill="1" applyAlignment="1">
      <alignment horizontal="center"/>
    </xf>
    <xf numFmtId="164" fontId="124" fillId="34" borderId="0" xfId="0" applyNumberFormat="1" applyFont="1" applyFill="1" applyBorder="1" applyAlignment="1">
      <alignment horizontal="center" vertical="center"/>
    </xf>
    <xf numFmtId="0" fontId="21" fillId="0" borderId="0" xfId="0" applyFont="1" applyFill="1" applyAlignment="1">
      <alignment horizontal="right"/>
    </xf>
    <xf numFmtId="0" fontId="28" fillId="0" borderId="6" xfId="0" applyFont="1" applyFill="1" applyBorder="1" applyAlignment="1">
      <alignment horizontal="center" vertical="center"/>
    </xf>
    <xf numFmtId="0" fontId="28" fillId="0" borderId="2" xfId="0" applyFont="1" applyFill="1" applyBorder="1" applyAlignment="1">
      <alignment horizontal="center" vertical="center"/>
    </xf>
    <xf numFmtId="0" fontId="28" fillId="0" borderId="0" xfId="0" applyFont="1" applyFill="1" applyAlignment="1">
      <alignment horizontal="center" vertical="center"/>
    </xf>
    <xf numFmtId="0" fontId="23" fillId="0" borderId="6" xfId="0" applyFont="1" applyFill="1" applyBorder="1" applyAlignment="1">
      <alignment horizontal="center" vertical="center"/>
    </xf>
    <xf numFmtId="0" fontId="23" fillId="0" borderId="2" xfId="0" applyFont="1" applyFill="1" applyBorder="1" applyAlignment="1">
      <alignment horizontal="center" vertical="center"/>
    </xf>
    <xf numFmtId="164" fontId="124" fillId="0" borderId="0" xfId="0" applyNumberFormat="1" applyFont="1" applyFill="1" applyBorder="1" applyAlignment="1">
      <alignment horizontal="center" vertical="top" wrapText="1"/>
    </xf>
    <xf numFmtId="0" fontId="36" fillId="0" borderId="0" xfId="0" applyFont="1" applyFill="1" applyBorder="1" applyAlignment="1">
      <alignment wrapText="1"/>
    </xf>
    <xf numFmtId="0" fontId="32" fillId="0" borderId="0" xfId="0" applyFont="1" applyFill="1"/>
    <xf numFmtId="0" fontId="31" fillId="0" borderId="0" xfId="0" applyFont="1" applyFill="1" applyBorder="1" applyAlignment="1">
      <alignment wrapText="1"/>
    </xf>
    <xf numFmtId="0" fontId="31" fillId="0" borderId="0" xfId="0" applyFont="1" applyFill="1" applyBorder="1" applyAlignment="1">
      <alignment horizontal="center" wrapText="1"/>
    </xf>
    <xf numFmtId="0" fontId="31" fillId="0" borderId="0" xfId="0" applyFont="1" applyFill="1" applyAlignment="1">
      <alignment wrapText="1"/>
    </xf>
    <xf numFmtId="0" fontId="13" fillId="0" borderId="0" xfId="0" applyFont="1" applyFill="1"/>
    <xf numFmtId="0" fontId="13" fillId="0" borderId="1" xfId="0" applyFont="1" applyFill="1" applyBorder="1" applyAlignment="1">
      <alignment vertical="top" wrapText="1"/>
    </xf>
    <xf numFmtId="0" fontId="13" fillId="0" borderId="1" xfId="0" applyFont="1" applyFill="1" applyBorder="1" applyAlignment="1">
      <alignment horizontal="center" vertical="top" wrapText="1"/>
    </xf>
    <xf numFmtId="0" fontId="29" fillId="0" borderId="6" xfId="0" applyFont="1" applyFill="1" applyBorder="1" applyAlignment="1">
      <alignment horizontal="center" vertical="center" wrapText="1"/>
    </xf>
    <xf numFmtId="0" fontId="16" fillId="0" borderId="2" xfId="0" applyFont="1" applyFill="1" applyBorder="1" applyAlignment="1">
      <alignment horizontal="center" vertical="center" wrapText="1"/>
    </xf>
    <xf numFmtId="0" fontId="29" fillId="0" borderId="0" xfId="0" applyFont="1" applyFill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0" fontId="75" fillId="0" borderId="2" xfId="0" applyFont="1" applyFill="1" applyBorder="1" applyAlignment="1">
      <alignment horizontal="center" vertical="center" wrapText="1"/>
    </xf>
    <xf numFmtId="0" fontId="88" fillId="0" borderId="2" xfId="0" applyFont="1" applyFill="1" applyBorder="1" applyAlignment="1">
      <alignment horizontal="center" vertical="center" wrapText="1"/>
    </xf>
    <xf numFmtId="0" fontId="20" fillId="0" borderId="5" xfId="0" applyFont="1" applyFill="1" applyBorder="1" applyAlignment="1">
      <alignment horizontal="center" vertical="center" wrapText="1"/>
    </xf>
    <xf numFmtId="0" fontId="17" fillId="0" borderId="0" xfId="0" applyFont="1" applyFill="1" applyAlignment="1">
      <alignment horizontal="center" vertical="center"/>
    </xf>
    <xf numFmtId="164" fontId="124" fillId="0" borderId="0" xfId="0" applyNumberFormat="1" applyFont="1" applyFill="1" applyAlignment="1">
      <alignment horizontal="right"/>
    </xf>
    <xf numFmtId="164" fontId="124" fillId="0" borderId="0" xfId="0" applyNumberFormat="1" applyFont="1" applyFill="1" applyBorder="1" applyAlignment="1">
      <alignment horizontal="right"/>
    </xf>
    <xf numFmtId="0" fontId="15" fillId="0" borderId="0" xfId="0" applyFont="1" applyFill="1" applyBorder="1" applyAlignment="1">
      <alignment vertical="top" wrapText="1"/>
    </xf>
    <xf numFmtId="0" fontId="21" fillId="0" borderId="0" xfId="0" applyFont="1" applyFill="1" applyAlignment="1"/>
    <xf numFmtId="0" fontId="23" fillId="0" borderId="2" xfId="0" applyFont="1" applyFill="1" applyBorder="1" applyAlignment="1">
      <alignment horizontal="center"/>
    </xf>
    <xf numFmtId="0" fontId="8" fillId="0" borderId="0" xfId="0" applyFont="1" applyFill="1"/>
    <xf numFmtId="164" fontId="7" fillId="0" borderId="0" xfId="0" applyNumberFormat="1" applyFont="1" applyFill="1"/>
    <xf numFmtId="0" fontId="36" fillId="0" borderId="0" xfId="0" applyFont="1" applyFill="1" applyBorder="1" applyAlignment="1"/>
    <xf numFmtId="0" fontId="36" fillId="0" borderId="0" xfId="0" applyFont="1" applyFill="1" applyBorder="1" applyAlignment="1">
      <alignment horizontal="left"/>
    </xf>
    <xf numFmtId="164" fontId="14" fillId="0" borderId="0" xfId="0" applyNumberFormat="1" applyFont="1" applyFill="1" applyBorder="1" applyAlignment="1"/>
    <xf numFmtId="164" fontId="125" fillId="0" borderId="0" xfId="0" applyNumberFormat="1" applyFont="1" applyFill="1" applyBorder="1" applyAlignment="1">
      <alignment horizontal="center" wrapText="1"/>
    </xf>
    <xf numFmtId="37" fontId="35" fillId="0" borderId="0" xfId="0" applyNumberFormat="1" applyFont="1" applyFill="1" applyBorder="1" applyAlignment="1">
      <alignment vertical="center" wrapText="1"/>
    </xf>
    <xf numFmtId="164" fontId="7" fillId="0" borderId="0" xfId="0" applyNumberFormat="1" applyFont="1" applyFill="1" applyBorder="1" applyAlignment="1">
      <alignment horizontal="center" vertical="center"/>
    </xf>
    <xf numFmtId="164" fontId="7" fillId="0" borderId="0" xfId="0" applyNumberFormat="1" applyFont="1" applyFill="1" applyBorder="1"/>
    <xf numFmtId="2" fontId="23" fillId="0" borderId="0" xfId="0" applyNumberFormat="1" applyFont="1" applyFill="1" applyBorder="1"/>
    <xf numFmtId="2" fontId="40" fillId="0" borderId="0" xfId="0" applyNumberFormat="1" applyFont="1" applyFill="1" applyBorder="1" applyAlignment="1">
      <alignment horizontal="center" vertical="center"/>
    </xf>
    <xf numFmtId="2" fontId="40" fillId="34" borderId="0" xfId="0" applyNumberFormat="1" applyFont="1" applyFill="1" applyBorder="1" applyAlignment="1">
      <alignment horizontal="center" vertical="center"/>
    </xf>
    <xf numFmtId="166" fontId="23" fillId="34" borderId="0" xfId="0" applyNumberFormat="1" applyFont="1" applyFill="1" applyBorder="1" applyAlignment="1">
      <alignment horizontal="center" vertical="center"/>
    </xf>
    <xf numFmtId="0" fontId="23" fillId="34" borderId="0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right" vertical="center"/>
    </xf>
    <xf numFmtId="3" fontId="8" fillId="0" borderId="0" xfId="137" applyNumberFormat="1" applyFont="1" applyFill="1" applyBorder="1" applyAlignment="1" applyProtection="1">
      <alignment horizontal="right"/>
    </xf>
    <xf numFmtId="3" fontId="8" fillId="0" borderId="0" xfId="137" applyNumberFormat="1" applyFont="1" applyFill="1" applyBorder="1" applyProtection="1"/>
    <xf numFmtId="3" fontId="8" fillId="0" borderId="0" xfId="137" applyNumberFormat="1" applyFont="1" applyFill="1" applyBorder="1" applyProtection="1">
      <protection locked="0"/>
    </xf>
    <xf numFmtId="176" fontId="8" fillId="0" borderId="0" xfId="137" applyNumberFormat="1" applyFont="1" applyFill="1" applyBorder="1" applyAlignment="1" applyProtection="1">
      <alignment horizontal="right"/>
    </xf>
    <xf numFmtId="0" fontId="15" fillId="34" borderId="12" xfId="0" applyFont="1" applyFill="1" applyBorder="1" applyAlignment="1">
      <alignment horizontal="right"/>
    </xf>
    <xf numFmtId="0" fontId="15" fillId="0" borderId="0" xfId="0" applyNumberFormat="1" applyFont="1" applyFill="1" applyBorder="1" applyAlignment="1">
      <alignment horizontal="left"/>
    </xf>
    <xf numFmtId="0" fontId="15" fillId="0" borderId="0" xfId="0" applyNumberFormat="1" applyFont="1" applyFill="1" applyBorder="1" applyAlignment="1">
      <alignment horizontal="right"/>
    </xf>
    <xf numFmtId="2" fontId="15" fillId="0" borderId="0" xfId="196" applyNumberFormat="1" applyFont="1" applyFill="1" applyBorder="1" applyAlignment="1">
      <alignment horizontal="center"/>
    </xf>
    <xf numFmtId="0" fontId="15" fillId="0" borderId="0" xfId="0" applyNumberFormat="1" applyFont="1" applyFill="1" applyBorder="1" applyAlignment="1">
      <alignment horizontal="right" vertical="center"/>
    </xf>
    <xf numFmtId="0" fontId="15" fillId="0" borderId="0" xfId="0" applyNumberFormat="1" applyFont="1" applyFill="1" applyBorder="1" applyAlignment="1">
      <alignment horizontal="left" vertical="center"/>
    </xf>
    <xf numFmtId="0" fontId="23" fillId="34" borderId="0" xfId="0" applyFont="1" applyFill="1" applyBorder="1" applyAlignment="1">
      <alignment horizontal="left" vertical="center"/>
    </xf>
    <xf numFmtId="2" fontId="116" fillId="0" borderId="0" xfId="0" applyNumberFormat="1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vertical="center"/>
    </xf>
    <xf numFmtId="0" fontId="17" fillId="34" borderId="0" xfId="0" applyFont="1" applyFill="1" applyBorder="1" applyAlignment="1">
      <alignment vertical="center"/>
    </xf>
    <xf numFmtId="0" fontId="17" fillId="34" borderId="0" xfId="0" applyFont="1" applyFill="1" applyBorder="1" applyAlignment="1">
      <alignment horizontal="right" vertical="center"/>
    </xf>
    <xf numFmtId="2" fontId="41" fillId="34" borderId="0" xfId="0" applyNumberFormat="1" applyFont="1" applyFill="1" applyBorder="1" applyAlignment="1">
      <alignment horizontal="center" vertical="center"/>
    </xf>
    <xf numFmtId="0" fontId="125" fillId="34" borderId="0" xfId="0" applyFont="1" applyFill="1" applyBorder="1" applyAlignment="1">
      <alignment horizontal="left" vertical="center" wrapText="1"/>
    </xf>
    <xf numFmtId="2" fontId="126" fillId="34" borderId="0" xfId="0" applyNumberFormat="1" applyFont="1" applyFill="1" applyBorder="1" applyAlignment="1">
      <alignment horizontal="center" vertical="center" wrapText="1"/>
    </xf>
    <xf numFmtId="2" fontId="125" fillId="0" borderId="0" xfId="0" applyNumberFormat="1" applyFont="1" applyFill="1" applyBorder="1" applyAlignment="1">
      <alignment horizontal="center" vertical="center" wrapText="1"/>
    </xf>
    <xf numFmtId="164" fontId="125" fillId="0" borderId="0" xfId="0" applyNumberFormat="1" applyFont="1" applyFill="1" applyBorder="1" applyAlignment="1">
      <alignment horizontal="center" vertical="center" wrapText="1"/>
    </xf>
    <xf numFmtId="0" fontId="14" fillId="0" borderId="0" xfId="0" applyFont="1" applyFill="1" applyBorder="1" applyAlignment="1">
      <alignment vertical="center"/>
    </xf>
    <xf numFmtId="0" fontId="17" fillId="34" borderId="0" xfId="0" applyFont="1" applyFill="1" applyBorder="1" applyAlignment="1">
      <alignment horizontal="right" vertical="center" wrapText="1"/>
    </xf>
    <xf numFmtId="164" fontId="125" fillId="34" borderId="0" xfId="0" applyNumberFormat="1" applyFont="1" applyFill="1" applyBorder="1" applyAlignment="1">
      <alignment horizontal="center" vertical="center" wrapText="1"/>
    </xf>
    <xf numFmtId="164" fontId="125" fillId="34" borderId="0" xfId="0" applyNumberFormat="1" applyFont="1" applyFill="1" applyBorder="1" applyAlignment="1">
      <alignment horizontal="center" wrapText="1"/>
    </xf>
    <xf numFmtId="0" fontId="43" fillId="34" borderId="0" xfId="0" applyFont="1" applyFill="1" applyBorder="1" applyAlignment="1">
      <alignment horizontal="left" vertical="center" wrapText="1"/>
    </xf>
    <xf numFmtId="0" fontId="13" fillId="34" borderId="0" xfId="0" applyFont="1" applyFill="1" applyBorder="1" applyAlignment="1">
      <alignment vertical="center"/>
    </xf>
    <xf numFmtId="0" fontId="13" fillId="34" borderId="0" xfId="0" applyFont="1" applyFill="1" applyBorder="1" applyAlignment="1">
      <alignment horizontal="right" vertical="center"/>
    </xf>
    <xf numFmtId="2" fontId="124" fillId="0" borderId="0" xfId="0" applyNumberFormat="1" applyFont="1" applyFill="1" applyBorder="1" applyAlignment="1">
      <alignment horizontal="center" vertical="center" wrapText="1"/>
    </xf>
    <xf numFmtId="0" fontId="43" fillId="0" borderId="0" xfId="0" applyFont="1" applyFill="1" applyBorder="1" applyAlignment="1">
      <alignment horizontal="left" vertical="center"/>
    </xf>
    <xf numFmtId="2" fontId="40" fillId="34" borderId="0" xfId="0" applyNumberFormat="1" applyFont="1" applyFill="1" applyAlignment="1">
      <alignment horizontal="center" vertical="center"/>
    </xf>
    <xf numFmtId="2" fontId="41" fillId="0" borderId="0" xfId="0" applyNumberFormat="1" applyFont="1" applyFill="1" applyBorder="1" applyAlignment="1">
      <alignment horizontal="center" vertical="center"/>
    </xf>
    <xf numFmtId="0" fontId="40" fillId="34" borderId="0" xfId="0" applyFont="1" applyFill="1" applyBorder="1" applyAlignment="1">
      <alignment horizontal="left" vertical="center" wrapText="1"/>
    </xf>
    <xf numFmtId="0" fontId="43" fillId="34" borderId="0" xfId="0" applyFont="1" applyFill="1" applyBorder="1" applyAlignment="1">
      <alignment vertical="center"/>
    </xf>
    <xf numFmtId="0" fontId="43" fillId="34" borderId="0" xfId="0" applyFont="1" applyFill="1" applyBorder="1" applyAlignment="1">
      <alignment horizontal="left" vertical="center"/>
    </xf>
    <xf numFmtId="0" fontId="69" fillId="34" borderId="0" xfId="0" applyFont="1" applyFill="1" applyBorder="1" applyAlignment="1">
      <alignment horizontal="left" vertical="center"/>
    </xf>
    <xf numFmtId="0" fontId="69" fillId="0" borderId="0" xfId="0" applyFont="1" applyFill="1" applyBorder="1" applyAlignment="1">
      <alignment horizontal="left" vertical="center"/>
    </xf>
    <xf numFmtId="14" fontId="15" fillId="0" borderId="0" xfId="0" applyNumberFormat="1" applyFont="1" applyFill="1" applyBorder="1" applyAlignment="1">
      <alignment horizontal="center" vertical="center"/>
    </xf>
    <xf numFmtId="0" fontId="8" fillId="0" borderId="0" xfId="0" applyFont="1" applyBorder="1" applyAlignment="1">
      <alignment vertical="center"/>
    </xf>
    <xf numFmtId="0" fontId="30" fillId="0" borderId="0" xfId="0" applyFont="1" applyFill="1" applyBorder="1" applyAlignment="1">
      <alignment horizontal="left"/>
    </xf>
    <xf numFmtId="0" fontId="30" fillId="34" borderId="0" xfId="0" applyFont="1" applyFill="1" applyBorder="1" applyAlignment="1">
      <alignment horizontal="left"/>
    </xf>
    <xf numFmtId="0" fontId="17" fillId="0" borderId="0" xfId="0" applyFont="1" applyBorder="1" applyAlignment="1">
      <alignment vertical="center"/>
    </xf>
    <xf numFmtId="0" fontId="19" fillId="0" borderId="0" xfId="0" applyFont="1" applyBorder="1" applyAlignment="1">
      <alignment vertical="center"/>
    </xf>
    <xf numFmtId="0" fontId="17" fillId="0" borderId="0" xfId="0" applyFont="1" applyFill="1" applyBorder="1" applyAlignment="1">
      <alignment horizontal="left" vertical="center"/>
    </xf>
    <xf numFmtId="164" fontId="125" fillId="0" borderId="0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right" vertical="center"/>
    </xf>
    <xf numFmtId="0" fontId="15" fillId="0" borderId="0" xfId="196" applyFont="1" applyFill="1" applyBorder="1" applyAlignment="1">
      <alignment horizontal="left"/>
    </xf>
    <xf numFmtId="0" fontId="36" fillId="0" borderId="0" xfId="0" applyFont="1" applyBorder="1" applyAlignment="1">
      <alignment vertical="top" wrapText="1"/>
    </xf>
    <xf numFmtId="0" fontId="127" fillId="0" borderId="0" xfId="0" applyFont="1" applyFill="1" applyBorder="1" applyAlignment="1">
      <alignment vertical="center"/>
    </xf>
    <xf numFmtId="0" fontId="127" fillId="0" borderId="0" xfId="0" applyFont="1" applyFill="1" applyBorder="1" applyAlignment="1">
      <alignment vertical="center" wrapText="1"/>
    </xf>
    <xf numFmtId="0" fontId="127" fillId="0" borderId="0" xfId="0" applyFont="1" applyFill="1" applyAlignment="1">
      <alignment vertical="center"/>
    </xf>
    <xf numFmtId="0" fontId="127" fillId="0" borderId="0" xfId="0" applyFont="1" applyFill="1" applyBorder="1" applyAlignment="1">
      <alignment horizontal="center" vertical="center"/>
    </xf>
    <xf numFmtId="0" fontId="127" fillId="0" borderId="1" xfId="0" applyFont="1" applyFill="1" applyBorder="1" applyAlignment="1">
      <alignment horizontal="center" vertical="center"/>
    </xf>
    <xf numFmtId="0" fontId="127" fillId="0" borderId="1" xfId="0" applyFont="1" applyFill="1" applyBorder="1" applyAlignment="1">
      <alignment vertical="center"/>
    </xf>
    <xf numFmtId="0" fontId="127" fillId="0" borderId="1" xfId="0" applyFont="1" applyFill="1" applyBorder="1" applyAlignment="1">
      <alignment horizontal="right" vertical="center"/>
    </xf>
    <xf numFmtId="0" fontId="127" fillId="0" borderId="0" xfId="0" applyFont="1" applyFill="1" applyBorder="1" applyAlignment="1">
      <alignment horizontal="right" vertical="center"/>
    </xf>
    <xf numFmtId="0" fontId="128" fillId="0" borderId="0" xfId="0" applyFont="1" applyFill="1" applyAlignment="1">
      <alignment vertical="center"/>
    </xf>
    <xf numFmtId="0" fontId="129" fillId="0" borderId="0" xfId="0" applyFont="1" applyFill="1" applyAlignment="1">
      <alignment horizontal="center" vertical="center"/>
    </xf>
    <xf numFmtId="0" fontId="130" fillId="0" borderId="0" xfId="0" applyFont="1" applyFill="1" applyAlignment="1">
      <alignment vertical="center" wrapText="1"/>
    </xf>
    <xf numFmtId="0" fontId="131" fillId="0" borderId="2" xfId="0" applyFont="1" applyFill="1" applyBorder="1" applyAlignment="1">
      <alignment horizontal="center" vertical="center" wrapText="1"/>
    </xf>
    <xf numFmtId="0" fontId="132" fillId="0" borderId="2" xfId="0" applyFont="1" applyFill="1" applyBorder="1" applyAlignment="1">
      <alignment horizontal="center" vertical="center" wrapText="1"/>
    </xf>
    <xf numFmtId="0" fontId="133" fillId="0" borderId="0" xfId="0" applyFont="1" applyFill="1" applyAlignment="1">
      <alignment vertical="center"/>
    </xf>
    <xf numFmtId="1" fontId="134" fillId="0" borderId="2" xfId="0" applyNumberFormat="1" applyFont="1" applyFill="1" applyBorder="1" applyAlignment="1">
      <alignment horizontal="center" vertical="center"/>
    </xf>
    <xf numFmtId="1" fontId="135" fillId="0" borderId="2" xfId="0" applyNumberFormat="1" applyFont="1" applyFill="1" applyBorder="1" applyAlignment="1">
      <alignment horizontal="center" vertical="center" wrapText="1"/>
    </xf>
    <xf numFmtId="0" fontId="136" fillId="0" borderId="0" xfId="0" applyFont="1" applyFill="1" applyAlignment="1">
      <alignment vertical="center"/>
    </xf>
    <xf numFmtId="0" fontId="137" fillId="0" borderId="0" xfId="0" applyFont="1" applyFill="1"/>
    <xf numFmtId="0" fontId="124" fillId="0" borderId="9" xfId="0" applyFont="1" applyFill="1" applyBorder="1" applyAlignment="1">
      <alignment horizontal="left" wrapText="1"/>
    </xf>
    <xf numFmtId="0" fontId="116" fillId="0" borderId="0" xfId="0" applyFont="1" applyFill="1" applyBorder="1"/>
    <xf numFmtId="0" fontId="15" fillId="34" borderId="21" xfId="0" applyFont="1" applyFill="1" applyBorder="1" applyAlignment="1">
      <alignment horizontal="left" wrapText="1"/>
    </xf>
    <xf numFmtId="0" fontId="124" fillId="0" borderId="21" xfId="0" applyFont="1" applyFill="1" applyBorder="1" applyAlignment="1">
      <alignment horizontal="left" wrapText="1"/>
    </xf>
    <xf numFmtId="0" fontId="124" fillId="34" borderId="21" xfId="0" applyFont="1" applyFill="1" applyBorder="1" applyAlignment="1">
      <alignment horizontal="left" wrapText="1"/>
    </xf>
    <xf numFmtId="0" fontId="116" fillId="0" borderId="0" xfId="0" applyFont="1" applyFill="1"/>
    <xf numFmtId="0" fontId="126" fillId="0" borderId="7" xfId="0" applyFont="1" applyFill="1" applyBorder="1"/>
    <xf numFmtId="0" fontId="126" fillId="0" borderId="0" xfId="0" applyFont="1" applyFill="1"/>
    <xf numFmtId="0" fontId="138" fillId="0" borderId="0" xfId="0" applyFont="1" applyFill="1"/>
    <xf numFmtId="0" fontId="13" fillId="0" borderId="0" xfId="0" applyFont="1" applyFill="1" applyAlignment="1">
      <alignment vertical="center"/>
    </xf>
    <xf numFmtId="168" fontId="13" fillId="0" borderId="0" xfId="0" applyNumberFormat="1" applyFont="1" applyFill="1" applyBorder="1" applyAlignment="1">
      <alignment horizontal="center" vertical="center" wrapText="1"/>
    </xf>
    <xf numFmtId="0" fontId="13" fillId="0" borderId="0" xfId="0" applyFont="1" applyFill="1" applyAlignment="1">
      <alignment horizontal="right" vertical="center"/>
    </xf>
    <xf numFmtId="2" fontId="50" fillId="0" borderId="0" xfId="0" applyNumberFormat="1" applyFont="1" applyFill="1" applyBorder="1" applyAlignment="1">
      <alignment horizontal="center" vertical="center"/>
    </xf>
    <xf numFmtId="1" fontId="17" fillId="34" borderId="0" xfId="0" applyNumberFormat="1" applyFont="1" applyFill="1" applyBorder="1" applyAlignment="1">
      <alignment horizontal="center" wrapText="1"/>
    </xf>
    <xf numFmtId="0" fontId="13" fillId="34" borderId="0" xfId="0" applyFont="1" applyFill="1" applyBorder="1" applyAlignment="1">
      <alignment horizontal="left" vertical="center"/>
    </xf>
    <xf numFmtId="0" fontId="15" fillId="34" borderId="0" xfId="136" applyNumberFormat="1" applyFont="1" applyFill="1" applyBorder="1" applyAlignment="1">
      <alignment horizontal="center" vertical="center"/>
    </xf>
    <xf numFmtId="2" fontId="50" fillId="34" borderId="0" xfId="0" applyNumberFormat="1" applyFont="1" applyFill="1" applyBorder="1" applyAlignment="1">
      <alignment horizontal="center" vertical="center"/>
    </xf>
    <xf numFmtId="164" fontId="15" fillId="0" borderId="0" xfId="0" applyNumberFormat="1" applyFont="1" applyAlignment="1"/>
    <xf numFmtId="164" fontId="15" fillId="0" borderId="0" xfId="0" applyNumberFormat="1" applyFont="1" applyFill="1" applyBorder="1" applyAlignment="1"/>
    <xf numFmtId="0" fontId="116" fillId="0" borderId="0" xfId="0" applyFont="1" applyFill="1" applyBorder="1" applyAlignment="1">
      <alignment horizontal="center"/>
    </xf>
    <xf numFmtId="0" fontId="15" fillId="34" borderId="0" xfId="0" applyFont="1" applyFill="1" applyBorder="1" applyAlignment="1"/>
    <xf numFmtId="0" fontId="126" fillId="0" borderId="0" xfId="0" applyFont="1" applyFill="1" applyBorder="1" applyAlignment="1">
      <alignment horizontal="center"/>
    </xf>
    <xf numFmtId="164" fontId="126" fillId="0" borderId="0" xfId="0" applyNumberFormat="1" applyFont="1" applyFill="1" applyBorder="1" applyAlignment="1">
      <alignment horizontal="center"/>
    </xf>
    <xf numFmtId="0" fontId="43" fillId="0" borderId="0" xfId="0" applyFont="1" applyFill="1" applyBorder="1" applyAlignment="1">
      <alignment vertical="center"/>
    </xf>
    <xf numFmtId="0" fontId="116" fillId="0" borderId="0" xfId="0" applyFont="1" applyFill="1" applyAlignment="1">
      <alignment horizontal="right" vertical="center" readingOrder="1"/>
    </xf>
    <xf numFmtId="164" fontId="116" fillId="0" borderId="0" xfId="0" applyNumberFormat="1" applyFont="1" applyFill="1" applyAlignment="1">
      <alignment horizontal="right" vertical="center" readingOrder="1"/>
    </xf>
    <xf numFmtId="0" fontId="126" fillId="0" borderId="1" xfId="0" applyFont="1" applyFill="1" applyBorder="1" applyAlignment="1">
      <alignment horizontal="right" readingOrder="1"/>
    </xf>
    <xf numFmtId="164" fontId="126" fillId="0" borderId="1" xfId="0" applyNumberFormat="1" applyFont="1" applyFill="1" applyBorder="1" applyAlignment="1">
      <alignment horizontal="right" readingOrder="1"/>
    </xf>
    <xf numFmtId="0" fontId="126" fillId="0" borderId="10" xfId="0" applyFont="1" applyFill="1" applyBorder="1" applyAlignment="1">
      <alignment horizontal="right" readingOrder="1"/>
    </xf>
    <xf numFmtId="0" fontId="15" fillId="0" borderId="0" xfId="0" applyNumberFormat="1" applyFont="1" applyFill="1" applyBorder="1" applyAlignment="1">
      <alignment horizontal="center" vertical="center"/>
    </xf>
    <xf numFmtId="0" fontId="15" fillId="0" borderId="0" xfId="0" applyNumberFormat="1" applyFont="1" applyFill="1" applyBorder="1" applyAlignment="1">
      <alignment horizontal="center" vertical="center" wrapText="1"/>
    </xf>
    <xf numFmtId="167" fontId="15" fillId="34" borderId="12" xfId="0" applyNumberFormat="1" applyFont="1" applyFill="1" applyBorder="1" applyAlignment="1">
      <alignment horizontal="center" vertical="center"/>
    </xf>
    <xf numFmtId="49" fontId="15" fillId="0" borderId="0" xfId="0" applyNumberFormat="1" applyFont="1" applyBorder="1" applyAlignment="1">
      <alignment horizontal="center" vertical="center" wrapText="1"/>
    </xf>
    <xf numFmtId="49" fontId="15" fillId="34" borderId="0" xfId="0" applyNumberFormat="1" applyFont="1" applyFill="1" applyBorder="1" applyAlignment="1">
      <alignment horizontal="center" vertical="center" wrapText="1"/>
    </xf>
    <xf numFmtId="49" fontId="15" fillId="0" borderId="0" xfId="0" applyNumberFormat="1" applyFont="1" applyBorder="1" applyAlignment="1">
      <alignment horizontal="center" vertical="center"/>
    </xf>
    <xf numFmtId="49" fontId="15" fillId="34" borderId="0" xfId="0" applyNumberFormat="1" applyFont="1" applyFill="1" applyBorder="1" applyAlignment="1">
      <alignment horizontal="center" vertical="center"/>
    </xf>
    <xf numFmtId="0" fontId="15" fillId="0" borderId="0" xfId="0" applyNumberFormat="1" applyFont="1" applyBorder="1" applyAlignment="1">
      <alignment horizontal="center" vertical="center"/>
    </xf>
    <xf numFmtId="172" fontId="15" fillId="34" borderId="0" xfId="0" applyNumberFormat="1" applyFont="1" applyFill="1" applyBorder="1" applyAlignment="1">
      <alignment horizontal="center" vertical="center"/>
    </xf>
    <xf numFmtId="0" fontId="15" fillId="34" borderId="0" xfId="0" applyNumberFormat="1" applyFont="1" applyFill="1" applyBorder="1" applyAlignment="1">
      <alignment horizontal="center" vertical="center"/>
    </xf>
    <xf numFmtId="171" fontId="15" fillId="34" borderId="0" xfId="0" applyNumberFormat="1" applyFont="1" applyFill="1" applyBorder="1" applyAlignment="1">
      <alignment horizontal="center" vertical="center"/>
    </xf>
    <xf numFmtId="172" fontId="15" fillId="0" borderId="0" xfId="0" applyNumberFormat="1" applyFont="1" applyBorder="1" applyAlignment="1">
      <alignment horizontal="right" vertical="center"/>
    </xf>
    <xf numFmtId="172" fontId="15" fillId="0" borderId="0" xfId="0" applyNumberFormat="1" applyFont="1" applyBorder="1" applyAlignment="1">
      <alignment horizontal="center" vertical="center"/>
    </xf>
    <xf numFmtId="49" fontId="116" fillId="0" borderId="0" xfId="0" applyNumberFormat="1" applyFont="1" applyBorder="1" applyAlignment="1">
      <alignment horizontal="center" vertical="center"/>
    </xf>
    <xf numFmtId="1" fontId="116" fillId="0" borderId="0" xfId="0" applyNumberFormat="1" applyFont="1" applyBorder="1" applyAlignment="1">
      <alignment horizontal="center" vertical="center"/>
    </xf>
    <xf numFmtId="171" fontId="15" fillId="34" borderId="12" xfId="0" applyNumberFormat="1" applyFont="1" applyFill="1" applyBorder="1" applyAlignment="1">
      <alignment horizontal="center" vertical="center"/>
    </xf>
    <xf numFmtId="49" fontId="15" fillId="34" borderId="12" xfId="0" applyNumberFormat="1" applyFont="1" applyFill="1" applyBorder="1" applyAlignment="1">
      <alignment horizontal="center" vertical="center"/>
    </xf>
    <xf numFmtId="2" fontId="17" fillId="0" borderId="0" xfId="0" applyNumberFormat="1" applyFont="1" applyFill="1" applyBorder="1" applyAlignment="1">
      <alignment horizontal="center"/>
    </xf>
    <xf numFmtId="1" fontId="134" fillId="0" borderId="2" xfId="0" applyNumberFormat="1" applyFont="1" applyFill="1" applyBorder="1" applyAlignment="1">
      <alignment horizontal="center" vertical="center"/>
    </xf>
    <xf numFmtId="2" fontId="116" fillId="0" borderId="0" xfId="0" applyNumberFormat="1" applyFont="1" applyFill="1" applyAlignment="1">
      <alignment horizontal="right" vertical="center" readingOrder="1"/>
    </xf>
    <xf numFmtId="2" fontId="126" fillId="0" borderId="1" xfId="0" applyNumberFormat="1" applyFont="1" applyFill="1" applyBorder="1" applyAlignment="1">
      <alignment horizontal="right" readingOrder="1"/>
    </xf>
    <xf numFmtId="0" fontId="13" fillId="34" borderId="0" xfId="0" applyFont="1" applyFill="1" applyBorder="1" applyAlignment="1">
      <alignment horizontal="left" vertical="center" wrapText="1"/>
    </xf>
    <xf numFmtId="0" fontId="126" fillId="34" borderId="0" xfId="0" applyFont="1" applyFill="1" applyBorder="1" applyAlignment="1">
      <alignment horizontal="center" vertical="center" wrapText="1"/>
    </xf>
    <xf numFmtId="0" fontId="116" fillId="0" borderId="0" xfId="0" applyFont="1" applyFill="1" applyBorder="1" applyAlignment="1">
      <alignment horizontal="right" readingOrder="1"/>
    </xf>
    <xf numFmtId="164" fontId="116" fillId="0" borderId="0" xfId="0" applyNumberFormat="1" applyFont="1" applyFill="1" applyBorder="1" applyAlignment="1">
      <alignment horizontal="right" readingOrder="1"/>
    </xf>
    <xf numFmtId="2" fontId="116" fillId="0" borderId="0" xfId="0" applyNumberFormat="1" applyFont="1" applyFill="1" applyBorder="1" applyAlignment="1">
      <alignment horizontal="right" readingOrder="1"/>
    </xf>
    <xf numFmtId="0" fontId="126" fillId="34" borderId="1" xfId="0" applyFont="1" applyFill="1" applyBorder="1" applyAlignment="1">
      <alignment horizontal="right" readingOrder="1"/>
    </xf>
    <xf numFmtId="164" fontId="126" fillId="34" borderId="1" xfId="0" applyNumberFormat="1" applyFont="1" applyFill="1" applyBorder="1" applyAlignment="1">
      <alignment horizontal="right" readingOrder="1"/>
    </xf>
    <xf numFmtId="0" fontId="116" fillId="34" borderId="0" xfId="0" applyFont="1" applyFill="1" applyBorder="1" applyAlignment="1">
      <alignment horizontal="right" readingOrder="1"/>
    </xf>
    <xf numFmtId="164" fontId="116" fillId="34" borderId="0" xfId="0" applyNumberFormat="1" applyFont="1" applyFill="1" applyBorder="1" applyAlignment="1">
      <alignment horizontal="right" readingOrder="1"/>
    </xf>
    <xf numFmtId="2" fontId="116" fillId="34" borderId="0" xfId="0" applyNumberFormat="1" applyFont="1" applyFill="1" applyBorder="1" applyAlignment="1">
      <alignment horizontal="right" readingOrder="1"/>
    </xf>
    <xf numFmtId="0" fontId="116" fillId="34" borderId="0" xfId="0" applyFont="1" applyFill="1" applyBorder="1"/>
    <xf numFmtId="0" fontId="130" fillId="0" borderId="0" xfId="0" applyFont="1" applyFill="1"/>
    <xf numFmtId="0" fontId="129" fillId="0" borderId="0" xfId="0" applyFont="1" applyFill="1" applyBorder="1" applyAlignment="1">
      <alignment vertical="center"/>
    </xf>
    <xf numFmtId="0" fontId="129" fillId="0" borderId="0" xfId="0" applyFont="1" applyFill="1" applyAlignment="1">
      <alignment vertical="center"/>
    </xf>
    <xf numFmtId="0" fontId="116" fillId="34" borderId="22" xfId="0" applyFont="1" applyFill="1" applyBorder="1" applyAlignment="1">
      <alignment horizontal="right" readingOrder="1"/>
    </xf>
    <xf numFmtId="0" fontId="116" fillId="0" borderId="23" xfId="0" applyFont="1" applyFill="1" applyBorder="1" applyAlignment="1">
      <alignment horizontal="right" readingOrder="1"/>
    </xf>
    <xf numFmtId="0" fontId="116" fillId="34" borderId="23" xfId="0" applyFont="1" applyFill="1" applyBorder="1" applyAlignment="1">
      <alignment horizontal="right" readingOrder="1"/>
    </xf>
    <xf numFmtId="0" fontId="126" fillId="34" borderId="10" xfId="0" applyFont="1" applyFill="1" applyBorder="1" applyAlignment="1">
      <alignment horizontal="right" readingOrder="1"/>
    </xf>
    <xf numFmtId="2" fontId="126" fillId="34" borderId="1" xfId="0" applyNumberFormat="1" applyFont="1" applyFill="1" applyBorder="1" applyAlignment="1">
      <alignment horizontal="right" readingOrder="1"/>
    </xf>
    <xf numFmtId="0" fontId="125" fillId="34" borderId="0" xfId="0" applyFont="1" applyFill="1" applyBorder="1" applyAlignment="1">
      <alignment horizontal="center" vertical="center" wrapText="1"/>
    </xf>
    <xf numFmtId="0" fontId="17" fillId="0" borderId="0" xfId="0" applyFont="1" applyFill="1" applyBorder="1" applyAlignment="1">
      <alignment vertical="center"/>
    </xf>
    <xf numFmtId="0" fontId="125" fillId="0" borderId="0" xfId="0" applyFont="1" applyFill="1" applyBorder="1" applyAlignment="1">
      <alignment horizontal="left" vertical="center" wrapText="1"/>
    </xf>
    <xf numFmtId="0" fontId="116" fillId="34" borderId="20" xfId="0" applyFont="1" applyFill="1" applyBorder="1"/>
    <xf numFmtId="0" fontId="116" fillId="34" borderId="20" xfId="0" applyFont="1" applyFill="1" applyBorder="1" applyAlignment="1">
      <alignment horizontal="right" readingOrder="1"/>
    </xf>
    <xf numFmtId="164" fontId="116" fillId="34" borderId="20" xfId="0" applyNumberFormat="1" applyFont="1" applyFill="1" applyBorder="1" applyAlignment="1">
      <alignment horizontal="right" readingOrder="1"/>
    </xf>
    <xf numFmtId="0" fontId="126" fillId="34" borderId="1" xfId="0" applyFont="1" applyFill="1" applyBorder="1"/>
    <xf numFmtId="2" fontId="116" fillId="34" borderId="20" xfId="0" applyNumberFormat="1" applyFont="1" applyFill="1" applyBorder="1" applyAlignment="1">
      <alignment horizontal="right" readingOrder="1"/>
    </xf>
    <xf numFmtId="0" fontId="116" fillId="0" borderId="20" xfId="0" applyFont="1" applyFill="1" applyBorder="1" applyAlignment="1">
      <alignment horizontal="right" vertical="center" readingOrder="1"/>
    </xf>
    <xf numFmtId="164" fontId="116" fillId="0" borderId="20" xfId="0" applyNumberFormat="1" applyFont="1" applyFill="1" applyBorder="1" applyAlignment="1">
      <alignment horizontal="right" vertical="center" readingOrder="1"/>
    </xf>
    <xf numFmtId="0" fontId="116" fillId="0" borderId="20" xfId="0" applyFont="1" applyFill="1" applyBorder="1" applyAlignment="1">
      <alignment horizontal="right" vertical="center"/>
    </xf>
    <xf numFmtId="164" fontId="116" fillId="0" borderId="20" xfId="0" applyNumberFormat="1" applyFont="1" applyFill="1" applyBorder="1" applyAlignment="1">
      <alignment horizontal="right" vertical="center"/>
    </xf>
    <xf numFmtId="2" fontId="116" fillId="0" borderId="20" xfId="0" applyNumberFormat="1" applyFont="1" applyFill="1" applyBorder="1" applyAlignment="1">
      <alignment horizontal="right" vertical="center"/>
    </xf>
    <xf numFmtId="0" fontId="15" fillId="34" borderId="0" xfId="0" applyFont="1" applyFill="1" applyBorder="1" applyAlignment="1">
      <alignment horizontal="right" vertical="center" readingOrder="1"/>
    </xf>
    <xf numFmtId="164" fontId="15" fillId="34" borderId="0" xfId="0" applyNumberFormat="1" applyFont="1" applyFill="1" applyBorder="1" applyAlignment="1">
      <alignment horizontal="right" vertical="center" readingOrder="1"/>
    </xf>
    <xf numFmtId="164" fontId="15" fillId="34" borderId="0" xfId="0" applyNumberFormat="1" applyFont="1" applyFill="1" applyBorder="1" applyAlignment="1">
      <alignment horizontal="right" vertical="center"/>
    </xf>
    <xf numFmtId="2" fontId="15" fillId="34" borderId="0" xfId="0" applyNumberFormat="1" applyFont="1" applyFill="1" applyBorder="1" applyAlignment="1">
      <alignment horizontal="right" vertical="center"/>
    </xf>
    <xf numFmtId="0" fontId="15" fillId="34" borderId="23" xfId="0" applyFont="1" applyFill="1" applyBorder="1" applyAlignment="1">
      <alignment horizontal="right" vertical="center" readingOrder="1"/>
    </xf>
    <xf numFmtId="0" fontId="116" fillId="0" borderId="0" xfId="0" applyFont="1" applyFill="1" applyBorder="1" applyAlignment="1">
      <alignment horizontal="right" vertical="center" readingOrder="1"/>
    </xf>
    <xf numFmtId="164" fontId="116" fillId="0" borderId="0" xfId="0" applyNumberFormat="1" applyFont="1" applyFill="1" applyBorder="1" applyAlignment="1">
      <alignment horizontal="right" vertical="center" readingOrder="1"/>
    </xf>
    <xf numFmtId="0" fontId="116" fillId="0" borderId="0" xfId="0" applyFont="1" applyFill="1" applyBorder="1" applyAlignment="1">
      <alignment horizontal="right" vertical="center"/>
    </xf>
    <xf numFmtId="164" fontId="116" fillId="0" borderId="0" xfId="0" applyNumberFormat="1" applyFont="1" applyFill="1" applyBorder="1" applyAlignment="1">
      <alignment horizontal="right" vertical="center"/>
    </xf>
    <xf numFmtId="2" fontId="116" fillId="0" borderId="0" xfId="0" applyNumberFormat="1" applyFont="1" applyFill="1" applyBorder="1" applyAlignment="1">
      <alignment horizontal="right" vertical="center"/>
    </xf>
    <xf numFmtId="0" fontId="116" fillId="0" borderId="23" xfId="0" applyFont="1" applyFill="1" applyBorder="1" applyAlignment="1">
      <alignment horizontal="right" vertical="center" readingOrder="1"/>
    </xf>
    <xf numFmtId="0" fontId="116" fillId="34" borderId="0" xfId="0" applyFont="1" applyFill="1" applyBorder="1" applyAlignment="1">
      <alignment horizontal="right" vertical="center" readingOrder="1"/>
    </xf>
    <xf numFmtId="164" fontId="116" fillId="34" borderId="0" xfId="0" applyNumberFormat="1" applyFont="1" applyFill="1" applyBorder="1" applyAlignment="1">
      <alignment horizontal="right" vertical="center" readingOrder="1"/>
    </xf>
    <xf numFmtId="0" fontId="116" fillId="34" borderId="0" xfId="0" applyFont="1" applyFill="1" applyBorder="1" applyAlignment="1">
      <alignment horizontal="right" vertical="center"/>
    </xf>
    <xf numFmtId="164" fontId="116" fillId="34" borderId="0" xfId="0" applyNumberFormat="1" applyFont="1" applyFill="1" applyBorder="1" applyAlignment="1">
      <alignment horizontal="right" vertical="center"/>
    </xf>
    <xf numFmtId="2" fontId="116" fillId="34" borderId="0" xfId="0" applyNumberFormat="1" applyFont="1" applyFill="1" applyBorder="1" applyAlignment="1">
      <alignment horizontal="right" vertical="center"/>
    </xf>
    <xf numFmtId="0" fontId="116" fillId="34" borderId="23" xfId="0" applyFont="1" applyFill="1" applyBorder="1" applyAlignment="1">
      <alignment horizontal="right" vertical="center" readingOrder="1"/>
    </xf>
    <xf numFmtId="2" fontId="133" fillId="34" borderId="0" xfId="198" applyNumberFormat="1" applyFont="1" applyFill="1" applyBorder="1" applyAlignment="1">
      <alignment horizontal="center"/>
    </xf>
    <xf numFmtId="2" fontId="133" fillId="0" borderId="0" xfId="198" applyNumberFormat="1" applyFont="1" applyFill="1" applyBorder="1" applyAlignment="1">
      <alignment horizontal="center"/>
    </xf>
    <xf numFmtId="0" fontId="15" fillId="34" borderId="0" xfId="196" applyFont="1" applyFill="1" applyBorder="1" applyAlignment="1">
      <alignment horizontal="left" vertical="center"/>
    </xf>
    <xf numFmtId="2" fontId="15" fillId="34" borderId="0" xfId="196" applyNumberFormat="1" applyFont="1" applyFill="1" applyBorder="1" applyAlignment="1">
      <alignment horizontal="center" vertical="center"/>
    </xf>
    <xf numFmtId="2" fontId="13" fillId="34" borderId="0" xfId="0" applyNumberFormat="1" applyFont="1" applyFill="1" applyBorder="1" applyAlignment="1">
      <alignment horizontal="center" vertical="center"/>
    </xf>
    <xf numFmtId="1" fontId="17" fillId="0" borderId="0" xfId="0" applyNumberFormat="1" applyFont="1" applyFill="1" applyBorder="1" applyAlignment="1">
      <alignment horizontal="left" vertical="center" wrapText="1"/>
    </xf>
    <xf numFmtId="1" fontId="17" fillId="0" borderId="0" xfId="0" applyNumberFormat="1" applyFont="1" applyFill="1" applyBorder="1" applyAlignment="1">
      <alignment horizontal="right" vertical="center" wrapText="1"/>
    </xf>
    <xf numFmtId="21" fontId="13" fillId="34" borderId="0" xfId="0" applyNumberFormat="1" applyFont="1" applyFill="1" applyBorder="1" applyAlignment="1">
      <alignment horizontal="center" vertical="center" wrapText="1"/>
    </xf>
    <xf numFmtId="0" fontId="19" fillId="34" borderId="0" xfId="0" applyFont="1" applyFill="1" applyBorder="1" applyAlignment="1">
      <alignment horizontal="center" vertical="center" wrapText="1"/>
    </xf>
    <xf numFmtId="21" fontId="15" fillId="34" borderId="0" xfId="0" applyNumberFormat="1" applyFont="1" applyFill="1" applyBorder="1" applyAlignment="1">
      <alignment horizontal="center" vertical="center"/>
    </xf>
    <xf numFmtId="0" fontId="19" fillId="34" borderId="0" xfId="0" applyFont="1" applyFill="1" applyBorder="1" applyAlignment="1">
      <alignment vertical="center" wrapText="1"/>
    </xf>
    <xf numFmtId="37" fontId="14" fillId="34" borderId="0" xfId="0" applyNumberFormat="1" applyFont="1" applyFill="1" applyBorder="1" applyAlignment="1">
      <alignment vertical="center" wrapText="1"/>
    </xf>
    <xf numFmtId="0" fontId="19" fillId="34" borderId="0" xfId="0" applyFont="1" applyFill="1" applyBorder="1" applyAlignment="1">
      <alignment horizontal="left" vertical="center" wrapText="1"/>
    </xf>
    <xf numFmtId="0" fontId="25" fillId="34" borderId="0" xfId="0" applyFont="1" applyFill="1" applyBorder="1" applyAlignment="1">
      <alignment vertical="center"/>
    </xf>
    <xf numFmtId="0" fontId="40" fillId="34" borderId="0" xfId="0" applyFont="1" applyFill="1" applyBorder="1" applyAlignment="1">
      <alignment vertical="center"/>
    </xf>
    <xf numFmtId="37" fontId="35" fillId="34" borderId="0" xfId="0" applyNumberFormat="1" applyFont="1" applyFill="1" applyBorder="1" applyAlignment="1">
      <alignment vertical="center" wrapText="1"/>
    </xf>
    <xf numFmtId="46" fontId="15" fillId="34" borderId="0" xfId="0" applyNumberFormat="1" applyFont="1" applyFill="1" applyBorder="1" applyAlignment="1">
      <alignment horizontal="center" vertical="center"/>
    </xf>
    <xf numFmtId="0" fontId="13" fillId="34" borderId="0" xfId="0" applyFont="1" applyFill="1" applyBorder="1" applyAlignment="1">
      <alignment vertical="center" wrapText="1"/>
    </xf>
    <xf numFmtId="21" fontId="15" fillId="34" borderId="0" xfId="0" applyNumberFormat="1" applyFont="1" applyFill="1" applyBorder="1" applyAlignment="1">
      <alignment horizontal="center" vertical="center" wrapText="1"/>
    </xf>
    <xf numFmtId="0" fontId="14" fillId="34" borderId="0" xfId="0" applyFont="1" applyFill="1" applyBorder="1" applyAlignment="1">
      <alignment vertical="center" wrapText="1"/>
    </xf>
    <xf numFmtId="0" fontId="43" fillId="34" borderId="0" xfId="0" applyFont="1" applyFill="1" applyBorder="1" applyAlignment="1">
      <alignment vertical="center" wrapText="1"/>
    </xf>
    <xf numFmtId="0" fontId="35" fillId="34" borderId="0" xfId="0" applyFont="1" applyFill="1" applyBorder="1" applyAlignment="1">
      <alignment vertical="center"/>
    </xf>
    <xf numFmtId="14" fontId="15" fillId="34" borderId="0" xfId="0" applyNumberFormat="1" applyFont="1" applyFill="1" applyBorder="1" applyAlignment="1">
      <alignment horizontal="center" vertical="center"/>
    </xf>
    <xf numFmtId="0" fontId="14" fillId="34" borderId="0" xfId="0" applyFont="1" applyFill="1" applyBorder="1" applyAlignment="1">
      <alignment vertical="center"/>
    </xf>
    <xf numFmtId="0" fontId="17" fillId="34" borderId="0" xfId="0" applyFont="1" applyFill="1" applyBorder="1" applyAlignment="1">
      <alignment vertical="center" wrapText="1"/>
    </xf>
    <xf numFmtId="2" fontId="13" fillId="0" borderId="0" xfId="0" applyNumberFormat="1" applyFont="1" applyFill="1" applyBorder="1" applyAlignment="1">
      <alignment horizontal="center" vertical="center"/>
    </xf>
    <xf numFmtId="0" fontId="20" fillId="0" borderId="0" xfId="0" applyFont="1" applyBorder="1" applyAlignment="1">
      <alignment horizontal="center" wrapText="1"/>
    </xf>
    <xf numFmtId="0" fontId="115" fillId="0" borderId="0" xfId="0" applyFont="1" applyBorder="1"/>
    <xf numFmtId="0" fontId="20" fillId="0" borderId="0" xfId="0" applyFont="1" applyBorder="1" applyAlignment="1">
      <alignment horizontal="right" wrapText="1"/>
    </xf>
    <xf numFmtId="0" fontId="20" fillId="0" borderId="0" xfId="0" applyFont="1" applyBorder="1" applyAlignment="1">
      <alignment wrapText="1"/>
    </xf>
    <xf numFmtId="0" fontId="139" fillId="0" borderId="0" xfId="0" applyFont="1" applyBorder="1"/>
    <xf numFmtId="0" fontId="140" fillId="0" borderId="0" xfId="0" applyFont="1" applyFill="1" applyBorder="1" applyAlignment="1">
      <alignment horizontal="left" wrapText="1"/>
    </xf>
    <xf numFmtId="0" fontId="126" fillId="34" borderId="7" xfId="0" applyFont="1" applyFill="1" applyBorder="1"/>
    <xf numFmtId="0" fontId="19" fillId="34" borderId="12" xfId="0" applyFont="1" applyFill="1" applyBorder="1" applyAlignment="1">
      <alignment horizontal="center" vertical="center" wrapText="1"/>
    </xf>
    <xf numFmtId="1" fontId="134" fillId="0" borderId="2" xfId="0" applyNumberFormat="1" applyFont="1" applyFill="1" applyBorder="1" applyAlignment="1">
      <alignment horizontal="center" vertical="center"/>
    </xf>
    <xf numFmtId="177" fontId="15" fillId="0" borderId="0" xfId="0" applyNumberFormat="1" applyFont="1"/>
    <xf numFmtId="177" fontId="7" fillId="0" borderId="0" xfId="0" applyNumberFormat="1" applyFont="1" applyBorder="1"/>
    <xf numFmtId="178" fontId="7" fillId="0" borderId="0" xfId="0" applyNumberFormat="1" applyFont="1" applyBorder="1"/>
    <xf numFmtId="0" fontId="15" fillId="0" borderId="0" xfId="196" applyFont="1" applyFill="1" applyBorder="1" applyAlignment="1"/>
    <xf numFmtId="2" fontId="15" fillId="0" borderId="0" xfId="196" applyNumberFormat="1" applyFont="1" applyFill="1" applyBorder="1" applyAlignment="1">
      <alignment horizontal="center" vertical="center"/>
    </xf>
    <xf numFmtId="2" fontId="0" fillId="0" borderId="0" xfId="0" applyNumberFormat="1"/>
    <xf numFmtId="0" fontId="23" fillId="34" borderId="0" xfId="196" applyFont="1" applyFill="1" applyBorder="1" applyAlignment="1">
      <alignment horizontal="left" vertical="center"/>
    </xf>
    <xf numFmtId="0" fontId="14" fillId="0" borderId="0" xfId="0" applyFont="1" applyFill="1" applyBorder="1" applyAlignment="1">
      <alignment horizontal="center" vertical="center" wrapText="1"/>
    </xf>
    <xf numFmtId="0" fontId="23" fillId="0" borderId="0" xfId="136" applyNumberFormat="1" applyFont="1" applyFill="1" applyBorder="1" applyAlignment="1">
      <alignment horizontal="center" vertical="center"/>
    </xf>
    <xf numFmtId="2" fontId="23" fillId="0" borderId="0" xfId="136" applyNumberFormat="1" applyFont="1" applyFill="1" applyBorder="1" applyAlignment="1">
      <alignment horizontal="center" vertical="center"/>
    </xf>
    <xf numFmtId="165" fontId="15" fillId="0" borderId="0" xfId="0" applyNumberFormat="1" applyFont="1"/>
    <xf numFmtId="1" fontId="13" fillId="0" borderId="0" xfId="0" applyNumberFormat="1" applyFont="1" applyFill="1" applyBorder="1" applyAlignment="1">
      <alignment horizontal="center" vertical="center"/>
    </xf>
    <xf numFmtId="1" fontId="18" fillId="0" borderId="0" xfId="0" applyNumberFormat="1" applyFont="1" applyBorder="1" applyAlignment="1">
      <alignment horizontal="left" wrapText="1"/>
    </xf>
    <xf numFmtId="167" fontId="15" fillId="34" borderId="0" xfId="0" applyNumberFormat="1" applyFont="1" applyFill="1" applyBorder="1" applyAlignment="1">
      <alignment horizontal="center" vertical="center"/>
    </xf>
    <xf numFmtId="0" fontId="23" fillId="0" borderId="2" xfId="0" applyFont="1" applyBorder="1" applyAlignment="1">
      <alignment horizontal="center" vertical="top"/>
    </xf>
    <xf numFmtId="1" fontId="13" fillId="34" borderId="0" xfId="0" applyNumberFormat="1" applyFont="1" applyFill="1" applyBorder="1" applyAlignment="1">
      <alignment horizontal="center" vertical="center"/>
    </xf>
    <xf numFmtId="0" fontId="13" fillId="34" borderId="0" xfId="0" applyFont="1" applyFill="1" applyBorder="1" applyAlignment="1">
      <alignment horizontal="center" vertical="center" wrapText="1"/>
    </xf>
    <xf numFmtId="0" fontId="13" fillId="34" borderId="0" xfId="0" applyFont="1" applyFill="1" applyBorder="1" applyAlignment="1">
      <alignment horizontal="left" vertical="center" wrapText="1"/>
    </xf>
    <xf numFmtId="0" fontId="13" fillId="0" borderId="0" xfId="0" applyFont="1" applyBorder="1" applyAlignment="1">
      <alignment horizontal="right" vertical="center" wrapText="1"/>
    </xf>
    <xf numFmtId="1" fontId="14" fillId="0" borderId="0" xfId="0" applyNumberFormat="1" applyFont="1"/>
    <xf numFmtId="0" fontId="116" fillId="0" borderId="9" xfId="0" applyFont="1" applyFill="1" applyBorder="1"/>
    <xf numFmtId="164" fontId="15" fillId="34" borderId="0" xfId="0" applyNumberFormat="1" applyFont="1" applyFill="1" applyBorder="1" applyAlignment="1">
      <alignment horizontal="left" vertical="top" wrapText="1"/>
    </xf>
    <xf numFmtId="164" fontId="124" fillId="34" borderId="0" xfId="0" applyNumberFormat="1" applyFont="1" applyFill="1" applyBorder="1" applyAlignment="1">
      <alignment horizontal="center" vertical="top" wrapText="1"/>
    </xf>
    <xf numFmtId="164" fontId="15" fillId="0" borderId="0" xfId="0" applyNumberFormat="1" applyFont="1" applyFill="1" applyBorder="1" applyAlignment="1">
      <alignment horizontal="left" vertical="top" wrapText="1"/>
    </xf>
    <xf numFmtId="0" fontId="17" fillId="34" borderId="0" xfId="0" applyFont="1" applyFill="1" applyBorder="1" applyAlignment="1">
      <alignment horizontal="left" vertical="center"/>
    </xf>
    <xf numFmtId="1" fontId="17" fillId="0" borderId="0" xfId="0" applyNumberFormat="1" applyFont="1" applyFill="1" applyBorder="1" applyAlignment="1">
      <alignment horizontal="center" wrapText="1"/>
    </xf>
    <xf numFmtId="0" fontId="23" fillId="34" borderId="0" xfId="0" applyFont="1" applyFill="1" applyBorder="1" applyAlignment="1">
      <alignment vertical="center" wrapText="1"/>
    </xf>
    <xf numFmtId="0" fontId="14" fillId="34" borderId="0" xfId="0" applyFont="1" applyFill="1" applyBorder="1" applyAlignment="1">
      <alignment horizontal="center" vertical="center" wrapText="1"/>
    </xf>
    <xf numFmtId="2" fontId="125" fillId="34" borderId="0" xfId="0" applyNumberFormat="1" applyFont="1" applyFill="1" applyBorder="1" applyAlignment="1">
      <alignment horizontal="center" vertical="center" wrapText="1"/>
    </xf>
    <xf numFmtId="2" fontId="126" fillId="0" borderId="0" xfId="0" applyNumberFormat="1" applyFont="1" applyFill="1" applyBorder="1" applyAlignment="1">
      <alignment horizontal="center" vertical="center" wrapText="1"/>
    </xf>
    <xf numFmtId="1" fontId="125" fillId="0" borderId="0" xfId="0" applyNumberFormat="1" applyFont="1" applyFill="1" applyBorder="1" applyAlignment="1">
      <alignment horizontal="center" vertical="center" wrapText="1"/>
    </xf>
    <xf numFmtId="1" fontId="17" fillId="34" borderId="0" xfId="0" applyNumberFormat="1" applyFont="1" applyFill="1" applyBorder="1" applyAlignment="1">
      <alignment horizontal="left" vertical="center" wrapText="1"/>
    </xf>
    <xf numFmtId="1" fontId="17" fillId="34" borderId="0" xfId="0" applyNumberFormat="1" applyFont="1" applyFill="1" applyBorder="1" applyAlignment="1">
      <alignment horizontal="right" vertical="center" wrapText="1"/>
    </xf>
    <xf numFmtId="0" fontId="19" fillId="34" borderId="12" xfId="0" applyFont="1" applyFill="1" applyBorder="1" applyAlignment="1">
      <alignment horizontal="left" vertical="center" wrapText="1"/>
    </xf>
    <xf numFmtId="2" fontId="116" fillId="34" borderId="0" xfId="0" applyNumberFormat="1" applyFont="1" applyFill="1" applyBorder="1" applyAlignment="1">
      <alignment horizontal="center" vertical="center"/>
    </xf>
    <xf numFmtId="0" fontId="30" fillId="34" borderId="12" xfId="0" applyFont="1" applyFill="1" applyBorder="1" applyAlignment="1">
      <alignment horizontal="center"/>
    </xf>
    <xf numFmtId="164" fontId="14" fillId="0" borderId="0" xfId="0" applyNumberFormat="1" applyFont="1" applyFill="1"/>
    <xf numFmtId="49" fontId="19" fillId="0" borderId="0" xfId="0" applyNumberFormat="1" applyFont="1" applyFill="1" applyBorder="1" applyAlignment="1">
      <alignment horizontal="center" vertical="center" wrapText="1"/>
    </xf>
    <xf numFmtId="49" fontId="19" fillId="34" borderId="0" xfId="0" applyNumberFormat="1" applyFont="1" applyFill="1" applyBorder="1" applyAlignment="1">
      <alignment horizontal="center" vertical="center" wrapText="1"/>
    </xf>
    <xf numFmtId="0" fontId="15" fillId="34" borderId="0" xfId="136" quotePrefix="1" applyNumberFormat="1" applyFont="1" applyFill="1" applyBorder="1" applyAlignment="1">
      <alignment horizontal="center" vertical="center"/>
    </xf>
    <xf numFmtId="2" fontId="15" fillId="34" borderId="0" xfId="0" applyNumberFormat="1" applyFont="1" applyFill="1" applyBorder="1" applyAlignment="1">
      <alignment vertical="center" wrapText="1"/>
    </xf>
    <xf numFmtId="2" fontId="15" fillId="0" borderId="0" xfId="0" applyNumberFormat="1" applyFont="1" applyFill="1" applyBorder="1" applyAlignment="1">
      <alignment vertical="center" wrapText="1"/>
    </xf>
    <xf numFmtId="0" fontId="116" fillId="34" borderId="9" xfId="0" applyFont="1" applyFill="1" applyBorder="1"/>
    <xf numFmtId="0" fontId="83" fillId="0" borderId="0" xfId="0" applyFont="1" applyAlignment="1">
      <alignment horizontal="left"/>
    </xf>
    <xf numFmtId="0" fontId="16" fillId="0" borderId="1" xfId="0" applyFont="1" applyBorder="1" applyAlignment="1"/>
    <xf numFmtId="21" fontId="15" fillId="34" borderId="12" xfId="0" applyNumberFormat="1" applyFont="1" applyFill="1" applyBorder="1" applyAlignment="1">
      <alignment horizontal="center" vertical="center"/>
    </xf>
    <xf numFmtId="0" fontId="13" fillId="34" borderId="0" xfId="0" applyFont="1" applyFill="1" applyBorder="1" applyAlignment="1">
      <alignment horizontal="center" vertical="center" wrapText="1"/>
    </xf>
    <xf numFmtId="0" fontId="13" fillId="34" borderId="0" xfId="0" applyFont="1" applyFill="1" applyBorder="1" applyAlignment="1">
      <alignment horizontal="left" vertical="center" wrapText="1"/>
    </xf>
    <xf numFmtId="0" fontId="15" fillId="0" borderId="0" xfId="136" quotePrefix="1" applyNumberFormat="1" applyFont="1" applyFill="1" applyBorder="1" applyAlignment="1">
      <alignment horizontal="center" vertical="center"/>
    </xf>
    <xf numFmtId="2" fontId="17" fillId="34" borderId="0" xfId="0" applyNumberFormat="1" applyFont="1" applyFill="1" applyBorder="1" applyAlignment="1">
      <alignment horizontal="center" vertical="center"/>
    </xf>
    <xf numFmtId="49" fontId="15" fillId="0" borderId="0" xfId="0" applyNumberFormat="1" applyFont="1" applyBorder="1" applyAlignment="1">
      <alignment horizontal="center" vertical="top" wrapText="1"/>
    </xf>
    <xf numFmtId="0" fontId="15" fillId="0" borderId="0" xfId="0" applyFont="1" applyFill="1" applyBorder="1" applyAlignment="1">
      <alignment vertical="top"/>
    </xf>
    <xf numFmtId="0" fontId="13" fillId="34" borderId="12" xfId="0" applyFont="1" applyFill="1" applyBorder="1" applyAlignment="1">
      <alignment horizontal="center" vertical="center" wrapText="1"/>
    </xf>
    <xf numFmtId="179" fontId="15" fillId="0" borderId="0" xfId="0" applyNumberFormat="1" applyFont="1"/>
    <xf numFmtId="0" fontId="23" fillId="34" borderId="0" xfId="136" applyNumberFormat="1" applyFont="1" applyFill="1" applyBorder="1" applyAlignment="1">
      <alignment horizontal="center" vertical="center"/>
    </xf>
    <xf numFmtId="2" fontId="23" fillId="34" borderId="0" xfId="136" applyNumberFormat="1" applyFont="1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 wrapText="1"/>
    </xf>
    <xf numFmtId="0" fontId="16" fillId="0" borderId="0" xfId="0" applyFont="1" applyFill="1" applyAlignment="1">
      <alignment vertical="center"/>
    </xf>
    <xf numFmtId="1" fontId="15" fillId="34" borderId="0" xfId="0" applyNumberFormat="1" applyFont="1" applyFill="1" applyBorder="1" applyAlignment="1">
      <alignment horizontal="right" vertical="center" wrapText="1"/>
    </xf>
    <xf numFmtId="1" fontId="15" fillId="34" borderId="0" xfId="0" applyNumberFormat="1" applyFont="1" applyFill="1" applyBorder="1" applyAlignment="1">
      <alignment horizontal="left" vertical="center" wrapText="1"/>
    </xf>
    <xf numFmtId="0" fontId="15" fillId="0" borderId="8" xfId="0" applyFont="1" applyFill="1" applyBorder="1" applyAlignment="1">
      <alignment horizontal="center" vertical="center" wrapText="1"/>
    </xf>
    <xf numFmtId="0" fontId="19" fillId="0" borderId="24" xfId="0" applyFont="1" applyFill="1" applyBorder="1" applyAlignment="1">
      <alignment horizontal="center" vertical="center" wrapText="1"/>
    </xf>
    <xf numFmtId="0" fontId="19" fillId="0" borderId="3" xfId="0" applyFont="1" applyFill="1" applyBorder="1" applyAlignment="1">
      <alignment horizontal="center" vertical="center" wrapText="1"/>
    </xf>
    <xf numFmtId="0" fontId="19" fillId="0" borderId="0" xfId="0" applyFont="1" applyFill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46" fontId="13" fillId="34" borderId="0" xfId="0" applyNumberFormat="1" applyFont="1" applyFill="1" applyBorder="1" applyAlignment="1">
      <alignment horizontal="center" vertical="center"/>
    </xf>
    <xf numFmtId="0" fontId="43" fillId="34" borderId="12" xfId="0" applyFont="1" applyFill="1" applyBorder="1" applyAlignment="1">
      <alignment horizontal="left" vertical="center" wrapText="1"/>
    </xf>
    <xf numFmtId="2" fontId="13" fillId="0" borderId="0" xfId="0" applyNumberFormat="1" applyFont="1" applyBorder="1" applyAlignment="1">
      <alignment horizontal="right"/>
    </xf>
    <xf numFmtId="2" fontId="25" fillId="0" borderId="0" xfId="0" applyNumberFormat="1" applyFont="1"/>
    <xf numFmtId="2" fontId="15" fillId="0" borderId="0" xfId="0" applyNumberFormat="1" applyFont="1" applyAlignment="1">
      <alignment horizontal="right"/>
    </xf>
    <xf numFmtId="0" fontId="27" fillId="0" borderId="24" xfId="0" applyFont="1" applyFill="1" applyBorder="1" applyAlignment="1">
      <alignment horizontal="center" vertical="center" wrapText="1"/>
    </xf>
    <xf numFmtId="0" fontId="19" fillId="0" borderId="25" xfId="0" applyFont="1" applyFill="1" applyBorder="1" applyAlignment="1">
      <alignment horizontal="center" vertical="center" wrapText="1"/>
    </xf>
    <xf numFmtId="2" fontId="116" fillId="34" borderId="0" xfId="0" applyNumberFormat="1" applyFont="1" applyFill="1" applyBorder="1" applyAlignment="1">
      <alignment horizontal="center" wrapText="1"/>
    </xf>
    <xf numFmtId="1" fontId="15" fillId="0" borderId="0" xfId="0" applyNumberFormat="1" applyFont="1" applyFill="1" applyBorder="1" applyAlignment="1">
      <alignment horizontal="right" vertical="center" wrapText="1"/>
    </xf>
    <xf numFmtId="1" fontId="15" fillId="0" borderId="0" xfId="0" applyNumberFormat="1" applyFont="1" applyFill="1" applyBorder="1" applyAlignment="1">
      <alignment horizontal="left" vertical="center" wrapText="1"/>
    </xf>
    <xf numFmtId="0" fontId="30" fillId="0" borderId="2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0" fontId="30" fillId="0" borderId="2" xfId="0" applyFont="1" applyFill="1" applyBorder="1" applyAlignment="1">
      <alignment horizontal="center" vertical="center" wrapText="1"/>
    </xf>
    <xf numFmtId="0" fontId="30" fillId="0" borderId="3" xfId="0" applyFont="1" applyFill="1" applyBorder="1" applyAlignment="1">
      <alignment horizontal="center" vertical="center" wrapText="1"/>
    </xf>
    <xf numFmtId="0" fontId="30" fillId="0" borderId="2" xfId="0" applyFont="1" applyFill="1" applyBorder="1" applyAlignment="1">
      <alignment horizontal="center" vertical="center" wrapText="1"/>
    </xf>
    <xf numFmtId="0" fontId="30" fillId="0" borderId="3" xfId="0" applyFont="1" applyFill="1" applyBorder="1" applyAlignment="1">
      <alignment horizontal="center" vertical="center" wrapText="1"/>
    </xf>
    <xf numFmtId="2" fontId="15" fillId="0" borderId="0" xfId="0" applyNumberFormat="1" applyFont="1" applyBorder="1" applyAlignment="1">
      <alignment horizontal="right"/>
    </xf>
    <xf numFmtId="0" fontId="30" fillId="0" borderId="4" xfId="0" applyFont="1" applyFill="1" applyBorder="1" applyAlignment="1">
      <alignment wrapText="1"/>
    </xf>
    <xf numFmtId="2" fontId="15" fillId="0" borderId="0" xfId="0" applyNumberFormat="1" applyFont="1" applyFill="1" applyBorder="1" applyAlignment="1">
      <alignment horizontal="right"/>
    </xf>
    <xf numFmtId="0" fontId="20" fillId="0" borderId="2" xfId="0" applyFont="1" applyFill="1" applyBorder="1" applyAlignment="1">
      <alignment horizontal="center" vertical="center" wrapText="1"/>
    </xf>
    <xf numFmtId="0" fontId="18" fillId="0" borderId="0" xfId="0" applyFont="1" applyFill="1" applyBorder="1" applyAlignment="1">
      <alignment vertical="center" wrapText="1"/>
    </xf>
    <xf numFmtId="0" fontId="14" fillId="0" borderId="0" xfId="0" applyFont="1" applyFill="1" applyBorder="1" applyAlignment="1">
      <alignment horizontal="center" vertical="center"/>
    </xf>
    <xf numFmtId="164" fontId="15" fillId="0" borderId="12" xfId="0" applyNumberFormat="1" applyFont="1" applyFill="1" applyBorder="1" applyAlignment="1">
      <alignment horizontal="center" vertical="center"/>
    </xf>
    <xf numFmtId="0" fontId="15" fillId="34" borderId="12" xfId="0" applyFont="1" applyFill="1" applyBorder="1" applyAlignment="1">
      <alignment vertical="center"/>
    </xf>
    <xf numFmtId="0" fontId="16" fillId="0" borderId="2" xfId="0" applyFont="1" applyFill="1" applyBorder="1" applyAlignment="1">
      <alignment horizontal="center" vertical="center" wrapText="1"/>
    </xf>
    <xf numFmtId="0" fontId="30" fillId="0" borderId="2" xfId="0" applyFont="1" applyFill="1" applyBorder="1" applyAlignment="1">
      <alignment horizontal="center" vertical="center" wrapText="1"/>
    </xf>
    <xf numFmtId="0" fontId="30" fillId="0" borderId="2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vertical="top" wrapText="1"/>
    </xf>
    <xf numFmtId="0" fontId="19" fillId="0" borderId="0" xfId="0" applyFont="1" applyFill="1"/>
    <xf numFmtId="0" fontId="36" fillId="34" borderId="0" xfId="0" applyFont="1" applyFill="1" applyBorder="1" applyAlignment="1">
      <alignment vertical="center"/>
    </xf>
    <xf numFmtId="0" fontId="27" fillId="34" borderId="0" xfId="0" applyFont="1" applyFill="1" applyBorder="1" applyAlignment="1">
      <alignment vertical="center" wrapText="1"/>
    </xf>
    <xf numFmtId="0" fontId="27" fillId="0" borderId="0" xfId="0" applyFont="1" applyFill="1" applyBorder="1" applyAlignment="1">
      <alignment vertical="center"/>
    </xf>
    <xf numFmtId="0" fontId="13" fillId="0" borderId="0" xfId="0" applyFont="1" applyFill="1" applyBorder="1" applyAlignment="1">
      <alignment horizontal="left" vertical="center" wrapText="1"/>
    </xf>
    <xf numFmtId="0" fontId="16" fillId="0" borderId="2" xfId="0" applyFont="1" applyBorder="1" applyAlignment="1">
      <alignment horizontal="center" vertical="center" wrapText="1"/>
    </xf>
    <xf numFmtId="0" fontId="43" fillId="0" borderId="2" xfId="0" applyFont="1" applyBorder="1" applyAlignment="1">
      <alignment horizontal="center" vertical="center" wrapText="1"/>
    </xf>
    <xf numFmtId="0" fontId="43" fillId="0" borderId="3" xfId="0" applyFont="1" applyBorder="1" applyAlignment="1">
      <alignment horizontal="center" vertical="center" wrapText="1"/>
    </xf>
    <xf numFmtId="0" fontId="30" fillId="0" borderId="2" xfId="0" applyFont="1" applyFill="1" applyBorder="1" applyAlignment="1">
      <alignment horizontal="center" vertical="center" wrapText="1"/>
    </xf>
    <xf numFmtId="0" fontId="16" fillId="0" borderId="2" xfId="0" applyFont="1" applyBorder="1" applyAlignment="1">
      <alignment horizontal="center" vertical="center" wrapText="1"/>
    </xf>
    <xf numFmtId="0" fontId="16" fillId="0" borderId="2" xfId="0" applyFont="1" applyBorder="1" applyAlignment="1">
      <alignment horizontal="center" vertical="center" wrapText="1"/>
    </xf>
    <xf numFmtId="0" fontId="18" fillId="0" borderId="0" xfId="0" applyFont="1" applyAlignment="1"/>
    <xf numFmtId="164" fontId="15" fillId="34" borderId="12" xfId="0" applyNumberFormat="1" applyFont="1" applyFill="1" applyBorder="1" applyAlignment="1">
      <alignment horizontal="center" vertical="center"/>
    </xf>
    <xf numFmtId="0" fontId="15" fillId="0" borderId="10" xfId="0" applyFont="1" applyBorder="1" applyAlignment="1">
      <alignment horizontal="center" vertical="center" wrapText="1"/>
    </xf>
    <xf numFmtId="0" fontId="14" fillId="0" borderId="0" xfId="0" applyFont="1" applyFill="1" applyBorder="1" applyAlignment="1">
      <alignment horizontal="left"/>
    </xf>
    <xf numFmtId="0" fontId="35" fillId="0" borderId="0" xfId="0" applyFont="1" applyBorder="1" applyAlignment="1">
      <alignment horizontal="left"/>
    </xf>
    <xf numFmtId="0" fontId="13" fillId="0" borderId="0" xfId="0" applyFont="1" applyBorder="1" applyAlignment="1">
      <alignment horizontal="center" wrapText="1"/>
    </xf>
    <xf numFmtId="0" fontId="23" fillId="34" borderId="0" xfId="0" applyFont="1" applyFill="1" applyBorder="1" applyAlignment="1">
      <alignment horizontal="left" vertical="center" wrapText="1"/>
    </xf>
    <xf numFmtId="0" fontId="17" fillId="34" borderId="0" xfId="0" applyFont="1" applyFill="1" applyBorder="1" applyAlignment="1">
      <alignment horizontal="left" vertical="center" wrapText="1"/>
    </xf>
    <xf numFmtId="0" fontId="13" fillId="0" borderId="0" xfId="0" applyFont="1" applyFill="1" applyBorder="1" applyAlignment="1">
      <alignment horizontal="left" vertical="center" wrapText="1"/>
    </xf>
    <xf numFmtId="0" fontId="13" fillId="34" borderId="0" xfId="0" applyFont="1" applyFill="1" applyBorder="1" applyAlignment="1">
      <alignment horizontal="left" vertical="center" wrapText="1"/>
    </xf>
    <xf numFmtId="164" fontId="15" fillId="34" borderId="0" xfId="0" applyNumberFormat="1" applyFont="1" applyFill="1" applyAlignment="1">
      <alignment horizontal="center"/>
    </xf>
    <xf numFmtId="164" fontId="13" fillId="34" borderId="0" xfId="0" applyNumberFormat="1" applyFont="1" applyFill="1" applyBorder="1" applyAlignment="1">
      <alignment horizontal="center" wrapText="1"/>
    </xf>
    <xf numFmtId="164" fontId="124" fillId="34" borderId="0" xfId="0" applyNumberFormat="1" applyFont="1" applyFill="1" applyAlignment="1">
      <alignment horizontal="right"/>
    </xf>
    <xf numFmtId="164" fontId="124" fillId="34" borderId="0" xfId="0" applyNumberFormat="1" applyFont="1" applyFill="1" applyBorder="1" applyAlignment="1">
      <alignment horizontal="right"/>
    </xf>
    <xf numFmtId="164" fontId="125" fillId="34" borderId="0" xfId="0" applyNumberFormat="1" applyFont="1" applyFill="1" applyBorder="1" applyAlignment="1">
      <alignment horizontal="center" vertical="center"/>
    </xf>
    <xf numFmtId="1" fontId="13" fillId="0" borderId="0" xfId="0" applyNumberFormat="1" applyFont="1" applyBorder="1" applyAlignment="1">
      <alignment horizontal="left" wrapText="1"/>
    </xf>
    <xf numFmtId="1" fontId="13" fillId="0" borderId="0" xfId="0" applyNumberFormat="1" applyFont="1" applyBorder="1" applyAlignment="1">
      <alignment horizontal="center" wrapText="1"/>
    </xf>
    <xf numFmtId="1" fontId="13" fillId="0" borderId="0" xfId="0" applyNumberFormat="1" applyFont="1" applyBorder="1" applyAlignment="1">
      <alignment horizontal="right" wrapText="1"/>
    </xf>
    <xf numFmtId="1" fontId="13" fillId="0" borderId="0" xfId="0" applyNumberFormat="1" applyFont="1" applyBorder="1" applyAlignment="1">
      <alignment horizontal="center" vertical="center" wrapText="1"/>
    </xf>
    <xf numFmtId="0" fontId="17" fillId="34" borderId="0" xfId="0" applyFont="1" applyFill="1" applyBorder="1" applyAlignment="1">
      <alignment horizontal="left" vertical="center" wrapText="1"/>
    </xf>
    <xf numFmtId="0" fontId="13" fillId="0" borderId="0" xfId="0" applyFont="1" applyFill="1" applyBorder="1" applyAlignment="1">
      <alignment horizontal="left" vertical="center" wrapText="1"/>
    </xf>
    <xf numFmtId="0" fontId="13" fillId="34" borderId="0" xfId="0" applyFont="1" applyFill="1" applyBorder="1" applyAlignment="1">
      <alignment horizontal="left" vertical="center" wrapText="1"/>
    </xf>
    <xf numFmtId="0" fontId="17" fillId="0" borderId="0" xfId="0" applyFont="1" applyFill="1" applyBorder="1" applyAlignment="1">
      <alignment horizontal="left" wrapText="1"/>
    </xf>
    <xf numFmtId="0" fontId="8" fillId="0" borderId="0" xfId="0" applyFont="1" applyFill="1" applyBorder="1" applyAlignment="1">
      <alignment vertical="center"/>
    </xf>
    <xf numFmtId="168" fontId="13" fillId="0" borderId="0" xfId="0" applyNumberFormat="1" applyFont="1" applyFill="1" applyBorder="1" applyAlignment="1">
      <alignment horizontal="center" wrapText="1"/>
    </xf>
    <xf numFmtId="0" fontId="13" fillId="0" borderId="0" xfId="0" applyFont="1" applyFill="1" applyAlignment="1">
      <alignment horizontal="right"/>
    </xf>
    <xf numFmtId="170" fontId="13" fillId="34" borderId="0" xfId="136" applyNumberFormat="1" applyFont="1" applyFill="1" applyBorder="1" applyAlignment="1">
      <alignment horizontal="center"/>
    </xf>
    <xf numFmtId="2" fontId="43" fillId="0" borderId="0" xfId="0" applyNumberFormat="1" applyFont="1" applyFill="1" applyBorder="1" applyAlignment="1">
      <alignment horizontal="center" vertical="center" wrapText="1"/>
    </xf>
    <xf numFmtId="2" fontId="40" fillId="0" borderId="0" xfId="0" applyNumberFormat="1" applyFont="1" applyFill="1" applyAlignment="1">
      <alignment horizontal="center" vertical="center"/>
    </xf>
    <xf numFmtId="0" fontId="40" fillId="0" borderId="0" xfId="0" applyFont="1" applyFill="1" applyBorder="1" applyAlignment="1">
      <alignment horizontal="left" vertical="center" wrapText="1"/>
    </xf>
    <xf numFmtId="0" fontId="42" fillId="0" borderId="0" xfId="0" applyFont="1" applyFill="1"/>
    <xf numFmtId="1" fontId="50" fillId="34" borderId="0" xfId="0" applyNumberFormat="1" applyFont="1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 wrapText="1"/>
    </xf>
    <xf numFmtId="0" fontId="133" fillId="34" borderId="0" xfId="0" applyFont="1" applyFill="1" applyBorder="1" applyAlignment="1">
      <alignment horizontal="right" readingOrder="1"/>
    </xf>
    <xf numFmtId="0" fontId="133" fillId="0" borderId="0" xfId="0" applyFont="1" applyFill="1" applyBorder="1" applyAlignment="1">
      <alignment horizontal="right" readingOrder="1"/>
    </xf>
    <xf numFmtId="0" fontId="13" fillId="34" borderId="0" xfId="0" applyFont="1" applyFill="1" applyBorder="1" applyAlignment="1">
      <alignment horizontal="left" vertical="center" wrapText="1"/>
    </xf>
    <xf numFmtId="0" fontId="25" fillId="0" borderId="0" xfId="202" applyFont="1" applyAlignment="1"/>
    <xf numFmtId="0" fontId="86" fillId="0" borderId="0" xfId="0" applyFont="1" applyFill="1" applyBorder="1" applyAlignment="1">
      <alignment wrapText="1"/>
    </xf>
    <xf numFmtId="0" fontId="14" fillId="0" borderId="0" xfId="0" applyFont="1" applyBorder="1" applyAlignment="1">
      <alignment wrapText="1"/>
    </xf>
    <xf numFmtId="0" fontId="13" fillId="0" borderId="0" xfId="0" applyFont="1" applyFill="1" applyBorder="1" applyAlignment="1">
      <alignment horizontal="left" vertical="center" wrapText="1"/>
    </xf>
    <xf numFmtId="0" fontId="13" fillId="0" borderId="0" xfId="0" applyFont="1" applyBorder="1" applyAlignment="1">
      <alignment vertical="center"/>
    </xf>
    <xf numFmtId="164" fontId="125" fillId="34" borderId="0" xfId="0" applyNumberFormat="1" applyFont="1" applyFill="1" applyBorder="1" applyAlignment="1">
      <alignment horizontal="left" wrapText="1"/>
    </xf>
    <xf numFmtId="0" fontId="15" fillId="0" borderId="0" xfId="0" applyFont="1" applyBorder="1" applyAlignment="1">
      <alignment horizontal="left"/>
    </xf>
    <xf numFmtId="2" fontId="14" fillId="0" borderId="0" xfId="0" applyNumberFormat="1" applyFont="1" applyBorder="1" applyAlignment="1"/>
    <xf numFmtId="2" fontId="14" fillId="0" borderId="0" xfId="0" applyNumberFormat="1" applyFont="1" applyFill="1" applyBorder="1" applyAlignment="1"/>
    <xf numFmtId="2" fontId="14" fillId="0" borderId="0" xfId="0" applyNumberFormat="1" applyFont="1" applyBorder="1" applyAlignment="1">
      <alignment horizontal="left"/>
    </xf>
    <xf numFmtId="0" fontId="15" fillId="0" borderId="0" xfId="0" applyFont="1" applyBorder="1" applyAlignment="1">
      <alignment wrapText="1"/>
    </xf>
    <xf numFmtId="49" fontId="15" fillId="0" borderId="0" xfId="0" applyNumberFormat="1" applyFont="1" applyFill="1" applyBorder="1"/>
    <xf numFmtId="0" fontId="28" fillId="0" borderId="2" xfId="196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left" vertical="center" wrapText="1"/>
    </xf>
    <xf numFmtId="0" fontId="13" fillId="34" borderId="0" xfId="0" applyFont="1" applyFill="1" applyBorder="1" applyAlignment="1">
      <alignment horizontal="left" vertical="center" wrapText="1"/>
    </xf>
    <xf numFmtId="0" fontId="14" fillId="0" borderId="0" xfId="0" applyFont="1" applyBorder="1" applyAlignment="1">
      <alignment horizontal="left"/>
    </xf>
    <xf numFmtId="0" fontId="17" fillId="0" borderId="2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wrapText="1"/>
    </xf>
    <xf numFmtId="0" fontId="13" fillId="34" borderId="0" xfId="0" applyFont="1" applyFill="1" applyBorder="1" applyAlignment="1">
      <alignment horizontal="left" vertical="center" wrapText="1"/>
    </xf>
    <xf numFmtId="1" fontId="125" fillId="34" borderId="0" xfId="0" applyNumberFormat="1" applyFont="1" applyFill="1" applyBorder="1" applyAlignment="1">
      <alignment horizontal="center" vertical="center" wrapText="1"/>
    </xf>
    <xf numFmtId="0" fontId="125" fillId="0" borderId="0" xfId="0" applyFont="1" applyFill="1" applyBorder="1" applyAlignment="1">
      <alignment horizontal="center" vertical="center" wrapText="1"/>
    </xf>
    <xf numFmtId="2" fontId="23" fillId="0" borderId="0" xfId="0" applyNumberFormat="1" applyFont="1" applyFill="1" applyBorder="1" applyAlignment="1">
      <alignment vertical="center" wrapText="1"/>
    </xf>
    <xf numFmtId="0" fontId="15" fillId="0" borderId="0" xfId="0" applyFont="1" applyFill="1" applyBorder="1" applyAlignment="1">
      <alignment wrapText="1"/>
    </xf>
    <xf numFmtId="0" fontId="13" fillId="34" borderId="0" xfId="0" applyFont="1" applyFill="1" applyBorder="1" applyAlignment="1">
      <alignment horizontal="left" vertical="center" wrapText="1"/>
    </xf>
    <xf numFmtId="164" fontId="125" fillId="0" borderId="0" xfId="0" applyNumberFormat="1" applyFont="1" applyFill="1" applyBorder="1" applyAlignment="1">
      <alignment horizontal="left" wrapText="1"/>
    </xf>
    <xf numFmtId="0" fontId="116" fillId="34" borderId="21" xfId="0" applyFont="1" applyFill="1" applyBorder="1"/>
    <xf numFmtId="0" fontId="116" fillId="0" borderId="21" xfId="0" applyFont="1" applyFill="1" applyBorder="1"/>
    <xf numFmtId="0" fontId="13" fillId="34" borderId="0" xfId="0" applyFont="1" applyFill="1" applyBorder="1"/>
    <xf numFmtId="0" fontId="13" fillId="34" borderId="0" xfId="0" applyFont="1" applyFill="1" applyBorder="1" applyAlignment="1">
      <alignment horizontal="right"/>
    </xf>
    <xf numFmtId="166" fontId="15" fillId="0" borderId="0" xfId="0" applyNumberFormat="1" applyFont="1" applyBorder="1"/>
    <xf numFmtId="0" fontId="16" fillId="0" borderId="0" xfId="0" applyFont="1" applyFill="1" applyBorder="1" applyAlignment="1">
      <alignment vertical="center" wrapText="1"/>
    </xf>
    <xf numFmtId="0" fontId="30" fillId="0" borderId="0" xfId="0" applyFont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 wrapText="1"/>
    </xf>
    <xf numFmtId="1" fontId="16" fillId="0" borderId="0" xfId="0" applyNumberFormat="1" applyFont="1" applyFill="1" applyBorder="1" applyAlignment="1">
      <alignment horizontal="center" vertical="center" wrapText="1"/>
    </xf>
    <xf numFmtId="2" fontId="147" fillId="0" borderId="0" xfId="0" applyNumberFormat="1" applyFont="1" applyBorder="1" applyAlignment="1">
      <alignment wrapText="1"/>
    </xf>
    <xf numFmtId="0" fontId="148" fillId="0" borderId="0" xfId="0" applyFont="1" applyBorder="1" applyAlignment="1">
      <alignment wrapText="1"/>
    </xf>
    <xf numFmtId="0" fontId="149" fillId="0" borderId="0" xfId="0" applyFont="1"/>
    <xf numFmtId="0" fontId="150" fillId="0" borderId="0" xfId="0" applyFont="1" applyAlignment="1">
      <alignment horizontal="left" wrapText="1"/>
    </xf>
    <xf numFmtId="0" fontId="150" fillId="0" borderId="0" xfId="0" applyFont="1" applyAlignment="1">
      <alignment horizontal="center" wrapText="1"/>
    </xf>
    <xf numFmtId="0" fontId="151" fillId="0" borderId="0" xfId="0" applyFont="1"/>
    <xf numFmtId="0" fontId="152" fillId="0" borderId="0" xfId="0" applyFont="1"/>
    <xf numFmtId="0" fontId="153" fillId="0" borderId="0" xfId="0" applyFont="1" applyBorder="1" applyAlignment="1">
      <alignment horizontal="center" wrapText="1"/>
    </xf>
    <xf numFmtId="0" fontId="153" fillId="0" borderId="0" xfId="0" applyFont="1" applyBorder="1" applyAlignment="1">
      <alignment wrapText="1"/>
    </xf>
    <xf numFmtId="0" fontId="151" fillId="0" borderId="1" xfId="0" applyFont="1" applyBorder="1" applyAlignment="1">
      <alignment wrapText="1"/>
    </xf>
    <xf numFmtId="0" fontId="151" fillId="0" borderId="1" xfId="0" applyFont="1" applyBorder="1" applyAlignment="1">
      <alignment horizontal="right" wrapText="1"/>
    </xf>
    <xf numFmtId="0" fontId="151" fillId="0" borderId="0" xfId="0" applyFont="1" applyBorder="1" applyAlignment="1">
      <alignment horizontal="left" wrapText="1"/>
    </xf>
    <xf numFmtId="0" fontId="151" fillId="0" borderId="0" xfId="0" applyFont="1" applyBorder="1" applyAlignment="1">
      <alignment horizontal="right" wrapText="1"/>
    </xf>
    <xf numFmtId="0" fontId="154" fillId="0" borderId="0" xfId="0" applyFont="1" applyAlignment="1">
      <alignment vertical="center"/>
    </xf>
    <xf numFmtId="0" fontId="151" fillId="0" borderId="0" xfId="0" applyFont="1" applyFill="1" applyAlignment="1">
      <alignment vertical="center"/>
    </xf>
    <xf numFmtId="0" fontId="151" fillId="0" borderId="0" xfId="0" applyFont="1" applyAlignment="1">
      <alignment vertical="center"/>
    </xf>
    <xf numFmtId="0" fontId="151" fillId="0" borderId="0" xfId="0" applyFont="1" applyAlignment="1">
      <alignment horizontal="left"/>
    </xf>
    <xf numFmtId="0" fontId="155" fillId="0" borderId="0" xfId="0" applyFont="1" applyAlignment="1">
      <alignment horizontal="right"/>
    </xf>
    <xf numFmtId="0" fontId="151" fillId="0" borderId="0" xfId="0" applyFont="1" applyBorder="1"/>
    <xf numFmtId="2" fontId="156" fillId="0" borderId="0" xfId="0" applyNumberFormat="1" applyFont="1" applyBorder="1"/>
    <xf numFmtId="2" fontId="34" fillId="0" borderId="0" xfId="0" applyNumberFormat="1" applyFont="1" applyBorder="1"/>
    <xf numFmtId="0" fontId="156" fillId="0" borderId="0" xfId="0" applyFont="1" applyBorder="1"/>
    <xf numFmtId="0" fontId="16" fillId="0" borderId="2" xfId="0" applyFont="1" applyBorder="1" applyAlignment="1">
      <alignment horizontal="center" vertical="center" wrapText="1"/>
    </xf>
    <xf numFmtId="0" fontId="15" fillId="0" borderId="2" xfId="0" applyFont="1" applyFill="1" applyBorder="1" applyAlignment="1">
      <alignment horizontal="center" vertical="center" wrapText="1"/>
    </xf>
    <xf numFmtId="0" fontId="30" fillId="0" borderId="2" xfId="0" applyFont="1" applyFill="1" applyBorder="1" applyAlignment="1">
      <alignment horizontal="center" vertical="center" wrapText="1"/>
    </xf>
    <xf numFmtId="0" fontId="16" fillId="0" borderId="2" xfId="0" applyFont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left" vertical="center" wrapText="1"/>
    </xf>
    <xf numFmtId="0" fontId="163" fillId="2" borderId="0" xfId="0" applyFont="1" applyFill="1" applyBorder="1"/>
    <xf numFmtId="0" fontId="165" fillId="0" borderId="0" xfId="0" applyFont="1" applyBorder="1" applyAlignment="1">
      <alignment horizontal="center" wrapText="1"/>
    </xf>
    <xf numFmtId="0" fontId="165" fillId="0" borderId="17" xfId="0" applyFont="1" applyBorder="1" applyAlignment="1">
      <alignment wrapText="1"/>
    </xf>
    <xf numFmtId="0" fontId="164" fillId="0" borderId="0" xfId="0" applyFont="1" applyBorder="1" applyAlignment="1">
      <alignment wrapText="1"/>
    </xf>
    <xf numFmtId="0" fontId="163" fillId="2" borderId="12" xfId="0" applyFont="1" applyFill="1" applyBorder="1"/>
    <xf numFmtId="0" fontId="165" fillId="0" borderId="16" xfId="0" applyFont="1" applyBorder="1" applyAlignment="1">
      <alignment vertical="top" wrapText="1"/>
    </xf>
    <xf numFmtId="0" fontId="164" fillId="0" borderId="0" xfId="0" applyFont="1" applyBorder="1"/>
    <xf numFmtId="0" fontId="164" fillId="2" borderId="16" xfId="0" applyFont="1" applyFill="1" applyBorder="1"/>
    <xf numFmtId="0" fontId="164" fillId="2" borderId="0" xfId="0" applyFont="1" applyFill="1" applyBorder="1"/>
    <xf numFmtId="0" fontId="164" fillId="2" borderId="17" xfId="0" applyFont="1" applyFill="1" applyBorder="1"/>
    <xf numFmtId="0" fontId="164" fillId="0" borderId="16" xfId="0" applyFont="1" applyBorder="1" applyAlignment="1">
      <alignment wrapText="1"/>
    </xf>
    <xf numFmtId="0" fontId="164" fillId="2" borderId="0" xfId="0" applyFont="1" applyFill="1"/>
    <xf numFmtId="0" fontId="164" fillId="2" borderId="18" xfId="0" applyFont="1" applyFill="1" applyBorder="1"/>
    <xf numFmtId="0" fontId="164" fillId="2" borderId="12" xfId="0" applyFont="1" applyFill="1" applyBorder="1"/>
    <xf numFmtId="0" fontId="164" fillId="2" borderId="19" xfId="0" applyFont="1" applyFill="1" applyBorder="1"/>
    <xf numFmtId="0" fontId="167" fillId="0" borderId="16" xfId="0" applyFont="1" applyFill="1" applyBorder="1"/>
    <xf numFmtId="0" fontId="74" fillId="0" borderId="0" xfId="0" applyFont="1" applyFill="1" applyBorder="1"/>
    <xf numFmtId="0" fontId="74" fillId="0" borderId="17" xfId="0" applyFont="1" applyFill="1" applyBorder="1"/>
    <xf numFmtId="0" fontId="167" fillId="2" borderId="16" xfId="0" applyFont="1" applyFill="1" applyBorder="1"/>
    <xf numFmtId="0" fontId="74" fillId="2" borderId="0" xfId="0" applyFont="1" applyFill="1" applyBorder="1"/>
    <xf numFmtId="0" fontId="74" fillId="2" borderId="17" xfId="0" applyFont="1" applyFill="1" applyBorder="1"/>
    <xf numFmtId="0" fontId="168" fillId="2" borderId="0" xfId="0" applyFont="1" applyFill="1" applyBorder="1"/>
    <xf numFmtId="0" fontId="169" fillId="0" borderId="0" xfId="0" applyFont="1" applyBorder="1" applyAlignment="1">
      <alignment horizontal="center"/>
    </xf>
    <xf numFmtId="0" fontId="162" fillId="0" borderId="0" xfId="0" applyFont="1" applyBorder="1" applyAlignment="1">
      <alignment horizontal="center"/>
    </xf>
    <xf numFmtId="0" fontId="172" fillId="0" borderId="13" xfId="0" applyFont="1" applyFill="1" applyBorder="1"/>
    <xf numFmtId="0" fontId="172" fillId="0" borderId="14" xfId="0" applyFont="1" applyFill="1" applyBorder="1"/>
    <xf numFmtId="0" fontId="172" fillId="0" borderId="15" xfId="0" applyFont="1" applyFill="1" applyBorder="1"/>
    <xf numFmtId="0" fontId="173" fillId="0" borderId="16" xfId="0" applyFont="1" applyFill="1" applyBorder="1"/>
    <xf numFmtId="0" fontId="173" fillId="0" borderId="0" xfId="0" applyFont="1" applyFill="1" applyBorder="1" applyAlignment="1">
      <alignment horizontal="center" vertical="center"/>
    </xf>
    <xf numFmtId="0" fontId="173" fillId="0" borderId="0" xfId="0" applyFont="1" applyFill="1" applyBorder="1"/>
    <xf numFmtId="0" fontId="173" fillId="0" borderId="17" xfId="0" applyFont="1" applyFill="1" applyBorder="1"/>
    <xf numFmtId="0" fontId="173" fillId="2" borderId="16" xfId="0" applyFont="1" applyFill="1" applyBorder="1"/>
    <xf numFmtId="0" fontId="173" fillId="2" borderId="0" xfId="0" applyFont="1" applyFill="1" applyBorder="1"/>
    <xf numFmtId="0" fontId="173" fillId="2" borderId="17" xfId="0" applyFont="1" applyFill="1" applyBorder="1"/>
    <xf numFmtId="0" fontId="172" fillId="2" borderId="16" xfId="0" applyFont="1" applyFill="1" applyBorder="1"/>
    <xf numFmtId="0" fontId="172" fillId="2" borderId="0" xfId="0" applyFont="1" applyFill="1" applyBorder="1"/>
    <xf numFmtId="0" fontId="172" fillId="2" borderId="17" xfId="0" applyFont="1" applyFill="1" applyBorder="1"/>
    <xf numFmtId="0" fontId="13" fillId="0" borderId="0" xfId="0" applyFont="1" applyFill="1" applyBorder="1" applyAlignment="1">
      <alignment horizontal="left" vertical="center" wrapText="1"/>
    </xf>
    <xf numFmtId="0" fontId="40" fillId="0" borderId="3" xfId="0" applyFont="1" applyFill="1" applyBorder="1" applyAlignment="1">
      <alignment horizontal="center" vertical="center" wrapText="1"/>
    </xf>
    <xf numFmtId="0" fontId="40" fillId="0" borderId="2" xfId="0" applyFont="1" applyFill="1" applyBorder="1" applyAlignment="1">
      <alignment horizontal="center" vertical="center" wrapText="1"/>
    </xf>
    <xf numFmtId="2" fontId="17" fillId="0" borderId="0" xfId="0" applyNumberFormat="1" applyFont="1" applyFill="1" applyBorder="1" applyAlignment="1">
      <alignment horizontal="center" vertical="center"/>
    </xf>
    <xf numFmtId="2" fontId="23" fillId="0" borderId="0" xfId="196" applyNumberFormat="1" applyFont="1" applyFill="1" applyBorder="1" applyAlignment="1">
      <alignment horizontal="center" vertical="center"/>
    </xf>
    <xf numFmtId="2" fontId="17" fillId="0" borderId="0" xfId="0" applyNumberFormat="1" applyFont="1" applyFill="1" applyAlignment="1">
      <alignment horizontal="center" vertical="center"/>
    </xf>
    <xf numFmtId="2" fontId="40" fillId="0" borderId="0" xfId="0" applyNumberFormat="1" applyFont="1" applyBorder="1" applyAlignment="1">
      <alignment horizontal="center" wrapText="1"/>
    </xf>
    <xf numFmtId="2" fontId="40" fillId="34" borderId="0" xfId="0" applyNumberFormat="1" applyFont="1" applyFill="1" applyBorder="1" applyAlignment="1">
      <alignment horizontal="center" wrapText="1"/>
    </xf>
    <xf numFmtId="2" fontId="14" fillId="0" borderId="0" xfId="0" applyNumberFormat="1" applyFont="1" applyBorder="1" applyAlignment="1">
      <alignment horizontal="center" wrapText="1"/>
    </xf>
    <xf numFmtId="2" fontId="14" fillId="34" borderId="0" xfId="0" applyNumberFormat="1" applyFont="1" applyFill="1" applyBorder="1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40" fillId="34" borderId="0" xfId="0" applyFont="1" applyFill="1" applyBorder="1" applyAlignment="1">
      <alignment horizontal="center" wrapText="1"/>
    </xf>
    <xf numFmtId="2" fontId="14" fillId="34" borderId="0" xfId="0" applyNumberFormat="1" applyFont="1" applyFill="1" applyBorder="1" applyAlignment="1">
      <alignment horizontal="center"/>
    </xf>
    <xf numFmtId="2" fontId="14" fillId="0" borderId="12" xfId="0" applyNumberFormat="1" applyFont="1" applyFill="1" applyBorder="1" applyAlignment="1">
      <alignment horizontal="center" vertical="center" wrapText="1"/>
    </xf>
    <xf numFmtId="0" fontId="86" fillId="0" borderId="0" xfId="0" applyFont="1" applyBorder="1" applyAlignment="1">
      <alignment horizontal="left" wrapText="1"/>
    </xf>
    <xf numFmtId="0" fontId="30" fillId="0" borderId="2" xfId="0" applyFont="1" applyFill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 wrapText="1"/>
    </xf>
    <xf numFmtId="0" fontId="23" fillId="0" borderId="0" xfId="0" applyFont="1" applyFill="1" applyBorder="1" applyAlignment="1">
      <alignment vertical="top"/>
    </xf>
    <xf numFmtId="49" fontId="35" fillId="0" borderId="0" xfId="0" applyNumberFormat="1" applyFont="1" applyAlignment="1">
      <alignment vertical="center"/>
    </xf>
    <xf numFmtId="0" fontId="30" fillId="0" borderId="2" xfId="0" applyFont="1" applyBorder="1" applyAlignment="1">
      <alignment horizontal="center" vertical="center" wrapText="1"/>
    </xf>
    <xf numFmtId="0" fontId="14" fillId="0" borderId="0" xfId="0" applyFont="1" applyBorder="1" applyAlignment="1">
      <alignment vertical="justify" wrapText="1"/>
    </xf>
    <xf numFmtId="0" fontId="29" fillId="0" borderId="2" xfId="0" applyFont="1" applyFill="1" applyBorder="1" applyAlignment="1">
      <alignment horizontal="center" vertical="center" wrapText="1"/>
    </xf>
    <xf numFmtId="0" fontId="53" fillId="0" borderId="5" xfId="0" applyFont="1" applyFill="1" applyBorder="1" applyAlignment="1">
      <alignment horizontal="center" vertical="center" wrapText="1"/>
    </xf>
    <xf numFmtId="0" fontId="30" fillId="0" borderId="2" xfId="0" applyFont="1" applyFill="1" applyBorder="1" applyAlignment="1">
      <alignment horizontal="center" vertical="top" wrapText="1"/>
    </xf>
    <xf numFmtId="0" fontId="30" fillId="0" borderId="2" xfId="0" applyFont="1" applyFill="1" applyBorder="1" applyAlignment="1">
      <alignment horizontal="center" vertical="center" wrapText="1"/>
    </xf>
    <xf numFmtId="0" fontId="15" fillId="0" borderId="2" xfId="0" applyFont="1" applyFill="1" applyBorder="1" applyAlignment="1">
      <alignment horizontal="center" vertical="center" wrapText="1"/>
    </xf>
    <xf numFmtId="0" fontId="35" fillId="0" borderId="0" xfId="0" applyFont="1" applyBorder="1" applyAlignment="1"/>
    <xf numFmtId="0" fontId="13" fillId="34" borderId="0" xfId="0" applyFont="1" applyFill="1" applyBorder="1" applyAlignment="1">
      <alignment horizontal="left" vertical="center" wrapText="1"/>
    </xf>
    <xf numFmtId="0" fontId="19" fillId="0" borderId="0" xfId="0" applyFont="1" applyBorder="1" applyAlignment="1"/>
    <xf numFmtId="0" fontId="116" fillId="0" borderId="11" xfId="0" applyFont="1" applyFill="1" applyBorder="1" applyAlignment="1">
      <alignment horizontal="right" vertical="center" readingOrder="1"/>
    </xf>
    <xf numFmtId="1" fontId="134" fillId="0" borderId="8" xfId="0" applyNumberFormat="1" applyFont="1" applyFill="1" applyBorder="1" applyAlignment="1">
      <alignment horizontal="center" vertical="center"/>
    </xf>
    <xf numFmtId="0" fontId="174" fillId="0" borderId="0" xfId="0" applyFont="1" applyBorder="1" applyAlignment="1">
      <alignment wrapText="1"/>
    </xf>
    <xf numFmtId="0" fontId="174" fillId="0" borderId="0" xfId="0" applyFont="1" applyBorder="1" applyAlignment="1">
      <alignment horizontal="right" wrapText="1"/>
    </xf>
    <xf numFmtId="0" fontId="175" fillId="0" borderId="0" xfId="0" applyFont="1"/>
    <xf numFmtId="0" fontId="176" fillId="0" borderId="0" xfId="0" applyFont="1" applyFill="1" applyAlignment="1">
      <alignment horizontal="center" vertical="center"/>
    </xf>
    <xf numFmtId="0" fontId="180" fillId="34" borderId="0" xfId="0" applyFont="1" applyFill="1" applyBorder="1" applyAlignment="1">
      <alignment horizontal="left" vertical="center" wrapText="1"/>
    </xf>
    <xf numFmtId="1" fontId="180" fillId="34" borderId="0" xfId="0" applyNumberFormat="1" applyFont="1" applyFill="1" applyBorder="1" applyAlignment="1">
      <alignment horizontal="center" wrapText="1"/>
    </xf>
    <xf numFmtId="2" fontId="180" fillId="34" borderId="0" xfId="0" applyNumberFormat="1" applyFont="1" applyFill="1" applyBorder="1" applyAlignment="1">
      <alignment horizontal="center" wrapText="1"/>
    </xf>
    <xf numFmtId="0" fontId="180" fillId="34" borderId="0" xfId="0" applyFont="1" applyFill="1" applyBorder="1" applyAlignment="1">
      <alignment horizontal="right" wrapText="1"/>
    </xf>
    <xf numFmtId="0" fontId="180" fillId="0" borderId="0" xfId="0" applyFont="1"/>
    <xf numFmtId="0" fontId="180" fillId="0" borderId="0" xfId="0" applyFont="1" applyBorder="1" applyAlignment="1">
      <alignment horizontal="left" vertical="center" wrapText="1"/>
    </xf>
    <xf numFmtId="1" fontId="180" fillId="0" borderId="0" xfId="0" applyNumberFormat="1" applyFont="1" applyBorder="1" applyAlignment="1">
      <alignment horizontal="center" wrapText="1"/>
    </xf>
    <xf numFmtId="2" fontId="180" fillId="0" borderId="0" xfId="0" applyNumberFormat="1" applyFont="1" applyBorder="1" applyAlignment="1">
      <alignment horizontal="center" wrapText="1"/>
    </xf>
    <xf numFmtId="0" fontId="180" fillId="0" borderId="0" xfId="0" applyFont="1" applyBorder="1" applyAlignment="1">
      <alignment horizontal="right" wrapText="1"/>
    </xf>
    <xf numFmtId="0" fontId="180" fillId="0" borderId="0" xfId="0" applyFont="1" applyFill="1" applyBorder="1" applyAlignment="1">
      <alignment horizontal="left" vertical="center" wrapText="1"/>
    </xf>
    <xf numFmtId="1" fontId="180" fillId="0" borderId="0" xfId="0" applyNumberFormat="1" applyFont="1" applyFill="1" applyBorder="1" applyAlignment="1">
      <alignment horizontal="center" wrapText="1"/>
    </xf>
    <xf numFmtId="2" fontId="180" fillId="0" borderId="0" xfId="0" applyNumberFormat="1" applyFont="1" applyFill="1" applyBorder="1" applyAlignment="1">
      <alignment horizontal="center" wrapText="1"/>
    </xf>
    <xf numFmtId="0" fontId="180" fillId="0" borderId="0" xfId="0" applyFont="1" applyFill="1" applyBorder="1" applyAlignment="1">
      <alignment horizontal="right" wrapText="1"/>
    </xf>
    <xf numFmtId="0" fontId="180" fillId="0" borderId="0" xfId="0" applyFont="1" applyFill="1"/>
    <xf numFmtId="0" fontId="180" fillId="34" borderId="0" xfId="0" applyFont="1" applyFill="1" applyBorder="1" applyAlignment="1">
      <alignment horizontal="left" wrapText="1"/>
    </xf>
    <xf numFmtId="0" fontId="180" fillId="0" borderId="0" xfId="0" applyFont="1" applyBorder="1" applyAlignment="1">
      <alignment horizontal="right" vertical="center" wrapText="1"/>
    </xf>
    <xf numFmtId="0" fontId="180" fillId="0" borderId="0" xfId="0" applyFont="1" applyBorder="1" applyAlignment="1">
      <alignment horizontal="center" vertical="center"/>
    </xf>
    <xf numFmtId="0" fontId="181" fillId="34" borderId="0" xfId="0" applyFont="1" applyFill="1" applyBorder="1" applyAlignment="1">
      <alignment horizontal="left" vertical="center" wrapText="1"/>
    </xf>
    <xf numFmtId="0" fontId="181" fillId="34" borderId="0" xfId="0" applyFont="1" applyFill="1" applyBorder="1" applyAlignment="1">
      <alignment horizontal="right" vertical="center" wrapText="1"/>
    </xf>
    <xf numFmtId="0" fontId="181" fillId="35" borderId="0" xfId="0" applyFont="1" applyFill="1" applyBorder="1" applyAlignment="1">
      <alignment horizontal="left" vertical="center" wrapText="1"/>
    </xf>
    <xf numFmtId="2" fontId="181" fillId="0" borderId="0" xfId="0" applyNumberFormat="1" applyFont="1" applyFill="1" applyBorder="1" applyAlignment="1">
      <alignment horizontal="center" vertical="center" wrapText="1"/>
    </xf>
    <xf numFmtId="1" fontId="181" fillId="0" borderId="0" xfId="0" applyNumberFormat="1" applyFont="1" applyFill="1" applyBorder="1" applyAlignment="1">
      <alignment horizontal="center" vertical="center" wrapText="1"/>
    </xf>
    <xf numFmtId="0" fontId="180" fillId="34" borderId="0" xfId="0" applyFont="1" applyFill="1" applyBorder="1" applyAlignment="1">
      <alignment horizontal="center" vertical="center" wrapText="1"/>
    </xf>
    <xf numFmtId="2" fontId="180" fillId="34" borderId="0" xfId="0" applyNumberFormat="1" applyFont="1" applyFill="1" applyBorder="1" applyAlignment="1">
      <alignment horizontal="center" vertical="center" wrapText="1"/>
    </xf>
    <xf numFmtId="0" fontId="180" fillId="34" borderId="0" xfId="0" applyFont="1" applyFill="1" applyBorder="1" applyAlignment="1">
      <alignment horizontal="right" vertical="center" wrapText="1"/>
    </xf>
    <xf numFmtId="0" fontId="180" fillId="0" borderId="0" xfId="0" applyFont="1" applyFill="1" applyBorder="1" applyAlignment="1">
      <alignment horizontal="center" vertical="center" wrapText="1"/>
    </xf>
    <xf numFmtId="2" fontId="180" fillId="0" borderId="0" xfId="0" applyNumberFormat="1" applyFont="1" applyFill="1" applyBorder="1" applyAlignment="1">
      <alignment horizontal="center" vertical="center" wrapText="1"/>
    </xf>
    <xf numFmtId="0" fontId="180" fillId="0" borderId="0" xfId="0" applyFont="1" applyFill="1" applyBorder="1" applyAlignment="1">
      <alignment horizontal="right" vertical="center" wrapText="1"/>
    </xf>
    <xf numFmtId="0" fontId="180" fillId="0" borderId="0" xfId="0" applyFont="1" applyBorder="1" applyAlignment="1">
      <alignment horizontal="center"/>
    </xf>
    <xf numFmtId="0" fontId="181" fillId="34" borderId="0" xfId="0" applyFont="1" applyFill="1" applyBorder="1" applyAlignment="1">
      <alignment horizontal="center" vertical="center" wrapText="1"/>
    </xf>
    <xf numFmtId="2" fontId="181" fillId="34" borderId="0" xfId="0" applyNumberFormat="1" applyFont="1" applyFill="1" applyBorder="1" applyAlignment="1">
      <alignment horizontal="center" vertical="center" wrapText="1"/>
    </xf>
    <xf numFmtId="1" fontId="181" fillId="34" borderId="0" xfId="0" applyNumberFormat="1" applyFont="1" applyFill="1" applyBorder="1" applyAlignment="1">
      <alignment horizontal="center" vertical="center" wrapText="1"/>
    </xf>
    <xf numFmtId="4" fontId="180" fillId="34" borderId="0" xfId="0" applyNumberFormat="1" applyFont="1" applyFill="1" applyBorder="1" applyAlignment="1">
      <alignment horizontal="center" vertical="center" wrapText="1"/>
    </xf>
    <xf numFmtId="4" fontId="180" fillId="0" borderId="0" xfId="0" applyNumberFormat="1" applyFont="1" applyFill="1" applyBorder="1" applyAlignment="1">
      <alignment horizontal="center" vertical="center" wrapText="1"/>
    </xf>
    <xf numFmtId="0" fontId="181" fillId="35" borderId="0" xfId="0" applyFont="1" applyFill="1" applyBorder="1" applyAlignment="1">
      <alignment horizontal="right" vertical="center" wrapText="1"/>
    </xf>
    <xf numFmtId="0" fontId="180" fillId="0" borderId="0" xfId="0" applyFont="1" applyFill="1" applyBorder="1" applyAlignment="1">
      <alignment horizontal="center"/>
    </xf>
    <xf numFmtId="0" fontId="181" fillId="0" borderId="0" xfId="0" applyFont="1" applyBorder="1" applyAlignment="1">
      <alignment wrapText="1"/>
    </xf>
    <xf numFmtId="0" fontId="183" fillId="0" borderId="0" xfId="0" applyFont="1" applyBorder="1" applyAlignment="1">
      <alignment wrapText="1"/>
    </xf>
    <xf numFmtId="0" fontId="183" fillId="0" borderId="0" xfId="0" applyFont="1"/>
    <xf numFmtId="0" fontId="183" fillId="0" borderId="0" xfId="0" applyFont="1" applyBorder="1"/>
    <xf numFmtId="49" fontId="183" fillId="0" borderId="0" xfId="0" applyNumberFormat="1" applyFont="1" applyBorder="1" applyAlignment="1">
      <alignment wrapText="1"/>
    </xf>
    <xf numFmtId="49" fontId="183" fillId="0" borderId="0" xfId="0" applyNumberFormat="1" applyFont="1"/>
    <xf numFmtId="0" fontId="176" fillId="0" borderId="0" xfId="0" applyFont="1"/>
    <xf numFmtId="0" fontId="15" fillId="34" borderId="0" xfId="0" applyFont="1" applyFill="1"/>
    <xf numFmtId="0" fontId="15" fillId="34" borderId="0" xfId="0" applyFont="1" applyFill="1" applyAlignment="1">
      <alignment horizontal="right"/>
    </xf>
    <xf numFmtId="0" fontId="30" fillId="0" borderId="5" xfId="0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left" vertical="center" wrapText="1"/>
    </xf>
    <xf numFmtId="0" fontId="13" fillId="34" borderId="0" xfId="0" applyFont="1" applyFill="1" applyBorder="1" applyAlignment="1">
      <alignment horizontal="left" vertical="center" wrapText="1"/>
    </xf>
    <xf numFmtId="0" fontId="130" fillId="0" borderId="0" xfId="232" applyFont="1" applyBorder="1"/>
    <xf numFmtId="0" fontId="130" fillId="0" borderId="0" xfId="232" applyFont="1"/>
    <xf numFmtId="0" fontId="184" fillId="0" borderId="0" xfId="0" applyFont="1" applyBorder="1" applyAlignment="1">
      <alignment wrapText="1"/>
    </xf>
    <xf numFmtId="0" fontId="185" fillId="0" borderId="0" xfId="0" applyFont="1"/>
    <xf numFmtId="0" fontId="186" fillId="0" borderId="0" xfId="0" applyFont="1" applyAlignment="1">
      <alignment horizontal="left"/>
    </xf>
    <xf numFmtId="0" fontId="129" fillId="0" borderId="2" xfId="0" applyFont="1" applyBorder="1" applyAlignment="1">
      <alignment horizontal="center" vertical="top" wrapText="1"/>
    </xf>
    <xf numFmtId="0" fontId="185" fillId="0" borderId="0" xfId="0" applyFont="1" applyBorder="1"/>
    <xf numFmtId="0" fontId="130" fillId="34" borderId="0" xfId="0" applyFont="1" applyFill="1" applyBorder="1"/>
    <xf numFmtId="0" fontId="130" fillId="34" borderId="0" xfId="0" applyFont="1" applyFill="1" applyBorder="1" applyAlignment="1">
      <alignment horizontal="center"/>
    </xf>
    <xf numFmtId="0" fontId="130" fillId="0" borderId="0" xfId="0" applyFont="1" applyFill="1" applyBorder="1"/>
    <xf numFmtId="0" fontId="130" fillId="0" borderId="0" xfId="0" applyFont="1" applyFill="1" applyBorder="1" applyAlignment="1">
      <alignment horizontal="center"/>
    </xf>
    <xf numFmtId="0" fontId="185" fillId="0" borderId="0" xfId="0" applyFont="1" applyFill="1"/>
    <xf numFmtId="0" fontId="187" fillId="0" borderId="0" xfId="0" applyFont="1" applyBorder="1" applyAlignment="1">
      <alignment wrapText="1"/>
    </xf>
    <xf numFmtId="0" fontId="50" fillId="0" borderId="0" xfId="0" applyFont="1" applyAlignment="1"/>
    <xf numFmtId="0" fontId="188" fillId="0" borderId="0" xfId="232" applyFont="1" applyAlignment="1"/>
    <xf numFmtId="0" fontId="129" fillId="0" borderId="2" xfId="0" applyFont="1" applyBorder="1" applyAlignment="1">
      <alignment horizontal="center" vertical="center" wrapText="1"/>
    </xf>
    <xf numFmtId="0" fontId="129" fillId="0" borderId="2" xfId="0" applyFont="1" applyBorder="1" applyAlignment="1">
      <alignment horizontal="center" vertical="center"/>
    </xf>
    <xf numFmtId="0" fontId="188" fillId="0" borderId="0" xfId="0" applyFont="1"/>
    <xf numFmtId="0" fontId="188" fillId="0" borderId="0" xfId="232" applyFont="1"/>
    <xf numFmtId="0" fontId="15" fillId="34" borderId="0" xfId="0" applyFont="1" applyFill="1" applyBorder="1" applyAlignment="1">
      <alignment horizontal="right" vertical="center" wrapText="1"/>
    </xf>
    <xf numFmtId="1" fontId="15" fillId="34" borderId="0" xfId="0" applyNumberFormat="1" applyFont="1" applyFill="1" applyBorder="1" applyAlignment="1">
      <alignment horizontal="center" wrapText="1"/>
    </xf>
    <xf numFmtId="0" fontId="181" fillId="0" borderId="0" xfId="0" applyFont="1" applyFill="1" applyBorder="1" applyAlignment="1">
      <alignment horizontal="center" vertical="center" wrapText="1"/>
    </xf>
    <xf numFmtId="0" fontId="129" fillId="0" borderId="2" xfId="0" applyFont="1" applyBorder="1" applyAlignment="1">
      <alignment horizontal="center" vertical="top" wrapText="1"/>
    </xf>
    <xf numFmtId="0" fontId="129" fillId="0" borderId="6" xfId="0" applyFont="1" applyBorder="1" applyAlignment="1">
      <alignment horizontal="center" vertical="center"/>
    </xf>
    <xf numFmtId="0" fontId="129" fillId="0" borderId="6" xfId="0" applyFont="1" applyBorder="1" applyAlignment="1">
      <alignment horizontal="center" vertical="top" wrapText="1"/>
    </xf>
    <xf numFmtId="0" fontId="129" fillId="0" borderId="2" xfId="0" applyFont="1" applyBorder="1" applyAlignment="1">
      <alignment horizontal="center" vertical="top" wrapText="1"/>
    </xf>
    <xf numFmtId="0" fontId="13" fillId="34" borderId="0" xfId="0" applyFont="1" applyFill="1" applyBorder="1" applyAlignment="1">
      <alignment horizontal="left" vertical="center" wrapText="1"/>
    </xf>
    <xf numFmtId="0" fontId="116" fillId="0" borderId="0" xfId="0" applyFont="1"/>
    <xf numFmtId="0" fontId="130" fillId="0" borderId="0" xfId="0" applyFont="1"/>
    <xf numFmtId="2" fontId="25" fillId="34" borderId="0" xfId="0" applyNumberFormat="1" applyFont="1" applyFill="1" applyBorder="1" applyAlignment="1">
      <alignment horizontal="center" wrapText="1"/>
    </xf>
    <xf numFmtId="2" fontId="40" fillId="0" borderId="12" xfId="0" applyNumberFormat="1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left" vertical="center" wrapText="1"/>
    </xf>
    <xf numFmtId="0" fontId="126" fillId="34" borderId="0" xfId="0" applyFont="1" applyFill="1" applyBorder="1"/>
    <xf numFmtId="2" fontId="40" fillId="0" borderId="0" xfId="0" applyNumberFormat="1" applyFont="1" applyBorder="1" applyAlignment="1">
      <alignment horizontal="center"/>
    </xf>
    <xf numFmtId="2" fontId="40" fillId="34" borderId="0" xfId="0" applyNumberFormat="1" applyFont="1" applyFill="1" applyBorder="1" applyAlignment="1">
      <alignment horizontal="center" vertical="center" wrapText="1"/>
    </xf>
    <xf numFmtId="0" fontId="40" fillId="0" borderId="2" xfId="0" applyFont="1" applyFill="1" applyBorder="1" applyAlignment="1">
      <alignment horizontal="center" vertical="center" wrapText="1"/>
    </xf>
    <xf numFmtId="2" fontId="25" fillId="0" borderId="0" xfId="0" applyNumberFormat="1" applyFont="1" applyBorder="1" applyAlignment="1">
      <alignment horizontal="center" wrapText="1"/>
    </xf>
    <xf numFmtId="0" fontId="15" fillId="0" borderId="0" xfId="0" applyFont="1" applyFill="1" applyBorder="1" applyAlignment="1">
      <alignment horizontal="right" vertical="center" wrapText="1"/>
    </xf>
    <xf numFmtId="0" fontId="13" fillId="34" borderId="0" xfId="0" applyFont="1" applyFill="1" applyBorder="1" applyAlignment="1">
      <alignment horizontal="left" vertical="center" wrapText="1"/>
    </xf>
    <xf numFmtId="0" fontId="185" fillId="0" borderId="0" xfId="0" applyFont="1" applyFill="1" applyBorder="1"/>
    <xf numFmtId="0" fontId="14" fillId="0" borderId="12" xfId="0" applyFont="1" applyFill="1" applyBorder="1" applyAlignment="1">
      <alignment horizontal="center" vertical="center" wrapText="1"/>
    </xf>
    <xf numFmtId="0" fontId="17" fillId="34" borderId="0" xfId="0" applyFont="1" applyFill="1" applyBorder="1" applyAlignment="1">
      <alignment horizontal="left" vertical="center" wrapText="1"/>
    </xf>
    <xf numFmtId="0" fontId="13" fillId="34" borderId="0" xfId="0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left" vertical="center" wrapText="1"/>
    </xf>
    <xf numFmtId="37" fontId="35" fillId="34" borderId="12" xfId="0" applyNumberFormat="1" applyFont="1" applyFill="1" applyBorder="1" applyAlignment="1">
      <alignment vertical="center" wrapText="1"/>
    </xf>
    <xf numFmtId="0" fontId="18" fillId="34" borderId="0" xfId="0" applyFont="1" applyFill="1" applyBorder="1" applyAlignment="1">
      <alignment vertical="center" wrapText="1"/>
    </xf>
    <xf numFmtId="181" fontId="15" fillId="34" borderId="0" xfId="0" applyNumberFormat="1" applyFont="1" applyFill="1" applyBorder="1" applyAlignment="1">
      <alignment horizontal="center" vertical="center"/>
    </xf>
    <xf numFmtId="180" fontId="15" fillId="0" borderId="0" xfId="0" applyNumberFormat="1" applyFont="1" applyFill="1" applyBorder="1" applyAlignment="1">
      <alignment horizontal="center" vertical="center"/>
    </xf>
    <xf numFmtId="180" fontId="15" fillId="34" borderId="0" xfId="0" applyNumberFormat="1" applyFont="1" applyFill="1" applyBorder="1" applyAlignment="1">
      <alignment horizontal="center" vertical="center"/>
    </xf>
    <xf numFmtId="174" fontId="15" fillId="34" borderId="0" xfId="0" applyNumberFormat="1" applyFont="1" applyFill="1" applyBorder="1" applyAlignment="1">
      <alignment horizontal="center" vertical="center"/>
    </xf>
    <xf numFmtId="174" fontId="15" fillId="0" borderId="0" xfId="0" applyNumberFormat="1" applyFont="1" applyFill="1" applyBorder="1" applyAlignment="1">
      <alignment horizontal="center" vertical="center"/>
    </xf>
    <xf numFmtId="0" fontId="35" fillId="34" borderId="0" xfId="0" applyFont="1" applyFill="1" applyAlignment="1">
      <alignment vertical="center"/>
    </xf>
    <xf numFmtId="0" fontId="40" fillId="34" borderId="0" xfId="195" applyFont="1" applyFill="1" applyBorder="1" applyAlignment="1">
      <alignment vertical="center"/>
    </xf>
    <xf numFmtId="2" fontId="19" fillId="34" borderId="0" xfId="0" applyNumberFormat="1" applyFont="1" applyFill="1" applyBorder="1" applyAlignment="1">
      <alignment vertical="center" wrapText="1"/>
    </xf>
    <xf numFmtId="0" fontId="35" fillId="0" borderId="0" xfId="0" applyFont="1" applyFill="1" applyBorder="1" applyAlignment="1">
      <alignment horizontal="left" vertical="center"/>
    </xf>
    <xf numFmtId="2" fontId="19" fillId="0" borderId="0" xfId="0" applyNumberFormat="1" applyFont="1" applyFill="1" applyBorder="1" applyAlignment="1">
      <alignment vertical="center" wrapText="1"/>
    </xf>
    <xf numFmtId="2" fontId="19" fillId="0" borderId="0" xfId="0" applyNumberFormat="1" applyFont="1" applyFill="1" applyBorder="1" applyAlignment="1">
      <alignment horizontal="left" vertical="center" wrapText="1"/>
    </xf>
    <xf numFmtId="46" fontId="13" fillId="34" borderId="0" xfId="0" applyNumberFormat="1" applyFont="1" applyFill="1" applyBorder="1" applyAlignment="1">
      <alignment horizontal="center" vertical="center" wrapText="1"/>
    </xf>
    <xf numFmtId="22" fontId="13" fillId="0" borderId="0" xfId="0" applyNumberFormat="1" applyFont="1" applyFill="1" applyBorder="1" applyAlignment="1">
      <alignment horizontal="center" vertical="center" wrapText="1"/>
    </xf>
    <xf numFmtId="46" fontId="13" fillId="0" borderId="0" xfId="0" applyNumberFormat="1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left" vertical="center" wrapText="1"/>
    </xf>
    <xf numFmtId="2" fontId="8" fillId="0" borderId="0" xfId="0" applyNumberFormat="1" applyFont="1"/>
    <xf numFmtId="165" fontId="15" fillId="0" borderId="0" xfId="0" applyNumberFormat="1" applyFont="1" applyBorder="1"/>
    <xf numFmtId="0" fontId="15" fillId="0" borderId="12" xfId="0" applyFont="1" applyFill="1" applyBorder="1" applyAlignment="1">
      <alignment horizontal="center"/>
    </xf>
    <xf numFmtId="2" fontId="15" fillId="34" borderId="0" xfId="136" quotePrefix="1" applyNumberFormat="1" applyFont="1" applyFill="1" applyBorder="1" applyAlignment="1">
      <alignment horizontal="center" vertical="center"/>
    </xf>
    <xf numFmtId="0" fontId="40" fillId="0" borderId="0" xfId="0" applyFont="1" applyBorder="1" applyAlignment="1"/>
    <xf numFmtId="0" fontId="15" fillId="34" borderId="12" xfId="0" applyFont="1" applyFill="1" applyBorder="1" applyAlignment="1">
      <alignment horizontal="left"/>
    </xf>
    <xf numFmtId="2" fontId="19" fillId="34" borderId="0" xfId="0" applyNumberFormat="1" applyFont="1" applyFill="1" applyBorder="1" applyAlignment="1">
      <alignment horizontal="left" vertical="center" wrapText="1"/>
    </xf>
    <xf numFmtId="0" fontId="141" fillId="34" borderId="1" xfId="0" applyFont="1" applyFill="1" applyBorder="1" applyAlignment="1">
      <alignment horizontal="right" readingOrder="1"/>
    </xf>
    <xf numFmtId="0" fontId="126" fillId="0" borderId="21" xfId="0" applyFont="1" applyFill="1" applyBorder="1"/>
    <xf numFmtId="165" fontId="15" fillId="0" borderId="0" xfId="0" applyNumberFormat="1" applyFont="1" applyFill="1" applyBorder="1" applyAlignment="1">
      <alignment horizontal="center" vertical="center"/>
    </xf>
    <xf numFmtId="0" fontId="13" fillId="34" borderId="0" xfId="0" applyFont="1" applyFill="1" applyBorder="1" applyAlignment="1">
      <alignment horizontal="left" vertical="center" wrapText="1"/>
    </xf>
    <xf numFmtId="0" fontId="13" fillId="0" borderId="12" xfId="0" applyFont="1" applyFill="1" applyBorder="1" applyAlignment="1">
      <alignment horizontal="center" vertical="center" wrapText="1"/>
    </xf>
    <xf numFmtId="0" fontId="141" fillId="0" borderId="1" xfId="0" applyFont="1" applyFill="1" applyBorder="1" applyAlignment="1">
      <alignment horizontal="right" readingOrder="1"/>
    </xf>
    <xf numFmtId="43" fontId="15" fillId="0" borderId="0" xfId="136" applyNumberFormat="1" applyFont="1" applyBorder="1"/>
    <xf numFmtId="0" fontId="13" fillId="34" borderId="0" xfId="0" applyFont="1" applyFill="1" applyBorder="1" applyAlignment="1">
      <alignment horizontal="center" vertical="center" wrapText="1"/>
    </xf>
    <xf numFmtId="0" fontId="13" fillId="34" borderId="0" xfId="0" applyFont="1" applyFill="1" applyBorder="1" applyAlignment="1">
      <alignment horizontal="left" vertical="center" wrapText="1"/>
    </xf>
    <xf numFmtId="0" fontId="13" fillId="0" borderId="12" xfId="0" applyFont="1" applyFill="1" applyBorder="1" applyAlignment="1">
      <alignment horizontal="right" vertical="center" wrapText="1"/>
    </xf>
    <xf numFmtId="0" fontId="13" fillId="0" borderId="0" xfId="0" applyFont="1" applyFill="1" applyBorder="1" applyAlignment="1">
      <alignment horizontal="left" vertical="center" wrapText="1"/>
    </xf>
    <xf numFmtId="0" fontId="17" fillId="34" borderId="0" xfId="0" applyFont="1" applyFill="1" applyBorder="1" applyAlignment="1">
      <alignment horizontal="left" vertical="center" wrapText="1"/>
    </xf>
    <xf numFmtId="0" fontId="129" fillId="0" borderId="2" xfId="0" applyFont="1" applyBorder="1" applyAlignment="1">
      <alignment horizontal="center" vertical="top" wrapText="1"/>
    </xf>
    <xf numFmtId="0" fontId="13" fillId="34" borderId="0" xfId="0" applyFont="1" applyFill="1" applyBorder="1" applyAlignment="1">
      <alignment horizontal="left" vertical="center" wrapText="1"/>
    </xf>
    <xf numFmtId="2" fontId="13" fillId="34" borderId="12" xfId="0" applyNumberFormat="1" applyFont="1" applyFill="1" applyBorder="1" applyAlignment="1">
      <alignment horizontal="center" vertical="center"/>
    </xf>
    <xf numFmtId="0" fontId="129" fillId="0" borderId="2" xfId="0" applyFont="1" applyBorder="1" applyAlignment="1">
      <alignment horizontal="center" vertical="top" wrapText="1"/>
    </xf>
    <xf numFmtId="2" fontId="15" fillId="0" borderId="12" xfId="0" applyNumberFormat="1" applyFont="1" applyFill="1" applyBorder="1" applyAlignment="1">
      <alignment horizontal="center" vertical="center"/>
    </xf>
    <xf numFmtId="0" fontId="129" fillId="0" borderId="2" xfId="0" applyFont="1" applyBorder="1" applyAlignment="1">
      <alignment horizontal="center" vertical="top" wrapText="1"/>
    </xf>
    <xf numFmtId="0" fontId="3" fillId="0" borderId="0" xfId="173" applyFill="1" applyAlignment="1" applyProtection="1"/>
    <xf numFmtId="0" fontId="188" fillId="0" borderId="0" xfId="0" applyFont="1" applyAlignment="1"/>
    <xf numFmtId="0" fontId="129" fillId="0" borderId="2" xfId="0" applyFont="1" applyBorder="1" applyAlignment="1">
      <alignment horizontal="center" vertical="top" wrapText="1"/>
    </xf>
    <xf numFmtId="0" fontId="130" fillId="0" borderId="0" xfId="0" applyFont="1" applyAlignment="1">
      <alignment horizontal="center"/>
    </xf>
    <xf numFmtId="0" fontId="17" fillId="34" borderId="0" xfId="0" applyFont="1" applyFill="1" applyBorder="1" applyAlignment="1">
      <alignment horizontal="left" vertical="center" wrapText="1"/>
    </xf>
    <xf numFmtId="0" fontId="13" fillId="0" borderId="0" xfId="0" applyFont="1" applyFill="1" applyBorder="1" applyAlignment="1">
      <alignment horizontal="left" vertical="center" wrapText="1"/>
    </xf>
    <xf numFmtId="0" fontId="130" fillId="0" borderId="0" xfId="0" applyFont="1" applyBorder="1" applyAlignment="1">
      <alignment horizontal="left"/>
    </xf>
    <xf numFmtId="0" fontId="130" fillId="0" borderId="0" xfId="0" applyFont="1" applyBorder="1" applyAlignment="1">
      <alignment horizontal="center"/>
    </xf>
    <xf numFmtId="0" fontId="129" fillId="34" borderId="0" xfId="232" applyFont="1" applyFill="1" applyBorder="1" applyAlignment="1">
      <alignment horizontal="left" vertical="center" wrapText="1"/>
    </xf>
    <xf numFmtId="164" fontId="139" fillId="0" borderId="0" xfId="0" applyNumberFormat="1" applyFont="1" applyBorder="1"/>
    <xf numFmtId="0" fontId="15" fillId="35" borderId="0" xfId="0" applyFont="1" applyFill="1" applyBorder="1" applyAlignment="1">
      <alignment horizontal="left" vertical="center" wrapText="1"/>
    </xf>
    <xf numFmtId="1" fontId="15" fillId="0" borderId="0" xfId="0" applyNumberFormat="1" applyFont="1" applyFill="1" applyBorder="1" applyAlignment="1">
      <alignment horizontal="center" wrapText="1"/>
    </xf>
    <xf numFmtId="2" fontId="15" fillId="0" borderId="0" xfId="0" applyNumberFormat="1" applyFont="1" applyFill="1" applyBorder="1" applyAlignment="1">
      <alignment horizontal="center" wrapText="1"/>
    </xf>
    <xf numFmtId="165" fontId="7" fillId="0" borderId="0" xfId="0" applyNumberFormat="1" applyFont="1"/>
    <xf numFmtId="164" fontId="139" fillId="0" borderId="0" xfId="0" applyNumberFormat="1" applyFont="1" applyFill="1" applyBorder="1"/>
    <xf numFmtId="0" fontId="129" fillId="0" borderId="0" xfId="232" applyFont="1" applyFill="1" applyBorder="1" applyAlignment="1">
      <alignment horizontal="left" vertical="center" wrapText="1"/>
    </xf>
    <xf numFmtId="0" fontId="129" fillId="0" borderId="0" xfId="0" applyFont="1" applyFill="1" applyBorder="1" applyAlignment="1">
      <alignment horizontal="center"/>
    </xf>
    <xf numFmtId="0" fontId="129" fillId="0" borderId="20" xfId="232" applyFont="1" applyFill="1" applyBorder="1" applyAlignment="1">
      <alignment horizontal="left" vertical="center" wrapText="1"/>
    </xf>
    <xf numFmtId="0" fontId="17" fillId="34" borderId="0" xfId="0" applyFont="1" applyFill="1" applyBorder="1" applyAlignment="1">
      <alignment horizontal="left" vertical="center" wrapText="1"/>
    </xf>
    <xf numFmtId="0" fontId="13" fillId="34" borderId="0" xfId="0" applyFont="1" applyFill="1" applyBorder="1" applyAlignment="1">
      <alignment horizontal="left" vertical="center" wrapText="1"/>
    </xf>
    <xf numFmtId="0" fontId="15" fillId="0" borderId="0" xfId="136" applyNumberFormat="1" applyFont="1" applyFill="1" applyBorder="1" applyAlignment="1">
      <alignment horizontal="center"/>
    </xf>
    <xf numFmtId="2" fontId="15" fillId="0" borderId="0" xfId="136" applyNumberFormat="1" applyFont="1" applyFill="1" applyBorder="1" applyAlignment="1">
      <alignment horizontal="center"/>
    </xf>
    <xf numFmtId="0" fontId="124" fillId="34" borderId="0" xfId="0" applyFont="1" applyFill="1" applyBorder="1" applyAlignment="1">
      <alignment vertical="center" wrapText="1"/>
    </xf>
    <xf numFmtId="1" fontId="23" fillId="34" borderId="0" xfId="0" applyNumberFormat="1" applyFont="1" applyFill="1" applyBorder="1" applyAlignment="1">
      <alignment horizontal="left" wrapText="1"/>
    </xf>
    <xf numFmtId="1" fontId="23" fillId="34" borderId="0" xfId="0" applyNumberFormat="1" applyFont="1" applyFill="1" applyBorder="1" applyAlignment="1">
      <alignment horizontal="right" wrapText="1"/>
    </xf>
    <xf numFmtId="0" fontId="13" fillId="0" borderId="0" xfId="0" applyFont="1" applyFill="1" applyBorder="1" applyAlignment="1">
      <alignment horizontal="left" vertical="center" wrapText="1"/>
    </xf>
    <xf numFmtId="0" fontId="16" fillId="34" borderId="0" xfId="0" applyFont="1" applyFill="1" applyBorder="1" applyAlignment="1">
      <alignment horizontal="center" vertical="center"/>
    </xf>
    <xf numFmtId="0" fontId="30" fillId="34" borderId="0" xfId="0" applyFont="1" applyFill="1" applyBorder="1" applyAlignment="1">
      <alignment horizontal="center" vertical="center"/>
    </xf>
    <xf numFmtId="0" fontId="16" fillId="34" borderId="0" xfId="0" applyFont="1" applyFill="1" applyBorder="1" applyAlignment="1">
      <alignment horizontal="center" vertical="center" wrapText="1"/>
    </xf>
    <xf numFmtId="1" fontId="16" fillId="34" borderId="0" xfId="0" applyNumberFormat="1" applyFont="1" applyFill="1" applyBorder="1" applyAlignment="1">
      <alignment horizontal="center" vertical="center" wrapText="1"/>
    </xf>
    <xf numFmtId="2" fontId="16" fillId="0" borderId="12" xfId="0" applyNumberFormat="1" applyFont="1" applyFill="1" applyBorder="1" applyAlignment="1">
      <alignment horizontal="center" wrapText="1"/>
    </xf>
    <xf numFmtId="1" fontId="16" fillId="0" borderId="12" xfId="0" applyNumberFormat="1" applyFont="1" applyFill="1" applyBorder="1" applyAlignment="1">
      <alignment horizontal="center" wrapText="1"/>
    </xf>
    <xf numFmtId="0" fontId="16" fillId="0" borderId="12" xfId="0" applyFont="1" applyFill="1" applyBorder="1" applyAlignment="1">
      <alignment horizontal="center" wrapText="1"/>
    </xf>
    <xf numFmtId="0" fontId="30" fillId="34" borderId="12" xfId="0" applyFont="1" applyFill="1" applyBorder="1"/>
    <xf numFmtId="2" fontId="30" fillId="34" borderId="12" xfId="0" applyNumberFormat="1" applyFont="1" applyFill="1" applyBorder="1" applyAlignment="1">
      <alignment horizontal="center"/>
    </xf>
    <xf numFmtId="0" fontId="30" fillId="0" borderId="12" xfId="0" applyFont="1" applyBorder="1" applyAlignment="1">
      <alignment horizontal="center"/>
    </xf>
    <xf numFmtId="2" fontId="13" fillId="0" borderId="0" xfId="0" applyNumberFormat="1" applyFont="1" applyBorder="1" applyAlignment="1">
      <alignment wrapText="1"/>
    </xf>
    <xf numFmtId="0" fontId="124" fillId="0" borderId="49" xfId="0" applyFont="1" applyBorder="1" applyAlignment="1">
      <alignment horizontal="left" vertical="top"/>
    </xf>
    <xf numFmtId="0" fontId="124" fillId="36" borderId="49" xfId="0" applyFont="1" applyFill="1" applyBorder="1" applyAlignment="1">
      <alignment horizontal="left" vertical="top"/>
    </xf>
    <xf numFmtId="0" fontId="124" fillId="0" borderId="53" xfId="0" applyFont="1" applyBorder="1" applyAlignment="1">
      <alignment horizontal="left" vertical="top"/>
    </xf>
    <xf numFmtId="0" fontId="124" fillId="0" borderId="8" xfId="0" applyFont="1" applyBorder="1" applyAlignment="1">
      <alignment horizontal="center" vertical="center" wrapText="1"/>
    </xf>
    <xf numFmtId="0" fontId="124" fillId="0" borderId="51" xfId="0" applyFont="1" applyBorder="1" applyAlignment="1">
      <alignment horizontal="center" vertical="center" wrapText="1"/>
    </xf>
    <xf numFmtId="0" fontId="124" fillId="0" borderId="52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16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5" fillId="34" borderId="2" xfId="0" applyFont="1" applyFill="1" applyBorder="1" applyAlignment="1">
      <alignment horizontal="center" vertical="center"/>
    </xf>
    <xf numFmtId="43" fontId="124" fillId="0" borderId="56" xfId="136" applyFont="1" applyBorder="1" applyAlignment="1">
      <alignment horizontal="center" vertical="center"/>
    </xf>
    <xf numFmtId="43" fontId="124" fillId="36" borderId="50" xfId="136" applyFont="1" applyFill="1" applyBorder="1" applyAlignment="1">
      <alignment horizontal="center" vertical="center"/>
    </xf>
    <xf numFmtId="43" fontId="124" fillId="0" borderId="50" xfId="136" applyFont="1" applyBorder="1" applyAlignment="1">
      <alignment horizontal="center" vertical="center"/>
    </xf>
    <xf numFmtId="43" fontId="124" fillId="34" borderId="50" xfId="136" applyFont="1" applyFill="1" applyBorder="1" applyAlignment="1">
      <alignment horizontal="center" vertical="center"/>
    </xf>
    <xf numFmtId="0" fontId="127" fillId="0" borderId="0" xfId="0" applyFont="1" applyBorder="1" applyAlignment="1">
      <alignment horizontal="center"/>
    </xf>
    <xf numFmtId="0" fontId="127" fillId="0" borderId="0" xfId="0" applyFont="1" applyBorder="1" applyAlignment="1">
      <alignment horizontal="center" vertical="center"/>
    </xf>
    <xf numFmtId="0" fontId="126" fillId="0" borderId="59" xfId="0" applyFont="1" applyBorder="1" applyAlignment="1"/>
    <xf numFmtId="0" fontId="116" fillId="0" borderId="59" xfId="0" applyFont="1" applyBorder="1" applyAlignment="1">
      <alignment horizontal="center" vertical="center"/>
    </xf>
    <xf numFmtId="0" fontId="116" fillId="0" borderId="2" xfId="0" applyFont="1" applyBorder="1" applyAlignment="1">
      <alignment horizontal="center" vertical="center" wrapText="1"/>
    </xf>
    <xf numFmtId="0" fontId="17" fillId="0" borderId="0" xfId="0" applyFont="1" applyAlignment="1">
      <alignment horizontal="center" vertical="top" wrapText="1"/>
    </xf>
    <xf numFmtId="0" fontId="138" fillId="0" borderId="0" xfId="0" applyFont="1" applyAlignment="1">
      <alignment wrapText="1"/>
    </xf>
    <xf numFmtId="0" fontId="138" fillId="0" borderId="0" xfId="0" applyFont="1" applyFill="1" applyBorder="1" applyAlignment="1">
      <alignment vertical="top"/>
    </xf>
    <xf numFmtId="0" fontId="13" fillId="34" borderId="0" xfId="0" applyFont="1" applyFill="1" applyBorder="1" applyAlignment="1">
      <alignment horizontal="center"/>
    </xf>
    <xf numFmtId="1" fontId="13" fillId="34" borderId="0" xfId="0" applyNumberFormat="1" applyFont="1" applyFill="1" applyBorder="1" applyAlignment="1">
      <alignment horizontal="center"/>
    </xf>
    <xf numFmtId="43" fontId="0" fillId="0" borderId="0" xfId="0" applyNumberFormat="1"/>
    <xf numFmtId="0" fontId="116" fillId="34" borderId="2" xfId="0" applyFont="1" applyFill="1" applyBorder="1"/>
    <xf numFmtId="0" fontId="116" fillId="0" borderId="2" xfId="0" applyFont="1" applyBorder="1"/>
    <xf numFmtId="2" fontId="116" fillId="0" borderId="2" xfId="0" applyNumberFormat="1" applyFont="1" applyBorder="1" applyAlignment="1">
      <alignment horizontal="center" vertical="center"/>
    </xf>
    <xf numFmtId="2" fontId="116" fillId="34" borderId="2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/>
    <xf numFmtId="0" fontId="128" fillId="0" borderId="0" xfId="0" applyFont="1" applyBorder="1" applyAlignment="1"/>
    <xf numFmtId="0" fontId="116" fillId="0" borderId="63" xfId="0" applyFont="1" applyBorder="1" applyAlignment="1">
      <alignment horizontal="center" vertical="center" wrapText="1"/>
    </xf>
    <xf numFmtId="2" fontId="116" fillId="34" borderId="3" xfId="0" applyNumberFormat="1" applyFont="1" applyFill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2" fontId="15" fillId="0" borderId="2" xfId="0" applyNumberFormat="1" applyFont="1" applyBorder="1" applyAlignment="1">
      <alignment horizontal="center" vertical="center"/>
    </xf>
    <xf numFmtId="2" fontId="15" fillId="34" borderId="2" xfId="0" applyNumberFormat="1" applyFont="1" applyFill="1" applyBorder="1" applyAlignment="1">
      <alignment horizontal="center" vertical="center"/>
    </xf>
    <xf numFmtId="43" fontId="124" fillId="0" borderId="53" xfId="136" applyFont="1" applyBorder="1" applyAlignment="1">
      <alignment horizontal="center" vertical="center"/>
    </xf>
    <xf numFmtId="43" fontId="124" fillId="34" borderId="49" xfId="136" applyFont="1" applyFill="1" applyBorder="1" applyAlignment="1">
      <alignment horizontal="center" vertical="center"/>
    </xf>
    <xf numFmtId="43" fontId="124" fillId="36" borderId="49" xfId="136" applyFont="1" applyFill="1" applyBorder="1" applyAlignment="1">
      <alignment horizontal="center" vertical="center"/>
    </xf>
    <xf numFmtId="43" fontId="124" fillId="0" borderId="49" xfId="136" applyFont="1" applyBorder="1" applyAlignment="1">
      <alignment horizontal="center" vertical="center"/>
    </xf>
    <xf numFmtId="1" fontId="15" fillId="0" borderId="0" xfId="0" applyNumberFormat="1" applyFont="1"/>
    <xf numFmtId="1" fontId="116" fillId="0" borderId="0" xfId="0" applyNumberFormat="1" applyFont="1" applyFill="1" applyBorder="1" applyAlignment="1">
      <alignment horizontal="center" vertical="center"/>
    </xf>
    <xf numFmtId="2" fontId="116" fillId="0" borderId="2" xfId="0" applyNumberFormat="1" applyFont="1" applyFill="1" applyBorder="1" applyAlignment="1">
      <alignment horizontal="center" vertical="center"/>
    </xf>
    <xf numFmtId="0" fontId="13" fillId="34" borderId="0" xfId="0" applyFont="1" applyFill="1" applyBorder="1" applyAlignment="1">
      <alignment horizontal="center" vertical="center" wrapText="1"/>
    </xf>
    <xf numFmtId="0" fontId="43" fillId="34" borderId="0" xfId="0" applyFont="1" applyFill="1" applyBorder="1" applyAlignment="1">
      <alignment horizontal="center" vertical="center" wrapText="1"/>
    </xf>
    <xf numFmtId="0" fontId="13" fillId="34" borderId="0" xfId="0" applyFont="1" applyFill="1" applyBorder="1" applyAlignment="1">
      <alignment horizontal="center" vertical="center"/>
    </xf>
    <xf numFmtId="164" fontId="15" fillId="0" borderId="0" xfId="0" applyNumberFormat="1" applyFont="1" applyFill="1" applyBorder="1"/>
    <xf numFmtId="0" fontId="8" fillId="0" borderId="0" xfId="0" applyFont="1"/>
    <xf numFmtId="2" fontId="15" fillId="0" borderId="0" xfId="0" applyNumberFormat="1" applyFont="1" applyBorder="1" applyAlignment="1">
      <alignment vertical="top"/>
    </xf>
    <xf numFmtId="0" fontId="13" fillId="34" borderId="0" xfId="0" applyFont="1" applyFill="1" applyBorder="1" applyAlignment="1">
      <alignment horizontal="left" vertical="center" wrapText="1"/>
    </xf>
    <xf numFmtId="0" fontId="15" fillId="34" borderId="12" xfId="196" applyFont="1" applyFill="1" applyBorder="1" applyAlignment="1">
      <alignment horizontal="left" vertical="center"/>
    </xf>
    <xf numFmtId="2" fontId="23" fillId="34" borderId="0" xfId="196" applyNumberFormat="1" applyFont="1" applyFill="1" applyBorder="1" applyAlignment="1">
      <alignment horizontal="center" vertical="center"/>
    </xf>
    <xf numFmtId="2" fontId="17" fillId="34" borderId="0" xfId="0" applyNumberFormat="1" applyFont="1" applyFill="1" applyAlignment="1">
      <alignment horizontal="center" vertical="center"/>
    </xf>
    <xf numFmtId="2" fontId="193" fillId="0" borderId="0" xfId="0" applyNumberFormat="1" applyFont="1"/>
    <xf numFmtId="0" fontId="15" fillId="0" borderId="12" xfId="0" applyFont="1" applyFill="1" applyBorder="1" applyAlignment="1">
      <alignment horizontal="left" vertical="center" wrapText="1"/>
    </xf>
    <xf numFmtId="0" fontId="40" fillId="0" borderId="2" xfId="0" applyFont="1" applyFill="1" applyBorder="1" applyAlignment="1">
      <alignment horizontal="center" vertical="center" wrapText="1"/>
    </xf>
    <xf numFmtId="0" fontId="15" fillId="0" borderId="2" xfId="0" applyFont="1" applyFill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0" fontId="15" fillId="0" borderId="59" xfId="0" applyFont="1" applyBorder="1" applyAlignment="1">
      <alignment horizontal="center" vertical="center" wrapText="1"/>
    </xf>
    <xf numFmtId="0" fontId="40" fillId="0" borderId="2" xfId="0" applyFont="1" applyBorder="1" applyAlignment="1">
      <alignment horizontal="center" vertical="center" wrapText="1"/>
    </xf>
    <xf numFmtId="0" fontId="15" fillId="0" borderId="58" xfId="0" applyFont="1" applyBorder="1" applyAlignment="1">
      <alignment horizontal="center" vertical="center" wrapText="1"/>
    </xf>
    <xf numFmtId="0" fontId="40" fillId="0" borderId="2" xfId="0" quotePrefix="1" applyFont="1" applyBorder="1" applyAlignment="1">
      <alignment horizontal="center" vertical="center" wrapText="1"/>
    </xf>
    <xf numFmtId="2" fontId="40" fillId="0" borderId="0" xfId="0" applyNumberFormat="1" applyFont="1" applyBorder="1" applyAlignment="1">
      <alignment horizontal="center" vertical="center" wrapText="1"/>
    </xf>
    <xf numFmtId="0" fontId="14" fillId="34" borderId="0" xfId="0" applyFont="1" applyFill="1" applyBorder="1" applyAlignment="1">
      <alignment horizontal="center" wrapText="1"/>
    </xf>
    <xf numFmtId="0" fontId="25" fillId="0" borderId="0" xfId="0" applyFont="1" applyAlignment="1">
      <alignment horizontal="right" vertical="top"/>
    </xf>
    <xf numFmtId="0" fontId="25" fillId="0" borderId="0" xfId="0" applyFont="1" applyBorder="1" applyAlignment="1">
      <alignment horizontal="left" vertical="center" wrapText="1"/>
    </xf>
    <xf numFmtId="0" fontId="25" fillId="34" borderId="0" xfId="0" applyFont="1" applyFill="1" applyAlignment="1">
      <alignment horizontal="right" vertical="top"/>
    </xf>
    <xf numFmtId="0" fontId="25" fillId="34" borderId="0" xfId="0" applyFont="1" applyFill="1" applyBorder="1" applyAlignment="1">
      <alignment horizontal="left" vertical="center" wrapText="1"/>
    </xf>
    <xf numFmtId="0" fontId="41" fillId="34" borderId="0" xfId="0" applyFont="1" applyFill="1" applyBorder="1" applyAlignment="1">
      <alignment wrapText="1"/>
    </xf>
    <xf numFmtId="0" fontId="40" fillId="34" borderId="0" xfId="0" applyFont="1" applyFill="1" applyBorder="1" applyAlignment="1">
      <alignment wrapText="1"/>
    </xf>
    <xf numFmtId="2" fontId="14" fillId="34" borderId="0" xfId="0" applyNumberFormat="1" applyFont="1" applyFill="1" applyBorder="1" applyAlignment="1">
      <alignment horizontal="center" vertical="center" wrapText="1"/>
    </xf>
    <xf numFmtId="2" fontId="41" fillId="34" borderId="0" xfId="0" applyNumberFormat="1" applyFont="1" applyFill="1" applyBorder="1" applyAlignment="1">
      <alignment horizontal="center" wrapText="1"/>
    </xf>
    <xf numFmtId="2" fontId="14" fillId="0" borderId="0" xfId="0" applyNumberFormat="1" applyFont="1" applyBorder="1" applyAlignment="1">
      <alignment horizontal="center" vertical="center" wrapText="1"/>
    </xf>
    <xf numFmtId="2" fontId="41" fillId="0" borderId="0" xfId="0" applyNumberFormat="1" applyFont="1" applyBorder="1" applyAlignment="1">
      <alignment horizontal="center" wrapText="1"/>
    </xf>
    <xf numFmtId="2" fontId="36" fillId="0" borderId="0" xfId="0" applyNumberFormat="1" applyFont="1" applyBorder="1" applyAlignment="1">
      <alignment horizontal="center" wrapText="1"/>
    </xf>
    <xf numFmtId="0" fontId="14" fillId="0" borderId="0" xfId="0" applyFont="1" applyBorder="1" applyAlignment="1">
      <alignment horizontal="center" wrapText="1"/>
    </xf>
    <xf numFmtId="0" fontId="14" fillId="34" borderId="0" xfId="0" applyFont="1" applyFill="1"/>
    <xf numFmtId="0" fontId="15" fillId="0" borderId="0" xfId="0" applyFont="1" applyBorder="1" applyAlignment="1">
      <alignment horizontal="left" vertical="center" wrapText="1"/>
    </xf>
    <xf numFmtId="2" fontId="14" fillId="0" borderId="0" xfId="0" applyNumberFormat="1" applyFont="1" applyFill="1" applyBorder="1" applyAlignment="1">
      <alignment horizontal="center" wrapText="1"/>
    </xf>
    <xf numFmtId="2" fontId="40" fillId="0" borderId="0" xfId="0" quotePrefix="1" applyNumberFormat="1" applyFont="1" applyBorder="1" applyAlignment="1">
      <alignment horizontal="center" wrapText="1"/>
    </xf>
    <xf numFmtId="2" fontId="14" fillId="34" borderId="0" xfId="0" quotePrefix="1" applyNumberFormat="1" applyFont="1" applyFill="1" applyBorder="1" applyAlignment="1">
      <alignment horizontal="center" wrapText="1"/>
    </xf>
    <xf numFmtId="2" fontId="40" fillId="34" borderId="0" xfId="0" quotePrefix="1" applyNumberFormat="1" applyFont="1" applyFill="1" applyBorder="1" applyAlignment="1">
      <alignment horizontal="center" wrapText="1"/>
    </xf>
    <xf numFmtId="2" fontId="14" fillId="0" borderId="0" xfId="0" quotePrefix="1" applyNumberFormat="1" applyFont="1" applyBorder="1" applyAlignment="1">
      <alignment horizontal="center" wrapText="1"/>
    </xf>
    <xf numFmtId="0" fontId="40" fillId="34" borderId="0" xfId="0" applyFont="1" applyFill="1"/>
    <xf numFmtId="0" fontId="23" fillId="0" borderId="0" xfId="0" applyFont="1" applyAlignment="1">
      <alignment horizontal="right" vertical="top"/>
    </xf>
    <xf numFmtId="0" fontId="24" fillId="0" borderId="0" xfId="0" applyFont="1" applyBorder="1" applyAlignment="1">
      <alignment horizontal="left" vertical="top" wrapText="1"/>
    </xf>
    <xf numFmtId="0" fontId="36" fillId="0" borderId="0" xfId="0" applyFont="1" applyBorder="1" applyAlignment="1">
      <alignment horizontal="left" vertical="top" wrapText="1"/>
    </xf>
    <xf numFmtId="0" fontId="23" fillId="34" borderId="0" xfId="0" applyFont="1" applyFill="1" applyAlignment="1">
      <alignment horizontal="right" vertical="top"/>
    </xf>
    <xf numFmtId="165" fontId="40" fillId="34" borderId="0" xfId="0" applyNumberFormat="1" applyFont="1" applyFill="1" applyBorder="1" applyAlignment="1">
      <alignment horizontal="center" wrapText="1"/>
    </xf>
    <xf numFmtId="0" fontId="14" fillId="34" borderId="0" xfId="0" quotePrefix="1" applyFont="1" applyFill="1" applyBorder="1" applyAlignment="1">
      <alignment horizontal="center" wrapText="1"/>
    </xf>
    <xf numFmtId="0" fontId="14" fillId="34" borderId="0" xfId="0" applyFont="1" applyFill="1" applyBorder="1" applyAlignment="1">
      <alignment horizontal="center"/>
    </xf>
    <xf numFmtId="2" fontId="14" fillId="0" borderId="0" xfId="0" applyNumberFormat="1" applyFont="1" applyBorder="1" applyAlignment="1">
      <alignment horizontal="center" vertical="center"/>
    </xf>
    <xf numFmtId="2" fontId="14" fillId="0" borderId="12" xfId="0" applyNumberFormat="1" applyFont="1" applyBorder="1" applyAlignment="1">
      <alignment horizontal="center" vertical="center"/>
    </xf>
    <xf numFmtId="2" fontId="40" fillId="0" borderId="12" xfId="0" applyNumberFormat="1" applyFont="1" applyFill="1" applyBorder="1" applyAlignment="1">
      <alignment horizontal="center" wrapText="1"/>
    </xf>
    <xf numFmtId="2" fontId="40" fillId="0" borderId="12" xfId="0" quotePrefix="1" applyNumberFormat="1" applyFont="1" applyFill="1" applyBorder="1" applyAlignment="1">
      <alignment horizontal="center" vertical="center" wrapText="1"/>
    </xf>
    <xf numFmtId="2" fontId="14" fillId="0" borderId="12" xfId="0" applyNumberFormat="1" applyFont="1" applyFill="1" applyBorder="1" applyAlignment="1">
      <alignment horizontal="center" vertical="center"/>
    </xf>
    <xf numFmtId="0" fontId="40" fillId="0" borderId="12" xfId="0" applyFont="1" applyFill="1" applyBorder="1" applyAlignment="1">
      <alignment horizontal="center" vertical="center" wrapText="1"/>
    </xf>
    <xf numFmtId="2" fontId="35" fillId="0" borderId="12" xfId="0" applyNumberFormat="1" applyFont="1" applyFill="1" applyBorder="1" applyAlignment="1">
      <alignment horizontal="center" vertical="center" wrapText="1"/>
    </xf>
    <xf numFmtId="0" fontId="25" fillId="0" borderId="12" xfId="0" applyFont="1" applyFill="1" applyBorder="1" applyAlignment="1">
      <alignment horizontal="center" vertical="center" wrapText="1"/>
    </xf>
    <xf numFmtId="0" fontId="25" fillId="0" borderId="0" xfId="0" applyFont="1" applyAlignment="1">
      <alignment horizontal="left" wrapText="1"/>
    </xf>
    <xf numFmtId="0" fontId="25" fillId="0" borderId="0" xfId="0" applyFont="1" applyAlignment="1">
      <alignment wrapText="1"/>
    </xf>
    <xf numFmtId="0" fontId="25" fillId="0" borderId="0" xfId="0" applyFont="1" applyAlignment="1">
      <alignment horizontal="center"/>
    </xf>
    <xf numFmtId="0" fontId="15" fillId="0" borderId="2" xfId="0" applyFont="1" applyFill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left" vertical="center" wrapText="1"/>
    </xf>
    <xf numFmtId="0" fontId="13" fillId="0" borderId="0" xfId="0" applyFont="1" applyFill="1" applyBorder="1" applyAlignment="1">
      <alignment horizontal="center" vertical="center"/>
    </xf>
    <xf numFmtId="0" fontId="116" fillId="0" borderId="64" xfId="0" applyFont="1" applyFill="1" applyBorder="1" applyAlignment="1">
      <alignment horizontal="right" readingOrder="1"/>
    </xf>
    <xf numFmtId="164" fontId="116" fillId="0" borderId="64" xfId="0" applyNumberFormat="1" applyFont="1" applyFill="1" applyBorder="1" applyAlignment="1">
      <alignment horizontal="right" readingOrder="1"/>
    </xf>
    <xf numFmtId="0" fontId="126" fillId="0" borderId="58" xfId="0" applyFont="1" applyFill="1" applyBorder="1" applyAlignment="1">
      <alignment horizontal="right" readingOrder="1"/>
    </xf>
    <xf numFmtId="164" fontId="126" fillId="0" borderId="58" xfId="0" applyNumberFormat="1" applyFont="1" applyFill="1" applyBorder="1" applyAlignment="1">
      <alignment horizontal="right" readingOrder="1"/>
    </xf>
    <xf numFmtId="0" fontId="116" fillId="0" borderId="64" xfId="0" applyFont="1" applyFill="1" applyBorder="1"/>
    <xf numFmtId="2" fontId="116" fillId="0" borderId="64" xfId="0" applyNumberFormat="1" applyFont="1" applyFill="1" applyBorder="1" applyAlignment="1">
      <alignment horizontal="right" readingOrder="1"/>
    </xf>
    <xf numFmtId="0" fontId="126" fillId="0" borderId="58" xfId="0" applyFont="1" applyFill="1" applyBorder="1"/>
    <xf numFmtId="2" fontId="126" fillId="0" borderId="58" xfId="0" applyNumberFormat="1" applyFont="1" applyFill="1" applyBorder="1" applyAlignment="1">
      <alignment horizontal="right" readingOrder="1"/>
    </xf>
    <xf numFmtId="0" fontId="116" fillId="34" borderId="65" xfId="0" applyFont="1" applyFill="1" applyBorder="1"/>
    <xf numFmtId="0" fontId="163" fillId="0" borderId="0" xfId="0" applyFont="1" applyFill="1" applyBorder="1"/>
    <xf numFmtId="0" fontId="164" fillId="0" borderId="0" xfId="0" applyFont="1" applyFill="1" applyBorder="1"/>
    <xf numFmtId="0" fontId="13" fillId="34" borderId="0" xfId="0" applyFont="1" applyFill="1" applyBorder="1" applyAlignment="1">
      <alignment horizontal="left" vertical="center" wrapText="1"/>
    </xf>
    <xf numFmtId="1" fontId="50" fillId="0" borderId="0" xfId="0" applyNumberFormat="1" applyFont="1" applyFill="1" applyBorder="1" applyAlignment="1">
      <alignment horizontal="center" vertical="center"/>
    </xf>
    <xf numFmtId="1" fontId="86" fillId="0" borderId="0" xfId="0" applyNumberFormat="1" applyFont="1"/>
    <xf numFmtId="0" fontId="13" fillId="0" borderId="0" xfId="0" applyFont="1" applyFill="1" applyBorder="1" applyAlignment="1">
      <alignment vertical="top" wrapText="1"/>
    </xf>
    <xf numFmtId="2" fontId="193" fillId="0" borderId="0" xfId="0" applyNumberFormat="1" applyFont="1" applyFill="1"/>
    <xf numFmtId="0" fontId="15" fillId="0" borderId="12" xfId="0" applyFont="1" applyFill="1" applyBorder="1"/>
    <xf numFmtId="0" fontId="35" fillId="0" borderId="0" xfId="0" applyFont="1" applyBorder="1" applyAlignment="1">
      <alignment horizontal="left" wrapText="1"/>
    </xf>
    <xf numFmtId="0" fontId="130" fillId="34" borderId="12" xfId="0" applyFont="1" applyFill="1" applyBorder="1"/>
    <xf numFmtId="0" fontId="130" fillId="34" borderId="12" xfId="0" applyFont="1" applyFill="1" applyBorder="1" applyAlignment="1">
      <alignment horizontal="center"/>
    </xf>
    <xf numFmtId="2" fontId="194" fillId="0" borderId="0" xfId="0" applyNumberFormat="1" applyFont="1" applyFill="1" applyBorder="1" applyAlignment="1">
      <alignment horizontal="right"/>
    </xf>
    <xf numFmtId="164" fontId="13" fillId="34" borderId="0" xfId="0" applyNumberFormat="1" applyFont="1" applyFill="1" applyBorder="1" applyAlignment="1">
      <alignment vertical="center"/>
    </xf>
    <xf numFmtId="164" fontId="13" fillId="0" borderId="0" xfId="0" applyNumberFormat="1" applyFont="1" applyFill="1" applyBorder="1" applyAlignment="1">
      <alignment vertical="center"/>
    </xf>
    <xf numFmtId="0" fontId="137" fillId="0" borderId="0" xfId="0" applyFont="1" applyFill="1" applyBorder="1"/>
    <xf numFmtId="0" fontId="23" fillId="0" borderId="0" xfId="196" applyFont="1" applyFill="1" applyBorder="1" applyAlignment="1">
      <alignment horizontal="left" vertical="center"/>
    </xf>
    <xf numFmtId="0" fontId="14" fillId="34" borderId="0" xfId="0" applyFont="1" applyFill="1" applyBorder="1" applyAlignment="1">
      <alignment horizontal="left" vertical="center" wrapText="1"/>
    </xf>
    <xf numFmtId="0" fontId="40" fillId="0" borderId="0" xfId="0" applyFont="1" applyFill="1" applyBorder="1" applyAlignment="1">
      <alignment horizontal="center" vertical="center"/>
    </xf>
    <xf numFmtId="0" fontId="124" fillId="34" borderId="49" xfId="0" applyFont="1" applyFill="1" applyBorder="1" applyAlignment="1">
      <alignment horizontal="left" vertical="top"/>
    </xf>
    <xf numFmtId="0" fontId="124" fillId="34" borderId="52" xfId="0" applyFont="1" applyFill="1" applyBorder="1" applyAlignment="1">
      <alignment horizontal="left" vertical="top"/>
    </xf>
    <xf numFmtId="43" fontId="124" fillId="34" borderId="52" xfId="136" applyFont="1" applyFill="1" applyBorder="1" applyAlignment="1">
      <alignment horizontal="center" vertical="center"/>
    </xf>
    <xf numFmtId="43" fontId="124" fillId="34" borderId="52" xfId="136" applyFont="1" applyFill="1" applyBorder="1" applyAlignment="1">
      <alignment horizontal="center" vertical="top"/>
    </xf>
    <xf numFmtId="43" fontId="124" fillId="34" borderId="57" xfId="136" applyFont="1" applyFill="1" applyBorder="1" applyAlignment="1">
      <alignment horizontal="center" vertical="top"/>
    </xf>
    <xf numFmtId="0" fontId="124" fillId="0" borderId="49" xfId="0" applyFont="1" applyFill="1" applyBorder="1" applyAlignment="1">
      <alignment horizontal="left" vertical="top"/>
    </xf>
    <xf numFmtId="43" fontId="124" fillId="0" borderId="49" xfId="136" applyFont="1" applyFill="1" applyBorder="1" applyAlignment="1">
      <alignment horizontal="center" vertical="center"/>
    </xf>
    <xf numFmtId="43" fontId="124" fillId="0" borderId="50" xfId="136" applyFont="1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43" fontId="0" fillId="0" borderId="0" xfId="0" applyNumberFormat="1" applyFill="1"/>
    <xf numFmtId="2" fontId="15" fillId="0" borderId="2" xfId="0" applyNumberFormat="1" applyFont="1" applyFill="1" applyBorder="1" applyAlignment="1">
      <alignment horizontal="center" vertical="center"/>
    </xf>
    <xf numFmtId="43" fontId="125" fillId="0" borderId="2" xfId="0" applyNumberFormat="1" applyFont="1" applyFill="1" applyBorder="1" applyAlignment="1">
      <alignment vertical="top" wrapText="1"/>
    </xf>
    <xf numFmtId="43" fontId="125" fillId="0" borderId="5" xfId="0" applyNumberFormat="1" applyFont="1" applyFill="1" applyBorder="1" applyAlignment="1">
      <alignment vertical="top" wrapText="1"/>
    </xf>
    <xf numFmtId="43" fontId="125" fillId="0" borderId="2" xfId="0" applyNumberFormat="1" applyFont="1" applyFill="1" applyBorder="1" applyAlignment="1">
      <alignment horizontal="center" vertical="top" wrapText="1"/>
    </xf>
    <xf numFmtId="0" fontId="124" fillId="34" borderId="67" xfId="0" applyFont="1" applyFill="1" applyBorder="1" applyAlignment="1">
      <alignment horizontal="left" vertical="top"/>
    </xf>
    <xf numFmtId="43" fontId="124" fillId="34" borderId="67" xfId="136" applyFont="1" applyFill="1" applyBorder="1" applyAlignment="1">
      <alignment horizontal="center" vertical="center"/>
    </xf>
    <xf numFmtId="43" fontId="124" fillId="34" borderId="67" xfId="136" applyFont="1" applyFill="1" applyBorder="1" applyAlignment="1">
      <alignment horizontal="center" vertical="top"/>
    </xf>
    <xf numFmtId="43" fontId="124" fillId="34" borderId="68" xfId="136" applyFont="1" applyFill="1" applyBorder="1" applyAlignment="1">
      <alignment horizontal="center" vertical="top"/>
    </xf>
    <xf numFmtId="0" fontId="23" fillId="34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left" vertical="center" wrapText="1"/>
    </xf>
    <xf numFmtId="164" fontId="23" fillId="34" borderId="0" xfId="0" applyNumberFormat="1" applyFont="1" applyFill="1" applyBorder="1" applyAlignment="1">
      <alignment horizontal="right" vertical="center" wrapText="1"/>
    </xf>
    <xf numFmtId="164" fontId="125" fillId="34" borderId="0" xfId="0" applyNumberFormat="1" applyFont="1" applyFill="1" applyBorder="1" applyAlignment="1">
      <alignment horizontal="right" wrapText="1"/>
    </xf>
    <xf numFmtId="0" fontId="23" fillId="34" borderId="0" xfId="0" applyFont="1" applyFill="1" applyBorder="1" applyAlignment="1">
      <alignment vertical="top"/>
    </xf>
    <xf numFmtId="1" fontId="13" fillId="34" borderId="0" xfId="0" applyNumberFormat="1" applyFont="1" applyFill="1" applyBorder="1" applyAlignment="1">
      <alignment vertical="center"/>
    </xf>
    <xf numFmtId="1" fontId="17" fillId="34" borderId="58" xfId="0" applyNumberFormat="1" applyFont="1" applyFill="1" applyBorder="1" applyAlignment="1">
      <alignment vertical="center"/>
    </xf>
    <xf numFmtId="164" fontId="17" fillId="34" borderId="58" xfId="0" applyNumberFormat="1" applyFont="1" applyFill="1" applyBorder="1" applyAlignment="1">
      <alignment vertical="center"/>
    </xf>
    <xf numFmtId="0" fontId="116" fillId="0" borderId="20" xfId="0" applyFont="1" applyFill="1" applyBorder="1" applyAlignment="1">
      <alignment horizontal="right" readingOrder="1"/>
    </xf>
    <xf numFmtId="164" fontId="116" fillId="0" borderId="20" xfId="0" applyNumberFormat="1" applyFont="1" applyFill="1" applyBorder="1" applyAlignment="1">
      <alignment horizontal="right" readingOrder="1"/>
    </xf>
    <xf numFmtId="2" fontId="116" fillId="0" borderId="20" xfId="0" applyNumberFormat="1" applyFont="1" applyFill="1" applyBorder="1" applyAlignment="1">
      <alignment horizontal="right" readingOrder="1"/>
    </xf>
    <xf numFmtId="0" fontId="15" fillId="0" borderId="2" xfId="0" applyFont="1" applyFill="1" applyBorder="1" applyAlignment="1">
      <alignment horizontal="center" vertical="center" wrapText="1"/>
    </xf>
    <xf numFmtId="2" fontId="40" fillId="0" borderId="0" xfId="0" applyNumberFormat="1" applyFont="1" applyFill="1" applyBorder="1" applyAlignment="1">
      <alignment horizontal="center" vertical="center" wrapText="1"/>
    </xf>
    <xf numFmtId="0" fontId="164" fillId="0" borderId="0" xfId="0" applyFont="1" applyBorder="1" applyAlignment="1">
      <alignment horizontal="left" wrapText="1"/>
    </xf>
    <xf numFmtId="2" fontId="40" fillId="0" borderId="0" xfId="0" applyNumberFormat="1" applyFont="1" applyFill="1" applyBorder="1" applyAlignment="1">
      <alignment horizontal="center" wrapText="1"/>
    </xf>
    <xf numFmtId="0" fontId="15" fillId="0" borderId="2" xfId="0" applyFont="1" applyFill="1" applyBorder="1" applyAlignment="1">
      <alignment horizontal="center" vertical="center" wrapText="1"/>
    </xf>
    <xf numFmtId="0" fontId="2" fillId="2" borderId="0" xfId="0" applyFont="1" applyFill="1"/>
    <xf numFmtId="0" fontId="2" fillId="0" borderId="0" xfId="0" applyFont="1" applyFill="1" applyBorder="1"/>
    <xf numFmtId="0" fontId="2" fillId="0" borderId="0" xfId="0" applyFont="1"/>
    <xf numFmtId="0" fontId="2" fillId="2" borderId="0" xfId="0" applyFont="1" applyFill="1" applyBorder="1"/>
    <xf numFmtId="0" fontId="2" fillId="0" borderId="0" xfId="0" applyFont="1" applyBorder="1"/>
    <xf numFmtId="0" fontId="2" fillId="0" borderId="0" xfId="0" applyFont="1" applyFill="1"/>
    <xf numFmtId="2" fontId="40" fillId="0" borderId="0" xfId="0" applyNumberFormat="1" applyFont="1" applyFill="1" applyBorder="1" applyAlignment="1">
      <alignment horizontal="center"/>
    </xf>
    <xf numFmtId="0" fontId="17" fillId="34" borderId="0" xfId="0" applyFont="1" applyFill="1" applyBorder="1" applyAlignment="1">
      <alignment horizontal="left" vertical="center" wrapText="1"/>
    </xf>
    <xf numFmtId="0" fontId="43" fillId="0" borderId="0" xfId="0" applyFont="1" applyFill="1" applyBorder="1" applyAlignment="1">
      <alignment horizontal="left" wrapText="1"/>
    </xf>
    <xf numFmtId="2" fontId="35" fillId="0" borderId="0" xfId="0" applyNumberFormat="1" applyFont="1"/>
    <xf numFmtId="0" fontId="13" fillId="34" borderId="0" xfId="0" applyFont="1" applyFill="1" applyBorder="1" applyAlignment="1">
      <alignment horizontal="left" vertical="center" wrapText="1"/>
    </xf>
    <xf numFmtId="0" fontId="141" fillId="0" borderId="58" xfId="0" applyFont="1" applyFill="1" applyBorder="1" applyAlignment="1">
      <alignment horizontal="right" readingOrder="1"/>
    </xf>
    <xf numFmtId="164" fontId="13" fillId="34" borderId="64" xfId="0" applyNumberFormat="1" applyFont="1" applyFill="1" applyBorder="1" applyAlignment="1">
      <alignment vertical="center"/>
    </xf>
    <xf numFmtId="0" fontId="116" fillId="34" borderId="64" xfId="0" applyFont="1" applyFill="1" applyBorder="1"/>
    <xf numFmtId="0" fontId="126" fillId="34" borderId="58" xfId="0" applyFont="1" applyFill="1" applyBorder="1"/>
    <xf numFmtId="0" fontId="133" fillId="0" borderId="64" xfId="0" applyFont="1" applyFill="1" applyBorder="1" applyAlignment="1">
      <alignment horizontal="right" readingOrder="1"/>
    </xf>
    <xf numFmtId="0" fontId="116" fillId="0" borderId="22" xfId="0" applyFont="1" applyFill="1" applyBorder="1" applyAlignment="1">
      <alignment horizontal="right" readingOrder="1"/>
    </xf>
    <xf numFmtId="164" fontId="126" fillId="34" borderId="69" xfId="0" applyNumberFormat="1" applyFont="1" applyFill="1" applyBorder="1" applyAlignment="1">
      <alignment horizontal="right" readingOrder="1"/>
    </xf>
    <xf numFmtId="0" fontId="126" fillId="0" borderId="69" xfId="0" applyFont="1" applyFill="1" applyBorder="1" applyAlignment="1">
      <alignment horizontal="right" readingOrder="1"/>
    </xf>
    <xf numFmtId="0" fontId="126" fillId="34" borderId="69" xfId="0" applyFont="1" applyFill="1" applyBorder="1" applyAlignment="1">
      <alignment horizontal="right" readingOrder="1"/>
    </xf>
    <xf numFmtId="1" fontId="17" fillId="34" borderId="69" xfId="0" applyNumberFormat="1" applyFont="1" applyFill="1" applyBorder="1" applyAlignment="1">
      <alignment vertical="center"/>
    </xf>
    <xf numFmtId="37" fontId="40" fillId="0" borderId="0" xfId="0" applyNumberFormat="1" applyFont="1" applyFill="1" applyBorder="1" applyAlignment="1">
      <alignment vertical="center" wrapText="1"/>
    </xf>
    <xf numFmtId="0" fontId="43" fillId="0" borderId="0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/>
    </xf>
    <xf numFmtId="0" fontId="30" fillId="0" borderId="2" xfId="0" applyFont="1" applyBorder="1" applyAlignment="1">
      <alignment horizontal="center" vertical="center" wrapText="1"/>
    </xf>
    <xf numFmtId="1" fontId="43" fillId="34" borderId="0" xfId="0" applyNumberFormat="1" applyFont="1" applyFill="1" applyBorder="1" applyAlignment="1">
      <alignment vertical="center"/>
    </xf>
    <xf numFmtId="0" fontId="15" fillId="0" borderId="0" xfId="0" applyFont="1" applyAlignment="1">
      <alignment vertical="center" wrapText="1"/>
    </xf>
    <xf numFmtId="0" fontId="14" fillId="0" borderId="0" xfId="0" applyFont="1" applyBorder="1" applyAlignment="1">
      <alignment vertical="top" wrapText="1"/>
    </xf>
    <xf numFmtId="43" fontId="125" fillId="0" borderId="5" xfId="0" applyNumberFormat="1" applyFont="1" applyFill="1" applyBorder="1" applyAlignment="1">
      <alignment horizontal="center" vertical="top" wrapText="1"/>
    </xf>
    <xf numFmtId="2" fontId="15" fillId="0" borderId="3" xfId="0" applyNumberFormat="1" applyFont="1" applyBorder="1" applyAlignment="1">
      <alignment horizontal="center" vertical="center"/>
    </xf>
    <xf numFmtId="43" fontId="124" fillId="0" borderId="2" xfId="136" applyFont="1" applyBorder="1" applyAlignment="1">
      <alignment horizontal="center" vertical="center"/>
    </xf>
    <xf numFmtId="43" fontId="124" fillId="34" borderId="2" xfId="136" applyFont="1" applyFill="1" applyBorder="1" applyAlignment="1">
      <alignment horizontal="center" vertical="center"/>
    </xf>
    <xf numFmtId="1" fontId="15" fillId="0" borderId="12" xfId="0" applyNumberFormat="1" applyFont="1" applyFill="1" applyBorder="1" applyAlignment="1">
      <alignment horizontal="center" vertical="center"/>
    </xf>
    <xf numFmtId="164" fontId="15" fillId="0" borderId="12" xfId="0" applyNumberFormat="1" applyFont="1" applyFill="1" applyBorder="1" applyAlignment="1">
      <alignment horizontal="center"/>
    </xf>
    <xf numFmtId="0" fontId="15" fillId="0" borderId="12" xfId="0" applyFont="1" applyFill="1" applyBorder="1" applyAlignment="1">
      <alignment horizontal="right"/>
    </xf>
    <xf numFmtId="0" fontId="13" fillId="0" borderId="0" xfId="0" applyFont="1" applyFill="1" applyBorder="1" applyAlignment="1">
      <alignment horizontal="left" vertical="center" wrapText="1"/>
    </xf>
    <xf numFmtId="0" fontId="50" fillId="0" borderId="0" xfId="0" applyFont="1" applyFill="1" applyBorder="1"/>
    <xf numFmtId="0" fontId="130" fillId="34" borderId="0" xfId="0" applyFont="1" applyFill="1" applyBorder="1" applyAlignment="1">
      <alignment horizontal="center" vertical="top"/>
    </xf>
    <xf numFmtId="0" fontId="15" fillId="0" borderId="2" xfId="0" applyFont="1" applyFill="1" applyBorder="1" applyAlignment="1">
      <alignment horizontal="center" vertical="center" wrapText="1"/>
    </xf>
    <xf numFmtId="0" fontId="15" fillId="0" borderId="2" xfId="0" applyFont="1" applyFill="1" applyBorder="1" applyAlignment="1">
      <alignment horizontal="center" vertical="center" wrapText="1"/>
    </xf>
    <xf numFmtId="0" fontId="13" fillId="34" borderId="0" xfId="0" applyFont="1" applyFill="1" applyBorder="1" applyAlignment="1">
      <alignment horizontal="left" vertical="center" wrapText="1"/>
    </xf>
    <xf numFmtId="0" fontId="130" fillId="0" borderId="0" xfId="0" applyFont="1" applyFill="1" applyAlignment="1">
      <alignment horizontal="center"/>
    </xf>
    <xf numFmtId="0" fontId="130" fillId="0" borderId="0" xfId="0" applyFont="1" applyFill="1" applyBorder="1" applyAlignment="1">
      <alignment horizontal="center" vertical="top"/>
    </xf>
    <xf numFmtId="0" fontId="13" fillId="34" borderId="0" xfId="0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left" vertical="center" wrapText="1"/>
    </xf>
    <xf numFmtId="0" fontId="43" fillId="0" borderId="0" xfId="0" applyFont="1" applyFill="1" applyBorder="1" applyAlignment="1">
      <alignment horizontal="left" vertical="top" wrapText="1"/>
    </xf>
    <xf numFmtId="0" fontId="19" fillId="0" borderId="0" xfId="0" applyFont="1" applyBorder="1" applyAlignment="1">
      <alignment vertical="top" wrapText="1"/>
    </xf>
    <xf numFmtId="0" fontId="15" fillId="0" borderId="2" xfId="0" applyFont="1" applyFill="1" applyBorder="1" applyAlignment="1">
      <alignment horizontal="center" vertical="center" wrapText="1"/>
    </xf>
    <xf numFmtId="0" fontId="181" fillId="0" borderId="0" xfId="0" applyFont="1" applyFill="1" applyBorder="1" applyAlignment="1">
      <alignment horizontal="left" vertical="center" wrapText="1"/>
    </xf>
    <xf numFmtId="0" fontId="181" fillId="0" borderId="0" xfId="0" applyFont="1" applyFill="1" applyBorder="1" applyAlignment="1">
      <alignment horizontal="right" vertical="center" wrapText="1"/>
    </xf>
    <xf numFmtId="0" fontId="183" fillId="0" borderId="0" xfId="0" applyFont="1" applyFill="1"/>
    <xf numFmtId="0" fontId="35" fillId="34" borderId="0" xfId="0" applyFont="1" applyFill="1" applyBorder="1" applyAlignment="1">
      <alignment vertical="center" wrapText="1"/>
    </xf>
    <xf numFmtId="0" fontId="13" fillId="0" borderId="0" xfId="0" applyFont="1" applyFill="1" applyBorder="1" applyAlignment="1">
      <alignment horizontal="left" vertical="center" wrapText="1"/>
    </xf>
    <xf numFmtId="0" fontId="15" fillId="0" borderId="12" xfId="0" applyFont="1" applyFill="1" applyBorder="1" applyAlignment="1">
      <alignment horizontal="left" vertical="center"/>
    </xf>
    <xf numFmtId="1" fontId="13" fillId="0" borderId="0" xfId="0" applyNumberFormat="1" applyFont="1" applyFill="1" applyBorder="1" applyAlignment="1">
      <alignment vertical="center"/>
    </xf>
    <xf numFmtId="1" fontId="13" fillId="34" borderId="23" xfId="0" applyNumberFormat="1" applyFont="1" applyFill="1" applyBorder="1" applyAlignment="1">
      <alignment vertical="center"/>
    </xf>
    <xf numFmtId="1" fontId="13" fillId="0" borderId="23" xfId="0" applyNumberFormat="1" applyFont="1" applyFill="1" applyBorder="1" applyAlignment="1">
      <alignment vertical="center"/>
    </xf>
    <xf numFmtId="0" fontId="116" fillId="34" borderId="66" xfId="0" applyFont="1" applyFill="1" applyBorder="1" applyAlignment="1">
      <alignment horizontal="right" readingOrder="1"/>
    </xf>
    <xf numFmtId="0" fontId="43" fillId="0" borderId="12" xfId="0" applyFont="1" applyFill="1" applyBorder="1" applyAlignment="1">
      <alignment horizontal="left" vertical="center"/>
    </xf>
    <xf numFmtId="0" fontId="13" fillId="34" borderId="0" xfId="0" applyFont="1" applyFill="1" applyBorder="1" applyAlignment="1">
      <alignment horizontal="center" vertical="center" wrapText="1"/>
    </xf>
    <xf numFmtId="0" fontId="180" fillId="0" borderId="12" xfId="0" applyFont="1" applyFill="1" applyBorder="1" applyAlignment="1">
      <alignment horizontal="center" vertical="center" wrapText="1"/>
    </xf>
    <xf numFmtId="4" fontId="180" fillId="0" borderId="12" xfId="0" applyNumberFormat="1" applyFont="1" applyFill="1" applyBorder="1" applyAlignment="1">
      <alignment horizontal="center" vertical="center" wrapText="1"/>
    </xf>
    <xf numFmtId="0" fontId="15" fillId="0" borderId="12" xfId="0" applyFont="1" applyFill="1" applyBorder="1" applyAlignment="1">
      <alignment horizontal="right" vertical="center" wrapText="1"/>
    </xf>
    <xf numFmtId="43" fontId="35" fillId="0" borderId="0" xfId="136" applyFont="1" applyFill="1" applyBorder="1"/>
    <xf numFmtId="43" fontId="15" fillId="0" borderId="0" xfId="0" applyNumberFormat="1" applyFont="1" applyFill="1" applyBorder="1"/>
    <xf numFmtId="2" fontId="15" fillId="34" borderId="0" xfId="136" applyNumberFormat="1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vertical="center" wrapText="1"/>
    </xf>
    <xf numFmtId="0" fontId="14" fillId="0" borderId="0" xfId="0" applyFont="1" applyAlignment="1"/>
    <xf numFmtId="173" fontId="116" fillId="0" borderId="12" xfId="0" applyNumberFormat="1" applyFont="1" applyFill="1" applyBorder="1" applyAlignment="1">
      <alignment horizontal="center" wrapText="1"/>
    </xf>
    <xf numFmtId="2" fontId="116" fillId="0" borderId="12" xfId="0" applyNumberFormat="1" applyFont="1" applyFill="1" applyBorder="1" applyAlignment="1">
      <alignment horizontal="center" wrapText="1"/>
    </xf>
    <xf numFmtId="2" fontId="116" fillId="0" borderId="12" xfId="0" applyNumberFormat="1" applyFont="1" applyFill="1" applyBorder="1" applyAlignment="1">
      <alignment horizontal="center"/>
    </xf>
    <xf numFmtId="2" fontId="15" fillId="0" borderId="12" xfId="0" applyNumberFormat="1" applyFont="1" applyFill="1" applyBorder="1" applyAlignment="1">
      <alignment horizontal="center"/>
    </xf>
    <xf numFmtId="0" fontId="13" fillId="0" borderId="12" xfId="0" applyFont="1" applyFill="1" applyBorder="1" applyAlignment="1">
      <alignment vertical="center"/>
    </xf>
    <xf numFmtId="2" fontId="13" fillId="0" borderId="12" xfId="0" applyNumberFormat="1" applyFont="1" applyFill="1" applyBorder="1" applyAlignment="1">
      <alignment horizontal="center" vertical="center"/>
    </xf>
    <xf numFmtId="0" fontId="13" fillId="0" borderId="12" xfId="0" applyFont="1" applyFill="1" applyBorder="1" applyAlignment="1">
      <alignment horizontal="right" vertical="center"/>
    </xf>
    <xf numFmtId="164" fontId="124" fillId="34" borderId="12" xfId="0" applyNumberFormat="1" applyFont="1" applyFill="1" applyBorder="1" applyAlignment="1">
      <alignment horizontal="center" vertical="center" wrapText="1"/>
    </xf>
    <xf numFmtId="164" fontId="116" fillId="34" borderId="12" xfId="0" applyNumberFormat="1" applyFont="1" applyFill="1" applyBorder="1" applyAlignment="1">
      <alignment horizontal="center" vertical="center" wrapText="1"/>
    </xf>
    <xf numFmtId="1" fontId="15" fillId="34" borderId="12" xfId="0" applyNumberFormat="1" applyFont="1" applyFill="1" applyBorder="1" applyAlignment="1">
      <alignment horizontal="center" vertical="center"/>
    </xf>
    <xf numFmtId="43" fontId="15" fillId="0" borderId="0" xfId="0" applyNumberFormat="1" applyFont="1" applyBorder="1"/>
    <xf numFmtId="166" fontId="15" fillId="34" borderId="12" xfId="0" applyNumberFormat="1" applyFont="1" applyFill="1" applyBorder="1" applyAlignment="1">
      <alignment horizontal="center" vertical="center"/>
    </xf>
    <xf numFmtId="0" fontId="15" fillId="34" borderId="12" xfId="0" applyFont="1" applyFill="1" applyBorder="1" applyAlignment="1">
      <alignment horizontal="right" vertical="center"/>
    </xf>
    <xf numFmtId="0" fontId="15" fillId="34" borderId="12" xfId="0" applyFont="1" applyFill="1" applyBorder="1" applyAlignment="1">
      <alignment horizontal="left" vertical="center"/>
    </xf>
    <xf numFmtId="164" fontId="124" fillId="0" borderId="12" xfId="0" applyNumberFormat="1" applyFont="1" applyFill="1" applyBorder="1" applyAlignment="1">
      <alignment horizontal="center" wrapText="1"/>
    </xf>
    <xf numFmtId="0" fontId="13" fillId="34" borderId="0" xfId="0" applyFont="1" applyFill="1" applyBorder="1" applyAlignment="1">
      <alignment horizontal="left" vertical="center" wrapText="1"/>
    </xf>
    <xf numFmtId="164" fontId="124" fillId="34" borderId="12" xfId="0" applyNumberFormat="1" applyFont="1" applyFill="1" applyBorder="1" applyAlignment="1">
      <alignment horizontal="center" vertical="top" wrapText="1"/>
    </xf>
    <xf numFmtId="2" fontId="7" fillId="0" borderId="0" xfId="0" applyNumberFormat="1" applyFont="1" applyFill="1"/>
    <xf numFmtId="0" fontId="13" fillId="0" borderId="12" xfId="0" applyFont="1" applyFill="1" applyBorder="1" applyAlignment="1">
      <alignment horizontal="center" vertical="center"/>
    </xf>
    <xf numFmtId="2" fontId="116" fillId="0" borderId="12" xfId="0" applyNumberFormat="1" applyFont="1" applyFill="1" applyBorder="1" applyAlignment="1">
      <alignment horizontal="center" vertical="center" wrapText="1"/>
    </xf>
    <xf numFmtId="2" fontId="124" fillId="0" borderId="12" xfId="0" applyNumberFormat="1" applyFont="1" applyFill="1" applyBorder="1" applyAlignment="1">
      <alignment horizontal="center" vertical="center" wrapText="1"/>
    </xf>
    <xf numFmtId="1" fontId="13" fillId="34" borderId="12" xfId="0" applyNumberFormat="1" applyFont="1" applyFill="1" applyBorder="1" applyAlignment="1">
      <alignment horizontal="center" vertical="center" wrapText="1"/>
    </xf>
    <xf numFmtId="1" fontId="15" fillId="34" borderId="12" xfId="0" applyNumberFormat="1" applyFont="1" applyFill="1" applyBorder="1" applyAlignment="1">
      <alignment horizontal="center" vertical="center" wrapText="1"/>
    </xf>
    <xf numFmtId="1" fontId="13" fillId="34" borderId="12" xfId="0" applyNumberFormat="1" applyFont="1" applyFill="1" applyBorder="1" applyAlignment="1">
      <alignment horizontal="left" wrapText="1"/>
    </xf>
    <xf numFmtId="1" fontId="13" fillId="34" borderId="12" xfId="0" applyNumberFormat="1" applyFont="1" applyFill="1" applyBorder="1" applyAlignment="1">
      <alignment horizontal="right" wrapText="1"/>
    </xf>
    <xf numFmtId="1" fontId="15" fillId="0" borderId="0" xfId="0" applyNumberFormat="1" applyFont="1" applyBorder="1"/>
    <xf numFmtId="0" fontId="15" fillId="0" borderId="12" xfId="0" applyFont="1" applyFill="1" applyBorder="1" applyAlignment="1">
      <alignment horizontal="left" wrapText="1"/>
    </xf>
    <xf numFmtId="2" fontId="15" fillId="0" borderId="12" xfId="0" applyNumberFormat="1" applyFont="1" applyFill="1" applyBorder="1" applyAlignment="1">
      <alignment horizontal="center" vertical="center" wrapText="1"/>
    </xf>
    <xf numFmtId="0" fontId="124" fillId="0" borderId="12" xfId="0" applyFont="1" applyFill="1" applyBorder="1" applyAlignment="1">
      <alignment horizontal="center" vertical="center" wrapText="1"/>
    </xf>
    <xf numFmtId="0" fontId="13" fillId="34" borderId="12" xfId="0" applyFont="1" applyFill="1" applyBorder="1" applyAlignment="1">
      <alignment horizontal="left" vertical="center"/>
    </xf>
    <xf numFmtId="1" fontId="50" fillId="34" borderId="12" xfId="0" applyNumberFormat="1" applyFont="1" applyFill="1" applyBorder="1" applyAlignment="1">
      <alignment horizontal="center" vertical="center"/>
    </xf>
    <xf numFmtId="2" fontId="50" fillId="34" borderId="12" xfId="0" applyNumberFormat="1" applyFont="1" applyFill="1" applyBorder="1" applyAlignment="1">
      <alignment horizontal="center" vertical="center"/>
    </xf>
    <xf numFmtId="0" fontId="43" fillId="34" borderId="12" xfId="0" applyFont="1" applyFill="1" applyBorder="1" applyAlignment="1">
      <alignment horizontal="left" vertical="center"/>
    </xf>
    <xf numFmtId="2" fontId="133" fillId="34" borderId="12" xfId="198" applyNumberFormat="1" applyFont="1" applyFill="1" applyBorder="1" applyAlignment="1">
      <alignment horizontal="center"/>
    </xf>
    <xf numFmtId="0" fontId="130" fillId="34" borderId="12" xfId="0" applyFont="1" applyFill="1" applyBorder="1" applyAlignment="1">
      <alignment horizontal="center" vertical="top"/>
    </xf>
    <xf numFmtId="0" fontId="130" fillId="0" borderId="12" xfId="0" applyFont="1" applyFill="1" applyBorder="1"/>
    <xf numFmtId="0" fontId="130" fillId="0" borderId="12" xfId="0" applyFont="1" applyFill="1" applyBorder="1" applyAlignment="1">
      <alignment horizontal="center"/>
    </xf>
    <xf numFmtId="0" fontId="15" fillId="34" borderId="12" xfId="0" applyFont="1" applyFill="1" applyBorder="1" applyAlignment="1"/>
    <xf numFmtId="0" fontId="43" fillId="0" borderId="12" xfId="0" applyFont="1" applyFill="1" applyBorder="1" applyAlignment="1">
      <alignment horizontal="left" vertical="center" wrapText="1"/>
    </xf>
    <xf numFmtId="37" fontId="40" fillId="0" borderId="12" xfId="0" applyNumberFormat="1" applyFont="1" applyFill="1" applyBorder="1" applyAlignment="1">
      <alignment vertical="center" wrapText="1"/>
    </xf>
    <xf numFmtId="0" fontId="43" fillId="0" borderId="12" xfId="0" applyFont="1" applyFill="1" applyBorder="1" applyAlignment="1">
      <alignment horizontal="center" vertical="center" wrapText="1"/>
    </xf>
    <xf numFmtId="164" fontId="124" fillId="34" borderId="12" xfId="0" applyNumberFormat="1" applyFont="1" applyFill="1" applyBorder="1" applyAlignment="1">
      <alignment horizontal="center" vertical="center"/>
    </xf>
    <xf numFmtId="0" fontId="15" fillId="34" borderId="12" xfId="0" applyFont="1" applyFill="1" applyBorder="1" applyAlignment="1">
      <alignment vertical="top"/>
    </xf>
    <xf numFmtId="164" fontId="15" fillId="34" borderId="12" xfId="0" applyNumberFormat="1" applyFont="1" applyFill="1" applyBorder="1" applyAlignment="1">
      <alignment horizontal="center" vertical="center" wrapText="1"/>
    </xf>
    <xf numFmtId="0" fontId="171" fillId="2" borderId="12" xfId="0" applyFont="1" applyFill="1" applyBorder="1" applyAlignment="1">
      <alignment horizontal="left" vertical="top"/>
    </xf>
    <xf numFmtId="0" fontId="170" fillId="0" borderId="0" xfId="0" applyFont="1" applyFill="1" applyBorder="1" applyAlignment="1">
      <alignment horizontal="center"/>
    </xf>
    <xf numFmtId="0" fontId="164" fillId="0" borderId="0" xfId="0" applyFont="1" applyBorder="1" applyAlignment="1">
      <alignment horizontal="left" wrapText="1"/>
    </xf>
    <xf numFmtId="0" fontId="142" fillId="0" borderId="0" xfId="0" applyFont="1" applyFill="1" applyBorder="1" applyAlignment="1">
      <alignment horizontal="right" vertical="center"/>
    </xf>
    <xf numFmtId="0" fontId="171" fillId="2" borderId="0" xfId="0" applyFont="1" applyFill="1" applyBorder="1" applyAlignment="1">
      <alignment horizontal="left" vertical="center" wrapText="1"/>
    </xf>
    <xf numFmtId="49" fontId="173" fillId="0" borderId="16" xfId="0" applyNumberFormat="1" applyFont="1" applyFill="1" applyBorder="1" applyAlignment="1">
      <alignment horizontal="center"/>
    </xf>
    <xf numFmtId="49" fontId="173" fillId="0" borderId="0" xfId="0" applyNumberFormat="1" applyFont="1" applyFill="1" applyBorder="1" applyAlignment="1">
      <alignment horizontal="center"/>
    </xf>
    <xf numFmtId="49" fontId="173" fillId="0" borderId="17" xfId="0" applyNumberFormat="1" applyFont="1" applyFill="1" applyBorder="1" applyAlignment="1">
      <alignment horizontal="center"/>
    </xf>
    <xf numFmtId="0" fontId="165" fillId="0" borderId="0" xfId="0" applyFont="1" applyBorder="1" applyAlignment="1">
      <alignment horizontal="left"/>
    </xf>
    <xf numFmtId="0" fontId="164" fillId="0" borderId="0" xfId="0" applyFont="1"/>
    <xf numFmtId="0" fontId="164" fillId="0" borderId="17" xfId="0" applyFont="1" applyBorder="1"/>
    <xf numFmtId="0" fontId="143" fillId="0" borderId="0" xfId="0" applyFont="1" applyFill="1" applyBorder="1" applyAlignment="1">
      <alignment horizontal="left" vertical="center"/>
    </xf>
    <xf numFmtId="0" fontId="142" fillId="0" borderId="0" xfId="0" applyFont="1" applyFill="1" applyBorder="1" applyAlignment="1">
      <alignment horizontal="center"/>
    </xf>
    <xf numFmtId="0" fontId="173" fillId="0" borderId="16" xfId="0" applyFont="1" applyFill="1" applyBorder="1" applyAlignment="1">
      <alignment horizontal="center"/>
    </xf>
    <xf numFmtId="0" fontId="173" fillId="0" borderId="0" xfId="0" applyFont="1" applyFill="1" applyBorder="1" applyAlignment="1">
      <alignment horizontal="center"/>
    </xf>
    <xf numFmtId="0" fontId="173" fillId="0" borderId="17" xfId="0" applyFont="1" applyFill="1" applyBorder="1" applyAlignment="1">
      <alignment horizontal="center"/>
    </xf>
    <xf numFmtId="0" fontId="165" fillId="0" borderId="13" xfId="0" applyFont="1" applyBorder="1" applyAlignment="1">
      <alignment horizontal="center" vertical="top" wrapText="1"/>
    </xf>
    <xf numFmtId="0" fontId="165" fillId="0" borderId="14" xfId="0" applyFont="1" applyBorder="1" applyAlignment="1">
      <alignment horizontal="center" vertical="top" wrapText="1"/>
    </xf>
    <xf numFmtId="0" fontId="165" fillId="0" borderId="15" xfId="0" applyFont="1" applyBorder="1" applyAlignment="1">
      <alignment horizontal="center" vertical="top" wrapText="1"/>
    </xf>
    <xf numFmtId="0" fontId="165" fillId="0" borderId="16" xfId="0" applyFont="1" applyBorder="1" applyAlignment="1">
      <alignment horizontal="center" vertical="top" wrapText="1"/>
    </xf>
    <xf numFmtId="0" fontId="165" fillId="0" borderId="0" xfId="0" applyFont="1" applyBorder="1" applyAlignment="1">
      <alignment horizontal="center" vertical="top" wrapText="1"/>
    </xf>
    <xf numFmtId="0" fontId="165" fillId="0" borderId="17" xfId="0" applyFont="1" applyBorder="1" applyAlignment="1">
      <alignment horizontal="center" vertical="top" wrapText="1"/>
    </xf>
    <xf numFmtId="0" fontId="171" fillId="0" borderId="0" xfId="0" applyFont="1" applyFill="1" applyBorder="1" applyAlignment="1">
      <alignment horizontal="left" vertical="center" wrapText="1"/>
    </xf>
    <xf numFmtId="0" fontId="3" fillId="0" borderId="0" xfId="173" applyAlignment="1" applyProtection="1">
      <alignment horizontal="left"/>
    </xf>
    <xf numFmtId="0" fontId="34" fillId="0" borderId="0" xfId="0" applyFont="1" applyAlignment="1">
      <alignment horizontal="left"/>
    </xf>
    <xf numFmtId="0" fontId="171" fillId="0" borderId="0" xfId="0" applyFont="1" applyBorder="1" applyAlignment="1">
      <alignment horizontal="left" wrapText="1"/>
    </xf>
    <xf numFmtId="0" fontId="171" fillId="0" borderId="0" xfId="0" applyFont="1" applyBorder="1" applyAlignment="1">
      <alignment horizontal="left" vertical="center" wrapText="1"/>
    </xf>
    <xf numFmtId="0" fontId="171" fillId="2" borderId="0" xfId="0" applyFont="1" applyFill="1" applyBorder="1" applyAlignment="1">
      <alignment horizontal="left" vertical="top"/>
    </xf>
    <xf numFmtId="0" fontId="166" fillId="0" borderId="0" xfId="0" applyFont="1" applyFill="1" applyBorder="1" applyAlignment="1">
      <alignment horizontal="center"/>
    </xf>
    <xf numFmtId="0" fontId="173" fillId="2" borderId="16" xfId="0" applyFont="1" applyFill="1" applyBorder="1" applyAlignment="1">
      <alignment horizontal="center"/>
    </xf>
    <xf numFmtId="0" fontId="173" fillId="2" borderId="0" xfId="0" applyFont="1" applyFill="1" applyBorder="1" applyAlignment="1">
      <alignment horizontal="center"/>
    </xf>
    <xf numFmtId="0" fontId="173" fillId="2" borderId="17" xfId="0" applyFont="1" applyFill="1" applyBorder="1" applyAlignment="1">
      <alignment horizontal="center"/>
    </xf>
    <xf numFmtId="175" fontId="173" fillId="0" borderId="16" xfId="0" applyNumberFormat="1" applyFont="1" applyFill="1" applyBorder="1" applyAlignment="1">
      <alignment horizontal="center"/>
    </xf>
    <xf numFmtId="175" fontId="173" fillId="0" borderId="0" xfId="0" applyNumberFormat="1" applyFont="1" applyFill="1" applyBorder="1" applyAlignment="1">
      <alignment horizontal="center"/>
    </xf>
    <xf numFmtId="175" fontId="173" fillId="0" borderId="17" xfId="0" applyNumberFormat="1" applyFont="1" applyFill="1" applyBorder="1" applyAlignment="1">
      <alignment horizontal="center"/>
    </xf>
    <xf numFmtId="0" fontId="165" fillId="0" borderId="0" xfId="0" applyFont="1" applyFill="1" applyAlignment="1">
      <alignment horizontal="left"/>
    </xf>
    <xf numFmtId="0" fontId="70" fillId="0" borderId="0" xfId="0" applyFont="1" applyAlignment="1">
      <alignment horizontal="center" vertical="center"/>
    </xf>
    <xf numFmtId="0" fontId="21" fillId="0" borderId="0" xfId="0" applyFont="1" applyAlignment="1">
      <alignment horizontal="left" wrapText="1"/>
    </xf>
    <xf numFmtId="0" fontId="21" fillId="0" borderId="0" xfId="0" applyNumberFormat="1" applyFont="1" applyBorder="1" applyAlignment="1">
      <alignment horizontal="right" wrapText="1"/>
    </xf>
    <xf numFmtId="0" fontId="30" fillId="0" borderId="0" xfId="0" applyFont="1" applyBorder="1" applyAlignment="1">
      <alignment horizontal="right" wrapText="1"/>
    </xf>
    <xf numFmtId="0" fontId="8" fillId="0" borderId="2" xfId="0" applyFont="1" applyFill="1" applyBorder="1" applyAlignment="1">
      <alignment horizontal="center" vertical="center" wrapText="1"/>
    </xf>
    <xf numFmtId="0" fontId="30" fillId="0" borderId="2" xfId="0" applyFont="1" applyFill="1" applyBorder="1" applyAlignment="1">
      <alignment horizontal="center" vertical="center" wrapText="1"/>
    </xf>
    <xf numFmtId="0" fontId="30" fillId="0" borderId="0" xfId="0" applyFont="1" applyAlignment="1">
      <alignment horizontal="right" wrapText="1"/>
    </xf>
    <xf numFmtId="0" fontId="28" fillId="0" borderId="0" xfId="0" applyFont="1" applyAlignment="1">
      <alignment horizontal="right" wrapText="1"/>
    </xf>
    <xf numFmtId="0" fontId="21" fillId="0" borderId="0" xfId="0" applyFont="1" applyAlignment="1">
      <alignment horizontal="right" wrapText="1"/>
    </xf>
    <xf numFmtId="0" fontId="15" fillId="0" borderId="2" xfId="0" applyFont="1" applyFill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26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/>
    </xf>
    <xf numFmtId="0" fontId="21" fillId="0" borderId="0" xfId="0" applyFont="1" applyAlignment="1">
      <alignment horizontal="right"/>
    </xf>
    <xf numFmtId="0" fontId="86" fillId="0" borderId="0" xfId="0" applyFont="1" applyBorder="1" applyAlignment="1">
      <alignment horizontal="left" wrapText="1"/>
    </xf>
    <xf numFmtId="0" fontId="30" fillId="0" borderId="2" xfId="0" applyFont="1" applyFill="1" applyBorder="1" applyAlignment="1">
      <alignment horizontal="center" vertical="center"/>
    </xf>
    <xf numFmtId="0" fontId="86" fillId="0" borderId="0" xfId="0" applyFont="1" applyBorder="1" applyAlignment="1">
      <alignment horizontal="left"/>
    </xf>
    <xf numFmtId="0" fontId="86" fillId="0" borderId="0" xfId="0" applyFont="1" applyAlignment="1">
      <alignment horizontal="left" wrapText="1"/>
    </xf>
    <xf numFmtId="0" fontId="8" fillId="0" borderId="8" xfId="0" applyFont="1" applyFill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21" fillId="0" borderId="0" xfId="0" applyFont="1" applyAlignment="1">
      <alignment horizontal="left"/>
    </xf>
    <xf numFmtId="0" fontId="21" fillId="0" borderId="0" xfId="0" applyFont="1" applyBorder="1" applyAlignment="1">
      <alignment horizontal="right" wrapText="1"/>
    </xf>
    <xf numFmtId="0" fontId="7" fillId="0" borderId="2" xfId="0" applyFont="1" applyBorder="1" applyAlignment="1">
      <alignment horizontal="center" vertical="center" wrapText="1"/>
    </xf>
    <xf numFmtId="0" fontId="30" fillId="0" borderId="8" xfId="0" applyFont="1" applyFill="1" applyBorder="1" applyAlignment="1">
      <alignment horizontal="center" vertical="center" wrapText="1"/>
    </xf>
    <xf numFmtId="0" fontId="30" fillId="0" borderId="26" xfId="0" applyFont="1" applyFill="1" applyBorder="1" applyAlignment="1">
      <alignment horizontal="center" vertical="center" wrapText="1"/>
    </xf>
    <xf numFmtId="0" fontId="30" fillId="0" borderId="3" xfId="0" applyFont="1" applyFill="1" applyBorder="1" applyAlignment="1">
      <alignment horizontal="center" vertical="center" wrapText="1"/>
    </xf>
    <xf numFmtId="0" fontId="0" fillId="0" borderId="26" xfId="0" applyFill="1" applyBorder="1"/>
    <xf numFmtId="0" fontId="0" fillId="0" borderId="3" xfId="0" applyFill="1" applyBorder="1"/>
    <xf numFmtId="0" fontId="30" fillId="0" borderId="8" xfId="0" applyNumberFormat="1" applyFont="1" applyFill="1" applyBorder="1" applyAlignment="1">
      <alignment horizontal="center" vertical="center" wrapText="1"/>
    </xf>
    <xf numFmtId="0" fontId="30" fillId="0" borderId="3" xfId="0" applyNumberFormat="1" applyFont="1" applyFill="1" applyBorder="1" applyAlignment="1">
      <alignment horizontal="center" vertical="center" wrapText="1"/>
    </xf>
    <xf numFmtId="0" fontId="8" fillId="0" borderId="5" xfId="0" applyFont="1" applyFill="1" applyBorder="1" applyAlignment="1">
      <alignment horizontal="center" vertical="center"/>
    </xf>
    <xf numFmtId="0" fontId="8" fillId="0" borderId="11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30" fillId="0" borderId="10" xfId="0" applyFont="1" applyFill="1" applyBorder="1" applyAlignment="1">
      <alignment horizontal="center" vertical="center" wrapText="1"/>
    </xf>
    <xf numFmtId="0" fontId="7" fillId="0" borderId="6" xfId="0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 wrapText="1"/>
    </xf>
    <xf numFmtId="49" fontId="86" fillId="0" borderId="0" xfId="0" applyNumberFormat="1" applyFont="1" applyBorder="1" applyAlignment="1">
      <alignment horizontal="left" wrapText="1"/>
    </xf>
    <xf numFmtId="0" fontId="40" fillId="0" borderId="3" xfId="0" applyFont="1" applyFill="1" applyBorder="1" applyAlignment="1">
      <alignment horizontal="center" vertical="center" wrapText="1"/>
    </xf>
    <xf numFmtId="0" fontId="40" fillId="0" borderId="2" xfId="0" applyFont="1" applyFill="1" applyBorder="1" applyAlignment="1">
      <alignment horizontal="center" vertical="center" wrapText="1"/>
    </xf>
    <xf numFmtId="0" fontId="40" fillId="0" borderId="8" xfId="0" applyFont="1" applyFill="1" applyBorder="1" applyAlignment="1">
      <alignment horizontal="center" vertical="center" wrapText="1"/>
    </xf>
    <xf numFmtId="0" fontId="86" fillId="0" borderId="0" xfId="0" applyFont="1" applyBorder="1" applyAlignment="1">
      <alignment horizontal="left" vertical="justify" wrapText="1"/>
    </xf>
    <xf numFmtId="0" fontId="86" fillId="0" borderId="0" xfId="0" applyFont="1" applyAlignment="1">
      <alignment horizontal="left"/>
    </xf>
    <xf numFmtId="0" fontId="8" fillId="0" borderId="11" xfId="0" applyFont="1" applyFill="1" applyBorder="1" applyAlignment="1">
      <alignment horizontal="center" vertical="center" wrapText="1"/>
    </xf>
    <xf numFmtId="0" fontId="8" fillId="0" borderId="6" xfId="0" applyFont="1" applyFill="1" applyBorder="1" applyAlignment="1">
      <alignment horizontal="center" vertical="center" wrapText="1"/>
    </xf>
    <xf numFmtId="0" fontId="8" fillId="0" borderId="5" xfId="0" applyFont="1" applyFill="1" applyBorder="1" applyAlignment="1">
      <alignment horizontal="right" vertical="center"/>
    </xf>
    <xf numFmtId="0" fontId="8" fillId="0" borderId="11" xfId="0" applyFont="1" applyFill="1" applyBorder="1" applyAlignment="1">
      <alignment horizontal="right" vertical="center"/>
    </xf>
    <xf numFmtId="0" fontId="8" fillId="0" borderId="20" xfId="0" applyFont="1" applyFill="1" applyBorder="1" applyAlignment="1">
      <alignment horizontal="right" vertical="center"/>
    </xf>
    <xf numFmtId="0" fontId="8" fillId="0" borderId="20" xfId="0" applyFont="1" applyFill="1" applyBorder="1" applyAlignment="1">
      <alignment horizontal="left" vertical="center"/>
    </xf>
    <xf numFmtId="0" fontId="8" fillId="0" borderId="6" xfId="0" applyFont="1" applyFill="1" applyBorder="1" applyAlignment="1">
      <alignment horizontal="left" vertical="center"/>
    </xf>
    <xf numFmtId="0" fontId="30" fillId="0" borderId="0" xfId="0" applyFont="1" applyBorder="1" applyAlignment="1">
      <alignment horizontal="center" wrapText="1"/>
    </xf>
    <xf numFmtId="0" fontId="36" fillId="0" borderId="5" xfId="0" applyFont="1" applyFill="1" applyBorder="1" applyAlignment="1">
      <alignment horizontal="center" vertical="center" wrapText="1"/>
    </xf>
    <xf numFmtId="0" fontId="36" fillId="0" borderId="11" xfId="0" applyFont="1" applyFill="1" applyBorder="1" applyAlignment="1">
      <alignment horizontal="center" vertical="center" wrapText="1"/>
    </xf>
    <xf numFmtId="0" fontId="36" fillId="0" borderId="6" xfId="0" applyFont="1" applyFill="1" applyBorder="1" applyAlignment="1">
      <alignment horizontal="center" vertical="center" wrapText="1"/>
    </xf>
    <xf numFmtId="0" fontId="30" fillId="0" borderId="5" xfId="0" applyFont="1" applyFill="1" applyBorder="1" applyAlignment="1">
      <alignment horizontal="center" vertical="center" wrapText="1"/>
    </xf>
    <xf numFmtId="0" fontId="15" fillId="0" borderId="8" xfId="0" applyFont="1" applyFill="1" applyBorder="1" applyAlignment="1">
      <alignment horizontal="center" vertical="center" wrapText="1"/>
    </xf>
    <xf numFmtId="0" fontId="15" fillId="0" borderId="3" xfId="0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 wrapText="1"/>
    </xf>
    <xf numFmtId="0" fontId="30" fillId="0" borderId="0" xfId="0" applyFont="1" applyAlignment="1">
      <alignment horizontal="left" wrapText="1"/>
    </xf>
    <xf numFmtId="0" fontId="36" fillId="0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center"/>
    </xf>
    <xf numFmtId="0" fontId="144" fillId="0" borderId="0" xfId="0" applyFont="1" applyAlignment="1">
      <alignment horizontal="left"/>
    </xf>
    <xf numFmtId="0" fontId="14" fillId="0" borderId="8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 wrapText="1"/>
    </xf>
    <xf numFmtId="0" fontId="35" fillId="0" borderId="0" xfId="0" applyFont="1" applyBorder="1" applyAlignment="1">
      <alignment horizontal="left" vertical="center" wrapText="1"/>
    </xf>
    <xf numFmtId="0" fontId="35" fillId="0" borderId="0" xfId="0" applyFont="1" applyBorder="1" applyAlignment="1">
      <alignment horizontal="left" wrapText="1"/>
    </xf>
    <xf numFmtId="0" fontId="14" fillId="0" borderId="22" xfId="0" applyFont="1" applyFill="1" applyBorder="1" applyAlignment="1">
      <alignment horizontal="center" vertical="center" wrapText="1"/>
    </xf>
    <xf numFmtId="0" fontId="14" fillId="0" borderId="10" xfId="0" applyFont="1" applyFill="1" applyBorder="1" applyAlignment="1">
      <alignment horizontal="center" vertical="center" wrapText="1"/>
    </xf>
    <xf numFmtId="0" fontId="35" fillId="0" borderId="0" xfId="0" applyFont="1" applyBorder="1" applyAlignment="1">
      <alignment horizontal="left" vertical="top" wrapText="1"/>
    </xf>
    <xf numFmtId="0" fontId="28" fillId="0" borderId="5" xfId="0" applyFont="1" applyFill="1" applyBorder="1" applyAlignment="1">
      <alignment horizontal="center" vertical="center" wrapText="1"/>
    </xf>
    <xf numFmtId="0" fontId="28" fillId="0" borderId="11" xfId="0" applyFont="1" applyFill="1" applyBorder="1" applyAlignment="1">
      <alignment horizontal="center" vertical="center" wrapText="1"/>
    </xf>
    <xf numFmtId="0" fontId="28" fillId="0" borderId="6" xfId="0" applyFont="1" applyFill="1" applyBorder="1" applyAlignment="1">
      <alignment horizontal="center" vertical="center" wrapText="1"/>
    </xf>
    <xf numFmtId="0" fontId="28" fillId="0" borderId="20" xfId="0" applyFont="1" applyFill="1" applyBorder="1" applyAlignment="1">
      <alignment horizontal="center" vertical="center" wrapText="1"/>
    </xf>
    <xf numFmtId="0" fontId="28" fillId="0" borderId="22" xfId="0" applyFont="1" applyFill="1" applyBorder="1" applyAlignment="1">
      <alignment horizontal="center" vertical="center" wrapText="1"/>
    </xf>
    <xf numFmtId="0" fontId="28" fillId="0" borderId="1" xfId="0" applyFont="1" applyFill="1" applyBorder="1" applyAlignment="1">
      <alignment horizontal="center" vertical="center" wrapText="1"/>
    </xf>
    <xf numFmtId="0" fontId="28" fillId="0" borderId="10" xfId="0" applyFont="1" applyFill="1" applyBorder="1" applyAlignment="1">
      <alignment horizontal="center" vertical="center" wrapText="1"/>
    </xf>
    <xf numFmtId="0" fontId="30" fillId="0" borderId="9" xfId="0" applyFont="1" applyFill="1" applyBorder="1" applyAlignment="1">
      <alignment horizontal="center" vertical="center"/>
    </xf>
    <xf numFmtId="0" fontId="30" fillId="0" borderId="6" xfId="0" applyFont="1" applyFill="1" applyBorder="1" applyAlignment="1">
      <alignment horizontal="center" vertical="center"/>
    </xf>
    <xf numFmtId="0" fontId="30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right"/>
    </xf>
    <xf numFmtId="0" fontId="21" fillId="0" borderId="0" xfId="0" applyFont="1" applyBorder="1" applyAlignment="1">
      <alignment horizontal="right"/>
    </xf>
    <xf numFmtId="0" fontId="7" fillId="0" borderId="0" xfId="0" applyFont="1" applyBorder="1" applyAlignment="1">
      <alignment horizontal="right" wrapText="1"/>
    </xf>
    <xf numFmtId="0" fontId="28" fillId="0" borderId="5" xfId="0" applyFont="1" applyFill="1" applyBorder="1" applyAlignment="1">
      <alignment horizontal="center" vertical="center"/>
    </xf>
    <xf numFmtId="0" fontId="28" fillId="0" borderId="11" xfId="0" applyFont="1" applyFill="1" applyBorder="1" applyAlignment="1">
      <alignment horizontal="center" vertical="center"/>
    </xf>
    <xf numFmtId="0" fontId="28" fillId="0" borderId="6" xfId="0" applyFont="1" applyFill="1" applyBorder="1" applyAlignment="1">
      <alignment horizontal="center" vertical="center"/>
    </xf>
    <xf numFmtId="0" fontId="28" fillId="0" borderId="9" xfId="0" applyFont="1" applyFill="1" applyBorder="1" applyAlignment="1">
      <alignment horizontal="center" vertical="center"/>
    </xf>
    <xf numFmtId="0" fontId="28" fillId="0" borderId="22" xfId="0" applyFont="1" applyFill="1" applyBorder="1" applyAlignment="1">
      <alignment horizontal="center" vertical="center"/>
    </xf>
    <xf numFmtId="0" fontId="30" fillId="0" borderId="8" xfId="0" applyFont="1" applyBorder="1" applyAlignment="1">
      <alignment horizontal="center" vertical="center" wrapText="1"/>
    </xf>
    <xf numFmtId="0" fontId="30" fillId="0" borderId="26" xfId="0" applyFont="1" applyBorder="1" applyAlignment="1">
      <alignment horizontal="center" vertical="center" wrapText="1"/>
    </xf>
    <xf numFmtId="0" fontId="30" fillId="0" borderId="3" xfId="0" applyFont="1" applyBorder="1" applyAlignment="1">
      <alignment horizontal="center" vertical="center" wrapText="1"/>
    </xf>
    <xf numFmtId="0" fontId="30" fillId="0" borderId="27" xfId="0" applyFont="1" applyBorder="1" applyAlignment="1">
      <alignment horizontal="right" wrapText="1"/>
    </xf>
    <xf numFmtId="0" fontId="30" fillId="0" borderId="27" xfId="0" applyFont="1" applyBorder="1" applyAlignment="1"/>
    <xf numFmtId="0" fontId="30" fillId="0" borderId="28" xfId="0" applyFont="1" applyFill="1" applyBorder="1" applyAlignment="1">
      <alignment horizontal="center" vertical="center" wrapText="1"/>
    </xf>
    <xf numFmtId="0" fontId="30" fillId="0" borderId="29" xfId="0" applyFont="1" applyFill="1" applyBorder="1" applyAlignment="1">
      <alignment horizontal="center" vertical="center" wrapText="1"/>
    </xf>
    <xf numFmtId="0" fontId="30" fillId="0" borderId="30" xfId="0" applyFont="1" applyFill="1" applyBorder="1" applyAlignment="1">
      <alignment horizontal="center" vertical="center" wrapText="1"/>
    </xf>
    <xf numFmtId="0" fontId="30" fillId="0" borderId="24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left"/>
    </xf>
    <xf numFmtId="0" fontId="14" fillId="0" borderId="0" xfId="0" applyFont="1" applyBorder="1" applyAlignment="1">
      <alignment horizontal="left" wrapText="1"/>
    </xf>
    <xf numFmtId="0" fontId="28" fillId="0" borderId="30" xfId="0" applyFont="1" applyFill="1" applyBorder="1" applyAlignment="1">
      <alignment horizontal="center" vertical="center" wrapText="1"/>
    </xf>
    <xf numFmtId="0" fontId="28" fillId="0" borderId="24" xfId="0" applyFont="1" applyFill="1" applyBorder="1" applyAlignment="1">
      <alignment horizontal="center" vertical="center" wrapText="1"/>
    </xf>
    <xf numFmtId="0" fontId="28" fillId="0" borderId="31" xfId="0" applyFont="1" applyFill="1" applyBorder="1" applyAlignment="1">
      <alignment horizontal="center" vertical="center" wrapText="1"/>
    </xf>
    <xf numFmtId="0" fontId="7" fillId="0" borderId="32" xfId="0" applyFont="1" applyFill="1" applyBorder="1"/>
    <xf numFmtId="0" fontId="7" fillId="0" borderId="4" xfId="0" applyFont="1" applyFill="1" applyBorder="1"/>
    <xf numFmtId="0" fontId="28" fillId="0" borderId="32" xfId="0" applyFont="1" applyFill="1" applyBorder="1" applyAlignment="1">
      <alignment horizontal="center" wrapText="1"/>
    </xf>
    <xf numFmtId="0" fontId="28" fillId="0" borderId="4" xfId="0" applyFont="1" applyFill="1" applyBorder="1" applyAlignment="1">
      <alignment horizontal="center" wrapText="1"/>
    </xf>
    <xf numFmtId="0" fontId="30" fillId="0" borderId="33" xfId="0" applyFont="1" applyFill="1" applyBorder="1" applyAlignment="1">
      <alignment horizontal="center" vertical="center" wrapText="1"/>
    </xf>
    <xf numFmtId="0" fontId="30" fillId="0" borderId="34" xfId="0" applyFont="1" applyFill="1" applyBorder="1" applyAlignment="1">
      <alignment horizontal="center" vertical="center" wrapText="1"/>
    </xf>
    <xf numFmtId="0" fontId="30" fillId="0" borderId="35" xfId="0" applyFont="1" applyFill="1" applyBorder="1" applyAlignment="1">
      <alignment horizontal="center" vertical="center" wrapText="1"/>
    </xf>
    <xf numFmtId="0" fontId="30" fillId="0" borderId="36" xfId="0" applyFont="1" applyFill="1" applyBorder="1" applyAlignment="1">
      <alignment horizontal="center" vertical="center" wrapText="1"/>
    </xf>
    <xf numFmtId="0" fontId="30" fillId="0" borderId="37" xfId="0" applyFont="1" applyFill="1" applyBorder="1" applyAlignment="1">
      <alignment horizontal="center" vertical="center" wrapText="1"/>
    </xf>
    <xf numFmtId="0" fontId="30" fillId="0" borderId="38" xfId="0" applyFont="1" applyFill="1" applyBorder="1" applyAlignment="1">
      <alignment horizontal="center" vertical="center" wrapText="1"/>
    </xf>
    <xf numFmtId="0" fontId="28" fillId="0" borderId="31" xfId="0" applyFont="1" applyFill="1" applyBorder="1" applyAlignment="1">
      <alignment horizontal="center" wrapText="1"/>
    </xf>
    <xf numFmtId="0" fontId="14" fillId="0" borderId="0" xfId="0" applyFont="1" applyBorder="1" applyAlignment="1">
      <alignment horizontal="left" vertical="center" wrapText="1"/>
    </xf>
    <xf numFmtId="0" fontId="14" fillId="0" borderId="0" xfId="0" applyFont="1" applyBorder="1" applyAlignment="1">
      <alignment horizontal="left" vertical="justify" wrapText="1"/>
    </xf>
    <xf numFmtId="0" fontId="14" fillId="0" borderId="0" xfId="0" applyFont="1" applyAlignment="1">
      <alignment horizontal="left"/>
    </xf>
    <xf numFmtId="0" fontId="30" fillId="0" borderId="48" xfId="0" applyFont="1" applyFill="1" applyBorder="1" applyAlignment="1">
      <alignment horizontal="center" vertical="center" wrapText="1"/>
    </xf>
    <xf numFmtId="0" fontId="30" fillId="0" borderId="31" xfId="0" applyFont="1" applyFill="1" applyBorder="1" applyAlignment="1">
      <alignment horizontal="center" vertical="center" wrapText="1"/>
    </xf>
    <xf numFmtId="0" fontId="30" fillId="0" borderId="32" xfId="0" applyFont="1" applyFill="1" applyBorder="1" applyAlignment="1">
      <alignment horizontal="center" vertical="center" wrapText="1"/>
    </xf>
    <xf numFmtId="0" fontId="30" fillId="0" borderId="4" xfId="0" applyFont="1" applyFill="1" applyBorder="1" applyAlignment="1">
      <alignment horizontal="center" vertical="center" wrapText="1"/>
    </xf>
    <xf numFmtId="0" fontId="7" fillId="0" borderId="8" xfId="0" applyFont="1" applyFill="1" applyBorder="1" applyAlignment="1">
      <alignment horizontal="center" vertical="center" wrapText="1"/>
    </xf>
    <xf numFmtId="0" fontId="7" fillId="0" borderId="26" xfId="0" applyFont="1" applyFill="1" applyBorder="1" applyAlignment="1">
      <alignment horizontal="center" vertical="center" wrapText="1"/>
    </xf>
    <xf numFmtId="0" fontId="7" fillId="0" borderId="3" xfId="0" applyFont="1" applyFill="1" applyBorder="1" applyAlignment="1">
      <alignment horizontal="center" vertical="center" wrapText="1"/>
    </xf>
    <xf numFmtId="0" fontId="14" fillId="0" borderId="0" xfId="0" applyFont="1" applyFill="1" applyAlignment="1">
      <alignment horizontal="left"/>
    </xf>
    <xf numFmtId="0" fontId="30" fillId="0" borderId="22" xfId="0" applyFont="1" applyFill="1" applyBorder="1" applyAlignment="1">
      <alignment horizontal="center" vertical="center" wrapText="1"/>
    </xf>
    <xf numFmtId="0" fontId="14" fillId="0" borderId="0" xfId="0" applyFont="1" applyFill="1" applyBorder="1" applyAlignment="1">
      <alignment horizontal="left" wrapText="1"/>
    </xf>
    <xf numFmtId="0" fontId="21" fillId="0" borderId="0" xfId="0" applyFont="1" applyFill="1" applyAlignment="1">
      <alignment horizontal="right"/>
    </xf>
    <xf numFmtId="0" fontId="30" fillId="0" borderId="5" xfId="0" applyFont="1" applyFill="1" applyBorder="1" applyAlignment="1">
      <alignment horizontal="center" vertical="center"/>
    </xf>
    <xf numFmtId="0" fontId="30" fillId="0" borderId="11" xfId="0" applyFont="1" applyFill="1" applyBorder="1" applyAlignment="1">
      <alignment horizontal="center" vertical="center"/>
    </xf>
    <xf numFmtId="0" fontId="21" fillId="0" borderId="0" xfId="0" applyFont="1" applyFill="1" applyAlignment="1">
      <alignment horizontal="left"/>
    </xf>
    <xf numFmtId="0" fontId="30" fillId="0" borderId="0" xfId="0" applyFont="1" applyFill="1" applyAlignment="1">
      <alignment horizontal="right"/>
    </xf>
    <xf numFmtId="0" fontId="0" fillId="0" borderId="3" xfId="0" applyFill="1" applyBorder="1" applyAlignment="1">
      <alignment horizontal="center" vertical="center" wrapText="1"/>
    </xf>
    <xf numFmtId="0" fontId="0" fillId="0" borderId="26" xfId="0" applyFill="1" applyBorder="1" applyAlignment="1">
      <alignment horizontal="center" vertical="center" wrapText="1"/>
    </xf>
    <xf numFmtId="0" fontId="30" fillId="0" borderId="0" xfId="0" applyFont="1" applyBorder="1" applyAlignment="1"/>
    <xf numFmtId="0" fontId="15" fillId="0" borderId="26" xfId="0" applyFont="1" applyFill="1" applyBorder="1" applyAlignment="1">
      <alignment horizontal="center" vertical="center" wrapText="1"/>
    </xf>
    <xf numFmtId="0" fontId="21" fillId="0" borderId="0" xfId="0" applyFont="1" applyFill="1" applyBorder="1" applyAlignment="1">
      <alignment horizontal="center"/>
    </xf>
    <xf numFmtId="0" fontId="30" fillId="0" borderId="23" xfId="0" applyFont="1" applyFill="1" applyBorder="1" applyAlignment="1">
      <alignment horizontal="center" vertical="center" wrapText="1"/>
    </xf>
    <xf numFmtId="0" fontId="21" fillId="0" borderId="0" xfId="0" applyFont="1" applyFill="1" applyBorder="1" applyAlignment="1">
      <alignment horizontal="right"/>
    </xf>
    <xf numFmtId="0" fontId="30" fillId="0" borderId="1" xfId="0" applyFont="1" applyFill="1" applyBorder="1" applyAlignment="1">
      <alignment horizontal="right"/>
    </xf>
    <xf numFmtId="0" fontId="16" fillId="0" borderId="9" xfId="0" applyFont="1" applyFill="1" applyBorder="1" applyAlignment="1">
      <alignment horizontal="center" vertical="center" wrapText="1"/>
    </xf>
    <xf numFmtId="0" fontId="16" fillId="0" borderId="21" xfId="0" applyFont="1" applyFill="1" applyBorder="1" applyAlignment="1">
      <alignment horizontal="center" vertical="center" wrapText="1"/>
    </xf>
    <xf numFmtId="0" fontId="16" fillId="0" borderId="7" xfId="0" applyFont="1" applyFill="1" applyBorder="1" applyAlignment="1">
      <alignment horizontal="center" vertical="center" wrapText="1"/>
    </xf>
    <xf numFmtId="0" fontId="16" fillId="0" borderId="2" xfId="0" applyFont="1" applyFill="1" applyBorder="1" applyAlignment="1">
      <alignment horizontal="center" vertical="center" wrapText="1"/>
    </xf>
    <xf numFmtId="0" fontId="29" fillId="0" borderId="2" xfId="0" applyFont="1" applyFill="1" applyBorder="1" applyAlignment="1">
      <alignment horizontal="center" vertical="center" wrapText="1"/>
    </xf>
    <xf numFmtId="0" fontId="29" fillId="0" borderId="5" xfId="0" applyFont="1" applyFill="1" applyBorder="1" applyAlignment="1">
      <alignment horizontal="center" vertical="center"/>
    </xf>
    <xf numFmtId="0" fontId="16" fillId="0" borderId="11" xfId="0" applyFont="1" applyFill="1" applyBorder="1" applyAlignment="1">
      <alignment horizontal="center" vertical="center"/>
    </xf>
    <xf numFmtId="0" fontId="16" fillId="0" borderId="6" xfId="0" applyFont="1" applyFill="1" applyBorder="1" applyAlignment="1">
      <alignment horizontal="center" vertical="center"/>
    </xf>
    <xf numFmtId="0" fontId="16" fillId="0" borderId="8" xfId="0" applyFont="1" applyFill="1" applyBorder="1" applyAlignment="1">
      <alignment horizontal="center" vertical="center" wrapText="1"/>
    </xf>
    <xf numFmtId="0" fontId="16" fillId="0" borderId="26" xfId="0" applyFont="1" applyFill="1" applyBorder="1" applyAlignment="1">
      <alignment horizontal="center" vertical="center" wrapText="1"/>
    </xf>
    <xf numFmtId="0" fontId="16" fillId="0" borderId="3" xfId="0" applyFont="1" applyFill="1" applyBorder="1" applyAlignment="1">
      <alignment horizontal="center" vertical="center" wrapText="1"/>
    </xf>
    <xf numFmtId="0" fontId="29" fillId="0" borderId="5" xfId="0" applyFont="1" applyFill="1" applyBorder="1" applyAlignment="1">
      <alignment horizontal="center" vertical="center" wrapText="1"/>
    </xf>
    <xf numFmtId="0" fontId="29" fillId="0" borderId="11" xfId="0" applyFont="1" applyFill="1" applyBorder="1" applyAlignment="1">
      <alignment horizontal="center" vertical="center" wrapText="1"/>
    </xf>
    <xf numFmtId="164" fontId="14" fillId="0" borderId="0" xfId="0" applyNumberFormat="1" applyFont="1" applyFill="1" applyBorder="1" applyAlignment="1">
      <alignment horizontal="left"/>
    </xf>
    <xf numFmtId="0" fontId="14" fillId="0" borderId="0" xfId="0" applyFont="1" applyFill="1" applyBorder="1" applyAlignment="1">
      <alignment horizontal="left"/>
    </xf>
    <xf numFmtId="0" fontId="13" fillId="0" borderId="2" xfId="0" applyFont="1" applyFill="1" applyBorder="1" applyAlignment="1">
      <alignment horizontal="center" vertical="center" wrapText="1"/>
    </xf>
    <xf numFmtId="0" fontId="31" fillId="0" borderId="0" xfId="0" applyFont="1" applyFill="1" applyAlignment="1">
      <alignment horizontal="right" vertical="center" wrapText="1"/>
    </xf>
    <xf numFmtId="0" fontId="31" fillId="0" borderId="0" xfId="0" applyFont="1" applyFill="1" applyBorder="1" applyAlignment="1">
      <alignment horizontal="right" vertical="center" wrapText="1"/>
    </xf>
    <xf numFmtId="0" fontId="31" fillId="0" borderId="0" xfId="0" applyFont="1" applyFill="1" applyAlignment="1">
      <alignment horizontal="left" vertical="center" wrapText="1"/>
    </xf>
    <xf numFmtId="0" fontId="16" fillId="0" borderId="5" xfId="0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right" vertical="top" wrapText="1"/>
    </xf>
    <xf numFmtId="0" fontId="138" fillId="0" borderId="0" xfId="0" applyFont="1" applyFill="1" applyBorder="1" applyAlignment="1"/>
    <xf numFmtId="0" fontId="0" fillId="0" borderId="0" xfId="0" applyBorder="1" applyAlignment="1"/>
    <xf numFmtId="0" fontId="15" fillId="0" borderId="8" xfId="0" applyFont="1" applyFill="1" applyBorder="1" applyAlignment="1">
      <alignment horizontal="center" vertical="center" textRotation="90"/>
    </xf>
    <xf numFmtId="0" fontId="15" fillId="0" borderId="26" xfId="0" applyFont="1" applyFill="1" applyBorder="1" applyAlignment="1">
      <alignment horizontal="center" vertical="center" textRotation="90"/>
    </xf>
    <xf numFmtId="0" fontId="15" fillId="0" borderId="3" xfId="0" applyFont="1" applyFill="1" applyBorder="1" applyAlignment="1">
      <alignment horizontal="center" vertical="center" textRotation="90"/>
    </xf>
    <xf numFmtId="0" fontId="15" fillId="0" borderId="63" xfId="0" applyFont="1" applyFill="1" applyBorder="1" applyAlignment="1">
      <alignment horizontal="center" vertical="center" textRotation="90"/>
    </xf>
    <xf numFmtId="0" fontId="15" fillId="0" borderId="2" xfId="0" applyFont="1" applyFill="1" applyBorder="1" applyAlignment="1">
      <alignment horizontal="center" vertical="center" textRotation="90"/>
    </xf>
    <xf numFmtId="0" fontId="23" fillId="35" borderId="11" xfId="0" applyFont="1" applyFill="1" applyBorder="1" applyAlignment="1">
      <alignment horizontal="left" vertical="center"/>
    </xf>
    <xf numFmtId="0" fontId="73" fillId="0" borderId="20" xfId="0" applyFont="1" applyBorder="1" applyAlignment="1">
      <alignment horizontal="left"/>
    </xf>
    <xf numFmtId="0" fontId="73" fillId="0" borderId="0" xfId="0" applyFont="1" applyBorder="1" applyAlignment="1">
      <alignment horizontal="left"/>
    </xf>
    <xf numFmtId="0" fontId="73" fillId="0" borderId="64" xfId="0" applyFont="1" applyBorder="1" applyAlignment="1">
      <alignment horizontal="left"/>
    </xf>
    <xf numFmtId="1" fontId="134" fillId="0" borderId="2" xfId="0" applyNumberFormat="1" applyFont="1" applyFill="1" applyBorder="1" applyAlignment="1">
      <alignment horizontal="center" vertical="center"/>
    </xf>
    <xf numFmtId="0" fontId="130" fillId="0" borderId="9" xfId="0" applyFont="1" applyFill="1" applyBorder="1" applyAlignment="1">
      <alignment horizontal="center" vertical="center" wrapText="1"/>
    </xf>
    <xf numFmtId="0" fontId="130" fillId="0" borderId="22" xfId="0" applyFont="1" applyFill="1" applyBorder="1" applyAlignment="1">
      <alignment horizontal="center" vertical="center" wrapText="1"/>
    </xf>
    <xf numFmtId="0" fontId="130" fillId="0" borderId="21" xfId="0" applyFont="1" applyFill="1" applyBorder="1" applyAlignment="1">
      <alignment horizontal="center" vertical="center" wrapText="1"/>
    </xf>
    <xf numFmtId="0" fontId="130" fillId="0" borderId="23" xfId="0" applyFont="1" applyFill="1" applyBorder="1" applyAlignment="1">
      <alignment horizontal="center" vertical="center" wrapText="1"/>
    </xf>
    <xf numFmtId="0" fontId="130" fillId="0" borderId="7" xfId="0" applyFont="1" applyFill="1" applyBorder="1" applyAlignment="1">
      <alignment horizontal="center" vertical="center" wrapText="1"/>
    </xf>
    <xf numFmtId="0" fontId="130" fillId="0" borderId="10" xfId="0" applyFont="1" applyFill="1" applyBorder="1" applyAlignment="1">
      <alignment horizontal="center" vertical="center" wrapText="1"/>
    </xf>
    <xf numFmtId="0" fontId="128" fillId="0" borderId="2" xfId="0" applyFont="1" applyFill="1" applyBorder="1" applyAlignment="1">
      <alignment horizontal="center" vertical="center"/>
    </xf>
    <xf numFmtId="49" fontId="130" fillId="0" borderId="2" xfId="0" applyNumberFormat="1" applyFont="1" applyFill="1" applyBorder="1" applyAlignment="1">
      <alignment horizontal="center" vertical="center" wrapText="1"/>
    </xf>
    <xf numFmtId="0" fontId="128" fillId="0" borderId="5" xfId="0" applyFont="1" applyFill="1" applyBorder="1" applyAlignment="1">
      <alignment vertical="center"/>
    </xf>
    <xf numFmtId="0" fontId="128" fillId="0" borderId="11" xfId="0" applyFont="1" applyFill="1" applyBorder="1" applyAlignment="1">
      <alignment vertical="center"/>
    </xf>
    <xf numFmtId="0" fontId="128" fillId="0" borderId="6" xfId="0" applyFont="1" applyFill="1" applyBorder="1" applyAlignment="1">
      <alignment vertical="center"/>
    </xf>
    <xf numFmtId="1" fontId="130" fillId="0" borderId="2" xfId="0" applyNumberFormat="1" applyFont="1" applyFill="1" applyBorder="1" applyAlignment="1">
      <alignment horizontal="center" vertical="center" wrapText="1"/>
    </xf>
    <xf numFmtId="49" fontId="129" fillId="0" borderId="5" xfId="0" applyNumberFormat="1" applyFont="1" applyFill="1" applyBorder="1" applyAlignment="1">
      <alignment horizontal="left" vertical="center" wrapText="1"/>
    </xf>
    <xf numFmtId="49" fontId="129" fillId="0" borderId="11" xfId="0" applyNumberFormat="1" applyFont="1" applyFill="1" applyBorder="1" applyAlignment="1">
      <alignment horizontal="left" vertical="center" wrapText="1"/>
    </xf>
    <xf numFmtId="49" fontId="129" fillId="0" borderId="6" xfId="0" applyNumberFormat="1" applyFont="1" applyFill="1" applyBorder="1" applyAlignment="1">
      <alignment horizontal="left" vertical="center" wrapText="1"/>
    </xf>
    <xf numFmtId="49" fontId="129" fillId="0" borderId="2" xfId="0" applyNumberFormat="1" applyFont="1" applyFill="1" applyBorder="1" applyAlignment="1">
      <alignment horizontal="center" vertical="center" wrapText="1"/>
    </xf>
    <xf numFmtId="1" fontId="134" fillId="0" borderId="5" xfId="0" applyNumberFormat="1" applyFont="1" applyFill="1" applyBorder="1" applyAlignment="1">
      <alignment horizontal="center" vertical="center"/>
    </xf>
    <xf numFmtId="1" fontId="134" fillId="0" borderId="6" xfId="0" applyNumberFormat="1" applyFont="1" applyFill="1" applyBorder="1" applyAlignment="1">
      <alignment horizontal="center" vertical="center"/>
    </xf>
    <xf numFmtId="0" fontId="137" fillId="0" borderId="2" xfId="0" applyFont="1" applyFill="1" applyBorder="1" applyAlignment="1">
      <alignment horizontal="center" vertical="center" wrapText="1"/>
    </xf>
    <xf numFmtId="1" fontId="134" fillId="0" borderId="5" xfId="0" applyNumberFormat="1" applyFont="1" applyFill="1" applyBorder="1" applyAlignment="1">
      <alignment horizontal="center" vertical="center" wrapText="1"/>
    </xf>
    <xf numFmtId="1" fontId="134" fillId="0" borderId="6" xfId="0" applyNumberFormat="1" applyFont="1" applyFill="1" applyBorder="1" applyAlignment="1">
      <alignment horizontal="center" vertical="center" wrapText="1"/>
    </xf>
    <xf numFmtId="49" fontId="146" fillId="0" borderId="2" xfId="0" applyNumberFormat="1" applyFont="1" applyFill="1" applyBorder="1" applyAlignment="1">
      <alignment horizontal="center" vertical="center" wrapText="1"/>
    </xf>
    <xf numFmtId="49" fontId="116" fillId="0" borderId="2" xfId="0" applyNumberFormat="1" applyFont="1" applyFill="1" applyBorder="1" applyAlignment="1">
      <alignment horizontal="center" vertical="center" wrapText="1"/>
    </xf>
    <xf numFmtId="49" fontId="116" fillId="0" borderId="8" xfId="0" applyNumberFormat="1" applyFont="1" applyFill="1" applyBorder="1" applyAlignment="1">
      <alignment horizontal="center" vertical="center" wrapText="1"/>
    </xf>
    <xf numFmtId="49" fontId="116" fillId="0" borderId="3" xfId="0" applyNumberFormat="1" applyFont="1" applyFill="1" applyBorder="1" applyAlignment="1">
      <alignment horizontal="center" vertical="center" wrapText="1"/>
    </xf>
    <xf numFmtId="0" fontId="127" fillId="0" borderId="0" xfId="0" applyFont="1" applyFill="1" applyBorder="1" applyAlignment="1">
      <alignment horizontal="right" vertical="center"/>
    </xf>
    <xf numFmtId="49" fontId="145" fillId="0" borderId="2" xfId="0" applyNumberFormat="1" applyFont="1" applyFill="1" applyBorder="1" applyAlignment="1">
      <alignment horizontal="center" vertical="center" wrapText="1"/>
    </xf>
    <xf numFmtId="0" fontId="127" fillId="0" borderId="0" xfId="0" applyFont="1" applyFill="1" applyBorder="1" applyAlignment="1">
      <alignment horizontal="center" vertical="center" wrapText="1"/>
    </xf>
    <xf numFmtId="49" fontId="126" fillId="0" borderId="2" xfId="0" applyNumberFormat="1" applyFont="1" applyFill="1" applyBorder="1" applyAlignment="1">
      <alignment horizontal="center" vertical="center" wrapText="1"/>
    </xf>
    <xf numFmtId="49" fontId="138" fillId="0" borderId="2" xfId="0" applyNumberFormat="1" applyFont="1" applyFill="1" applyBorder="1" applyAlignment="1">
      <alignment horizontal="center" vertical="center" wrapText="1"/>
    </xf>
    <xf numFmtId="0" fontId="128" fillId="0" borderId="9" xfId="0" applyFont="1" applyFill="1" applyBorder="1" applyAlignment="1">
      <alignment horizontal="left" vertical="center"/>
    </xf>
    <xf numFmtId="0" fontId="128" fillId="0" borderId="20" xfId="0" applyFont="1" applyFill="1" applyBorder="1" applyAlignment="1">
      <alignment horizontal="left" vertical="center"/>
    </xf>
    <xf numFmtId="0" fontId="128" fillId="0" borderId="22" xfId="0" applyFont="1" applyFill="1" applyBorder="1" applyAlignment="1">
      <alignment horizontal="left" vertical="center"/>
    </xf>
    <xf numFmtId="0" fontId="128" fillId="0" borderId="7" xfId="0" applyFont="1" applyFill="1" applyBorder="1" applyAlignment="1">
      <alignment horizontal="left" vertical="center"/>
    </xf>
    <xf numFmtId="0" fontId="128" fillId="0" borderId="1" xfId="0" applyFont="1" applyFill="1" applyBorder="1" applyAlignment="1">
      <alignment horizontal="left" vertical="center"/>
    </xf>
    <xf numFmtId="0" fontId="128" fillId="0" borderId="10" xfId="0" applyFont="1" applyFill="1" applyBorder="1" applyAlignment="1">
      <alignment horizontal="left" vertical="center"/>
    </xf>
    <xf numFmtId="0" fontId="28" fillId="0" borderId="8" xfId="0" applyFont="1" applyFill="1" applyBorder="1" applyAlignment="1">
      <alignment horizontal="center" vertical="center" wrapText="1"/>
    </xf>
    <xf numFmtId="0" fontId="28" fillId="0" borderId="26" xfId="0" applyFont="1" applyFill="1" applyBorder="1" applyAlignment="1">
      <alignment horizontal="center" vertical="center" wrapText="1"/>
    </xf>
    <xf numFmtId="0" fontId="28" fillId="0" borderId="3" xfId="0" applyFont="1" applyFill="1" applyBorder="1" applyAlignment="1">
      <alignment horizontal="center" vertical="center" wrapText="1"/>
    </xf>
    <xf numFmtId="0" fontId="30" fillId="0" borderId="1" xfId="0" applyFont="1" applyFill="1" applyBorder="1" applyAlignment="1">
      <alignment horizontal="right" vertical="top" wrapText="1"/>
    </xf>
    <xf numFmtId="0" fontId="21" fillId="0" borderId="0" xfId="0" applyFont="1" applyFill="1" applyBorder="1" applyAlignment="1">
      <alignment horizontal="right" wrapText="1"/>
    </xf>
    <xf numFmtId="0" fontId="28" fillId="0" borderId="2" xfId="0" applyFont="1" applyFill="1" applyBorder="1" applyAlignment="1">
      <alignment horizontal="center" wrapText="1"/>
    </xf>
    <xf numFmtId="0" fontId="28" fillId="0" borderId="8" xfId="0" applyFont="1" applyFill="1" applyBorder="1" applyAlignment="1">
      <alignment horizontal="center" wrapText="1"/>
    </xf>
    <xf numFmtId="0" fontId="28" fillId="0" borderId="3" xfId="0" applyFont="1" applyFill="1" applyBorder="1" applyAlignment="1">
      <alignment horizontal="center" wrapText="1"/>
    </xf>
    <xf numFmtId="0" fontId="28" fillId="0" borderId="5" xfId="0" applyFont="1" applyFill="1" applyBorder="1" applyAlignment="1">
      <alignment horizontal="center" wrapText="1"/>
    </xf>
    <xf numFmtId="0" fontId="28" fillId="0" borderId="11" xfId="0" applyFont="1" applyFill="1" applyBorder="1" applyAlignment="1">
      <alignment horizontal="center" wrapText="1"/>
    </xf>
    <xf numFmtId="0" fontId="28" fillId="0" borderId="6" xfId="0" applyFont="1" applyFill="1" applyBorder="1" applyAlignment="1">
      <alignment horizontal="center" wrapText="1"/>
    </xf>
    <xf numFmtId="0" fontId="28" fillId="0" borderId="9" xfId="0" applyFont="1" applyFill="1" applyBorder="1" applyAlignment="1">
      <alignment horizontal="center" vertical="center" wrapText="1"/>
    </xf>
    <xf numFmtId="0" fontId="28" fillId="0" borderId="7" xfId="0" applyFont="1" applyFill="1" applyBorder="1" applyAlignment="1">
      <alignment horizontal="center" vertical="center" wrapText="1"/>
    </xf>
    <xf numFmtId="0" fontId="7" fillId="0" borderId="9" xfId="0" applyFont="1" applyFill="1" applyBorder="1" applyAlignment="1">
      <alignment horizontal="center" vertical="center" wrapText="1"/>
    </xf>
    <xf numFmtId="0" fontId="7" fillId="0" borderId="21" xfId="0" applyFont="1" applyFill="1" applyBorder="1" applyAlignment="1">
      <alignment horizontal="center" vertical="center" wrapText="1"/>
    </xf>
    <xf numFmtId="0" fontId="7" fillId="0" borderId="7" xfId="0" applyFont="1" applyFill="1" applyBorder="1" applyAlignment="1">
      <alignment horizontal="center" vertical="center" wrapText="1"/>
    </xf>
    <xf numFmtId="0" fontId="7" fillId="0" borderId="26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horizontal="left" wrapText="1"/>
    </xf>
    <xf numFmtId="0" fontId="79" fillId="0" borderId="2" xfId="0" applyFont="1" applyFill="1" applyBorder="1" applyAlignment="1">
      <alignment horizontal="center" wrapText="1"/>
    </xf>
    <xf numFmtId="0" fontId="21" fillId="0" borderId="0" xfId="0" applyFont="1" applyFill="1" applyBorder="1" applyAlignment="1">
      <alignment horizontal="center" wrapText="1"/>
    </xf>
    <xf numFmtId="0" fontId="14" fillId="0" borderId="0" xfId="196" applyFont="1" applyFill="1" applyBorder="1" applyAlignment="1">
      <alignment horizontal="left" vertical="center"/>
    </xf>
    <xf numFmtId="0" fontId="19" fillId="0" borderId="0" xfId="0" applyFont="1" applyBorder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21" fillId="0" borderId="0" xfId="196" applyFont="1" applyAlignment="1">
      <alignment horizontal="center" wrapText="1"/>
    </xf>
    <xf numFmtId="0" fontId="30" fillId="0" borderId="1" xfId="196" applyFont="1" applyBorder="1" applyAlignment="1">
      <alignment horizontal="right"/>
    </xf>
    <xf numFmtId="0" fontId="8" fillId="0" borderId="8" xfId="196" applyFont="1" applyBorder="1" applyAlignment="1">
      <alignment horizontal="center" vertical="center" wrapText="1"/>
    </xf>
    <xf numFmtId="0" fontId="8" fillId="0" borderId="3" xfId="196" applyFont="1" applyBorder="1" applyAlignment="1">
      <alignment horizontal="center" vertical="center" wrapText="1"/>
    </xf>
    <xf numFmtId="0" fontId="49" fillId="0" borderId="5" xfId="196" applyFont="1" applyBorder="1" applyAlignment="1">
      <alignment horizontal="center"/>
    </xf>
    <xf numFmtId="0" fontId="49" fillId="0" borderId="11" xfId="196" applyFont="1" applyBorder="1" applyAlignment="1">
      <alignment horizontal="center"/>
    </xf>
    <xf numFmtId="0" fontId="49" fillId="0" borderId="6" xfId="196" applyFont="1" applyBorder="1" applyAlignment="1">
      <alignment horizontal="center"/>
    </xf>
    <xf numFmtId="0" fontId="17" fillId="0" borderId="2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43" fillId="0" borderId="2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/>
    </xf>
    <xf numFmtId="0" fontId="19" fillId="0" borderId="2" xfId="0" applyFont="1" applyFill="1" applyBorder="1" applyAlignment="1">
      <alignment horizontal="center" vertical="center" wrapText="1"/>
    </xf>
    <xf numFmtId="1" fontId="18" fillId="0" borderId="0" xfId="0" applyNumberFormat="1" applyFont="1" applyBorder="1" applyAlignment="1">
      <alignment horizontal="left" wrapText="1"/>
    </xf>
    <xf numFmtId="0" fontId="18" fillId="0" borderId="0" xfId="0" applyFont="1" applyBorder="1" applyAlignment="1">
      <alignment horizontal="left" wrapText="1"/>
    </xf>
    <xf numFmtId="0" fontId="31" fillId="0" borderId="0" xfId="0" applyFont="1" applyBorder="1" applyAlignment="1">
      <alignment horizontal="center"/>
    </xf>
    <xf numFmtId="0" fontId="16" fillId="0" borderId="0" xfId="0" applyFont="1" applyBorder="1" applyAlignment="1">
      <alignment horizontal="right" vertical="top" wrapText="1"/>
    </xf>
    <xf numFmtId="0" fontId="29" fillId="0" borderId="5" xfId="0" applyFont="1" applyBorder="1" applyAlignment="1">
      <alignment horizontal="center" vertical="center"/>
    </xf>
    <xf numFmtId="0" fontId="29" fillId="0" borderId="11" xfId="0" applyFont="1" applyBorder="1" applyAlignment="1">
      <alignment horizontal="center" vertical="center"/>
    </xf>
    <xf numFmtId="0" fontId="29" fillId="0" borderId="6" xfId="0" applyFont="1" applyBorder="1" applyAlignment="1">
      <alignment horizontal="center" vertical="center"/>
    </xf>
    <xf numFmtId="0" fontId="31" fillId="0" borderId="0" xfId="0" applyFont="1" applyAlignment="1">
      <alignment horizontal="left"/>
    </xf>
    <xf numFmtId="0" fontId="31" fillId="0" borderId="0" xfId="0" applyFont="1" applyAlignment="1">
      <alignment horizontal="right"/>
    </xf>
    <xf numFmtId="0" fontId="43" fillId="0" borderId="8" xfId="0" applyFont="1" applyBorder="1" applyAlignment="1">
      <alignment horizontal="center" vertical="center" wrapText="1"/>
    </xf>
    <xf numFmtId="0" fontId="43" fillId="0" borderId="3" xfId="0" applyFont="1" applyBorder="1" applyAlignment="1">
      <alignment horizontal="center" vertical="center" wrapText="1"/>
    </xf>
    <xf numFmtId="0" fontId="16" fillId="0" borderId="8" xfId="0" applyFont="1" applyBorder="1" applyAlignment="1">
      <alignment horizontal="center" vertical="center" wrapText="1"/>
    </xf>
    <xf numFmtId="0" fontId="16" fillId="0" borderId="26" xfId="0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/>
    </xf>
    <xf numFmtId="0" fontId="13" fillId="0" borderId="20" xfId="0" applyFont="1" applyBorder="1" applyAlignment="1">
      <alignment horizontal="center" vertical="center" wrapText="1"/>
    </xf>
    <xf numFmtId="0" fontId="13" fillId="0" borderId="21" xfId="0" applyFont="1" applyBorder="1" applyAlignment="1">
      <alignment horizontal="center" vertical="center" wrapText="1"/>
    </xf>
    <xf numFmtId="0" fontId="13" fillId="0" borderId="7" xfId="0" applyFont="1" applyBorder="1" applyAlignment="1">
      <alignment horizontal="center" vertical="center" wrapText="1"/>
    </xf>
    <xf numFmtId="0" fontId="16" fillId="0" borderId="9" xfId="0" applyFont="1" applyBorder="1" applyAlignment="1">
      <alignment horizontal="center" vertical="center" wrapText="1"/>
    </xf>
    <xf numFmtId="0" fontId="17" fillId="0" borderId="7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0" fontId="17" fillId="0" borderId="10" xfId="0" applyFont="1" applyBorder="1" applyAlignment="1">
      <alignment horizontal="center" vertical="center" wrapText="1"/>
    </xf>
    <xf numFmtId="0" fontId="15" fillId="0" borderId="0" xfId="0" applyFont="1" applyBorder="1" applyAlignment="1">
      <alignment wrapText="1"/>
    </xf>
    <xf numFmtId="0" fontId="13" fillId="0" borderId="0" xfId="0" applyFont="1" applyBorder="1" applyAlignment="1">
      <alignment horizontal="left" wrapText="1"/>
    </xf>
    <xf numFmtId="0" fontId="9" fillId="0" borderId="8" xfId="0" applyFont="1" applyBorder="1" applyAlignment="1">
      <alignment horizontal="center" vertical="center" wrapText="1"/>
    </xf>
    <xf numFmtId="0" fontId="9" fillId="0" borderId="26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29" fillId="0" borderId="2" xfId="0" applyFont="1" applyBorder="1" applyAlignment="1">
      <alignment horizontal="center" vertical="center" wrapText="1"/>
    </xf>
    <xf numFmtId="0" fontId="16" fillId="0" borderId="8" xfId="0" applyFont="1" applyFill="1" applyBorder="1" applyAlignment="1">
      <alignment vertical="center" wrapText="1"/>
    </xf>
    <xf numFmtId="0" fontId="16" fillId="0" borderId="3" xfId="0" applyFont="1" applyFill="1" applyBorder="1" applyAlignment="1">
      <alignment vertical="center" wrapText="1"/>
    </xf>
    <xf numFmtId="0" fontId="31" fillId="0" borderId="0" xfId="0" applyFont="1" applyAlignment="1">
      <alignment horizontal="right" wrapText="1"/>
    </xf>
    <xf numFmtId="0" fontId="13" fillId="0" borderId="0" xfId="0" applyFont="1" applyBorder="1" applyAlignment="1">
      <alignment horizontal="center" wrapText="1"/>
    </xf>
    <xf numFmtId="0" fontId="31" fillId="0" borderId="0" xfId="0" applyFont="1" applyBorder="1" applyAlignment="1">
      <alignment horizontal="right" wrapText="1"/>
    </xf>
    <xf numFmtId="0" fontId="31" fillId="0" borderId="0" xfId="0" applyFont="1" applyAlignment="1">
      <alignment horizontal="left" wrapText="1"/>
    </xf>
    <xf numFmtId="0" fontId="27" fillId="0" borderId="0" xfId="0" applyFont="1" applyFill="1" applyAlignment="1">
      <alignment horizontal="left" wrapText="1"/>
    </xf>
    <xf numFmtId="0" fontId="27" fillId="0" borderId="0" xfId="0" applyFont="1" applyFill="1" applyBorder="1" applyAlignment="1">
      <alignment horizontal="left" wrapText="1"/>
    </xf>
    <xf numFmtId="0" fontId="7" fillId="0" borderId="2" xfId="0" applyFont="1" applyFill="1" applyBorder="1" applyAlignment="1">
      <alignment horizontal="center" vertical="center"/>
    </xf>
    <xf numFmtId="0" fontId="25" fillId="0" borderId="0" xfId="0" applyFont="1" applyFill="1" applyBorder="1" applyAlignment="1">
      <alignment horizontal="left"/>
    </xf>
    <xf numFmtId="0" fontId="30" fillId="0" borderId="1" xfId="0" applyFont="1" applyFill="1" applyBorder="1" applyAlignment="1">
      <alignment horizontal="left"/>
    </xf>
    <xf numFmtId="0" fontId="7" fillId="0" borderId="8" xfId="0" applyFont="1" applyFill="1" applyBorder="1" applyAlignment="1">
      <alignment horizontal="center" vertical="center"/>
    </xf>
    <xf numFmtId="0" fontId="20" fillId="0" borderId="0" xfId="0" applyFont="1" applyBorder="1" applyAlignment="1">
      <alignment horizontal="left" wrapText="1"/>
    </xf>
    <xf numFmtId="0" fontId="16" fillId="0" borderId="0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16" fillId="0" borderId="2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wrapText="1"/>
    </xf>
    <xf numFmtId="0" fontId="13" fillId="0" borderId="5" xfId="0" applyFont="1" applyBorder="1" applyAlignment="1">
      <alignment horizontal="center" wrapText="1"/>
    </xf>
    <xf numFmtId="0" fontId="13" fillId="0" borderId="6" xfId="0" applyFont="1" applyBorder="1" applyAlignment="1">
      <alignment horizontal="center" wrapText="1"/>
    </xf>
    <xf numFmtId="0" fontId="16" fillId="0" borderId="21" xfId="0" applyFont="1" applyBorder="1" applyAlignment="1">
      <alignment horizontal="center" vertical="center" wrapText="1"/>
    </xf>
    <xf numFmtId="0" fontId="16" fillId="0" borderId="7" xfId="0" applyFont="1" applyBorder="1" applyAlignment="1">
      <alignment horizontal="center" vertical="center" wrapText="1"/>
    </xf>
    <xf numFmtId="0" fontId="17" fillId="0" borderId="5" xfId="0" applyFont="1" applyBorder="1" applyAlignment="1">
      <alignment horizontal="center" vertical="center" wrapText="1"/>
    </xf>
    <xf numFmtId="0" fontId="17" fillId="0" borderId="11" xfId="0" applyFont="1" applyBorder="1" applyAlignment="1">
      <alignment horizontal="center" vertical="center" wrapText="1"/>
    </xf>
    <xf numFmtId="0" fontId="17" fillId="0" borderId="6" xfId="0" applyFont="1" applyBorder="1" applyAlignment="1">
      <alignment horizontal="center" vertical="center" wrapText="1"/>
    </xf>
    <xf numFmtId="0" fontId="16" fillId="0" borderId="24" xfId="0" applyFont="1" applyBorder="1" applyAlignment="1">
      <alignment horizontal="center" vertical="center" wrapText="1"/>
    </xf>
    <xf numFmtId="0" fontId="43" fillId="0" borderId="24" xfId="0" applyFont="1" applyBorder="1" applyAlignment="1">
      <alignment horizontal="center" vertical="center" wrapText="1"/>
    </xf>
    <xf numFmtId="0" fontId="31" fillId="0" borderId="0" xfId="0" applyFont="1" applyBorder="1" applyAlignment="1">
      <alignment horizontal="left" wrapText="1"/>
    </xf>
    <xf numFmtId="0" fontId="16" fillId="0" borderId="34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right" wrapText="1"/>
    </xf>
    <xf numFmtId="0" fontId="178" fillId="0" borderId="2" xfId="0" applyFont="1" applyFill="1" applyBorder="1" applyAlignment="1">
      <alignment horizontal="center" vertical="center" wrapText="1"/>
    </xf>
    <xf numFmtId="0" fontId="176" fillId="0" borderId="2" xfId="0" applyFont="1" applyFill="1" applyBorder="1" applyAlignment="1">
      <alignment horizontal="center" vertical="center" wrapText="1"/>
    </xf>
    <xf numFmtId="0" fontId="183" fillId="0" borderId="0" xfId="0" applyFont="1" applyBorder="1" applyAlignment="1">
      <alignment horizontal="left" wrapText="1"/>
    </xf>
    <xf numFmtId="0" fontId="174" fillId="0" borderId="0" xfId="0" applyFont="1" applyBorder="1" applyAlignment="1">
      <alignment horizontal="left" wrapText="1"/>
    </xf>
    <xf numFmtId="0" fontId="174" fillId="0" borderId="0" xfId="0" applyFont="1" applyBorder="1" applyAlignment="1">
      <alignment horizontal="right" wrapText="1"/>
    </xf>
    <xf numFmtId="0" fontId="177" fillId="0" borderId="2" xfId="0" applyFont="1" applyFill="1" applyBorder="1" applyAlignment="1">
      <alignment horizontal="center" vertical="center" wrapText="1"/>
    </xf>
    <xf numFmtId="0" fontId="179" fillId="0" borderId="2" xfId="0" applyFont="1" applyFill="1" applyBorder="1" applyAlignment="1">
      <alignment horizontal="center" vertical="center" wrapText="1"/>
    </xf>
    <xf numFmtId="0" fontId="176" fillId="0" borderId="9" xfId="0" applyFont="1" applyFill="1" applyBorder="1" applyAlignment="1">
      <alignment horizontal="center" vertical="center" wrapText="1"/>
    </xf>
    <xf numFmtId="0" fontId="176" fillId="0" borderId="21" xfId="0" applyFont="1" applyFill="1" applyBorder="1" applyAlignment="1">
      <alignment horizontal="center" vertical="center" wrapText="1"/>
    </xf>
    <xf numFmtId="0" fontId="176" fillId="0" borderId="7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left"/>
    </xf>
    <xf numFmtId="0" fontId="19" fillId="0" borderId="0" xfId="0" applyFont="1" applyBorder="1" applyAlignment="1">
      <alignment horizontal="left" wrapText="1"/>
    </xf>
    <xf numFmtId="0" fontId="19" fillId="0" borderId="0" xfId="0" applyFont="1" applyAlignment="1">
      <alignment horizontal="left" wrapText="1"/>
    </xf>
    <xf numFmtId="0" fontId="19" fillId="0" borderId="0" xfId="0" applyFont="1" applyBorder="1" applyAlignment="1">
      <alignment horizontal="center" wrapText="1"/>
    </xf>
    <xf numFmtId="0" fontId="30" fillId="0" borderId="1" xfId="0" applyFont="1" applyBorder="1" applyAlignment="1">
      <alignment horizontal="right"/>
    </xf>
    <xf numFmtId="0" fontId="43" fillId="0" borderId="0" xfId="0" applyFont="1" applyBorder="1" applyAlignment="1">
      <alignment horizontal="left"/>
    </xf>
    <xf numFmtId="0" fontId="43" fillId="0" borderId="0" xfId="0" applyFont="1" applyAlignment="1">
      <alignment horizontal="left" wrapText="1"/>
    </xf>
    <xf numFmtId="49" fontId="15" fillId="34" borderId="0" xfId="0" applyNumberFormat="1" applyFont="1" applyFill="1" applyBorder="1" applyAlignment="1">
      <alignment horizontal="center" vertical="center" wrapText="1"/>
    </xf>
    <xf numFmtId="49" fontId="15" fillId="0" borderId="0" xfId="0" applyNumberFormat="1" applyFont="1" applyBorder="1" applyAlignment="1">
      <alignment horizontal="center" vertical="center" wrapText="1"/>
    </xf>
    <xf numFmtId="0" fontId="23" fillId="0" borderId="5" xfId="0" applyFont="1" applyBorder="1" applyAlignment="1">
      <alignment horizontal="center" vertical="center" wrapText="1"/>
    </xf>
    <xf numFmtId="0" fontId="23" fillId="0" borderId="11" xfId="0" applyFont="1" applyBorder="1" applyAlignment="1">
      <alignment horizontal="center" vertical="center" wrapText="1"/>
    </xf>
    <xf numFmtId="0" fontId="23" fillId="0" borderId="6" xfId="0" applyFont="1" applyBorder="1" applyAlignment="1">
      <alignment horizontal="center" vertical="center" wrapText="1"/>
    </xf>
    <xf numFmtId="0" fontId="15" fillId="0" borderId="8" xfId="0" applyFont="1" applyBorder="1" applyAlignment="1">
      <alignment horizontal="center" vertical="center" wrapText="1"/>
    </xf>
    <xf numFmtId="0" fontId="15" fillId="0" borderId="8" xfId="0" applyFont="1" applyBorder="1" applyAlignment="1">
      <alignment vertical="center"/>
    </xf>
    <xf numFmtId="0" fontId="36" fillId="0" borderId="2" xfId="0" applyFont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0" fontId="15" fillId="0" borderId="0" xfId="0" applyFont="1" applyAlignment="1">
      <alignment horizontal="left" vertical="center" wrapText="1"/>
    </xf>
    <xf numFmtId="49" fontId="15" fillId="0" borderId="0" xfId="0" applyNumberFormat="1" applyFont="1" applyBorder="1" applyAlignment="1">
      <alignment horizontal="left"/>
    </xf>
    <xf numFmtId="0" fontId="23" fillId="0" borderId="0" xfId="0" applyFont="1" applyBorder="1" applyAlignment="1">
      <alignment horizontal="left"/>
    </xf>
    <xf numFmtId="0" fontId="23" fillId="0" borderId="0" xfId="0" applyFont="1" applyBorder="1" applyAlignment="1">
      <alignment horizontal="left" wrapText="1"/>
    </xf>
    <xf numFmtId="0" fontId="15" fillId="0" borderId="0" xfId="0" applyFont="1" applyBorder="1" applyAlignment="1">
      <alignment horizontal="center" vertical="top" wrapText="1"/>
    </xf>
    <xf numFmtId="0" fontId="7" fillId="0" borderId="0" xfId="0" applyFont="1" applyAlignment="1">
      <alignment horizontal="right" vertical="center"/>
    </xf>
    <xf numFmtId="0" fontId="15" fillId="0" borderId="1" xfId="0" applyFont="1" applyBorder="1" applyAlignment="1">
      <alignment horizontal="right" wrapText="1"/>
    </xf>
    <xf numFmtId="0" fontId="21" fillId="0" borderId="0" xfId="0" applyFont="1" applyBorder="1" applyAlignment="1">
      <alignment horizontal="left" wrapText="1"/>
    </xf>
    <xf numFmtId="49" fontId="7" fillId="0" borderId="1" xfId="0" applyNumberFormat="1" applyFont="1" applyBorder="1" applyAlignment="1">
      <alignment horizontal="left" vertical="top" wrapText="1"/>
    </xf>
    <xf numFmtId="0" fontId="10" fillId="0" borderId="0" xfId="0" applyFont="1" applyBorder="1" applyAlignment="1">
      <alignment horizontal="right" wrapText="1"/>
    </xf>
    <xf numFmtId="0" fontId="92" fillId="0" borderId="0" xfId="0" applyFont="1" applyAlignment="1">
      <alignment horizontal="left"/>
    </xf>
    <xf numFmtId="2" fontId="36" fillId="0" borderId="0" xfId="0" applyNumberFormat="1" applyFont="1" applyBorder="1" applyAlignment="1">
      <alignment horizontal="left"/>
    </xf>
    <xf numFmtId="0" fontId="38" fillId="0" borderId="0" xfId="0" applyFont="1" applyBorder="1" applyAlignment="1">
      <alignment horizontal="left" vertical="top" wrapText="1"/>
    </xf>
    <xf numFmtId="0" fontId="38" fillId="0" borderId="0" xfId="0" applyFont="1" applyBorder="1" applyAlignment="1">
      <alignment horizontal="right" vertical="top" wrapText="1"/>
    </xf>
    <xf numFmtId="0" fontId="10" fillId="0" borderId="0" xfId="0" applyFont="1" applyBorder="1" applyAlignment="1">
      <alignment horizontal="right" vertical="top" wrapText="1"/>
    </xf>
    <xf numFmtId="0" fontId="10" fillId="0" borderId="5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right" vertical="top" wrapText="1"/>
    </xf>
    <xf numFmtId="0" fontId="9" fillId="0" borderId="2" xfId="0" applyFont="1" applyBorder="1" applyAlignment="1">
      <alignment horizontal="center" vertical="center" wrapText="1"/>
    </xf>
    <xf numFmtId="0" fontId="36" fillId="0" borderId="0" xfId="0" applyFont="1" applyFill="1" applyBorder="1" applyAlignment="1">
      <alignment horizontal="center" vertical="center"/>
    </xf>
    <xf numFmtId="0" fontId="20" fillId="0" borderId="2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right" vertical="center" wrapText="1"/>
    </xf>
    <xf numFmtId="0" fontId="10" fillId="0" borderId="1" xfId="0" applyFont="1" applyFill="1" applyBorder="1" applyAlignment="1">
      <alignment horizontal="left" vertical="center" wrapText="1"/>
    </xf>
    <xf numFmtId="0" fontId="17" fillId="0" borderId="2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right" vertical="center" wrapText="1"/>
    </xf>
    <xf numFmtId="0" fontId="20" fillId="0" borderId="2" xfId="0" applyFont="1" applyBorder="1" applyAlignment="1">
      <alignment horizontal="center" vertical="center" wrapText="1"/>
    </xf>
    <xf numFmtId="0" fontId="17" fillId="34" borderId="0" xfId="0" applyFont="1" applyFill="1" applyBorder="1" applyAlignment="1">
      <alignment horizontal="left" vertical="center" wrapText="1"/>
    </xf>
    <xf numFmtId="0" fontId="13" fillId="34" borderId="0" xfId="0" applyFont="1" applyFill="1" applyBorder="1" applyAlignment="1">
      <alignment horizontal="center" vertical="center" wrapText="1"/>
    </xf>
    <xf numFmtId="0" fontId="85" fillId="34" borderId="0" xfId="0" applyFont="1" applyFill="1" applyBorder="1" applyAlignment="1">
      <alignment horizontal="left"/>
    </xf>
    <xf numFmtId="0" fontId="90" fillId="0" borderId="0" xfId="0" applyFont="1" applyFill="1" applyBorder="1" applyAlignment="1">
      <alignment horizontal="left" wrapText="1"/>
    </xf>
    <xf numFmtId="0" fontId="76" fillId="0" borderId="0" xfId="0" applyFont="1" applyFill="1" applyBorder="1" applyAlignment="1">
      <alignment horizontal="left" vertical="center" wrapText="1" indent="2"/>
    </xf>
    <xf numFmtId="0" fontId="16" fillId="0" borderId="0" xfId="0" applyFont="1" applyFill="1" applyBorder="1" applyAlignment="1">
      <alignment vertical="center" wrapText="1"/>
    </xf>
    <xf numFmtId="0" fontId="81" fillId="34" borderId="0" xfId="0" applyFont="1" applyFill="1" applyBorder="1" applyAlignment="1">
      <alignment horizontal="left" vertical="justify" wrapText="1"/>
    </xf>
    <xf numFmtId="0" fontId="28" fillId="34" borderId="0" xfId="0" applyFont="1" applyFill="1" applyBorder="1" applyAlignment="1">
      <alignment horizontal="left" vertical="center" wrapText="1"/>
    </xf>
    <xf numFmtId="0" fontId="29" fillId="0" borderId="0" xfId="0" applyFont="1" applyFill="1" applyBorder="1" applyAlignment="1">
      <alignment horizontal="left" wrapText="1"/>
    </xf>
    <xf numFmtId="0" fontId="76" fillId="34" borderId="0" xfId="0" applyFont="1" applyFill="1" applyBorder="1" applyAlignment="1">
      <alignment horizontal="left" vertical="center" wrapText="1" indent="2"/>
    </xf>
    <xf numFmtId="0" fontId="76" fillId="34" borderId="0" xfId="0" applyFont="1" applyFill="1" applyAlignment="1">
      <alignment horizontal="left" wrapText="1"/>
    </xf>
    <xf numFmtId="0" fontId="76" fillId="0" borderId="0" xfId="0" applyFont="1" applyFill="1" applyAlignment="1">
      <alignment horizontal="left" wrapText="1"/>
    </xf>
    <xf numFmtId="10" fontId="76" fillId="34" borderId="0" xfId="0" applyNumberFormat="1" applyFont="1" applyFill="1" applyAlignment="1">
      <alignment horizontal="left" wrapText="1"/>
    </xf>
    <xf numFmtId="10" fontId="76" fillId="0" borderId="0" xfId="0" applyNumberFormat="1" applyFont="1" applyFill="1" applyBorder="1" applyAlignment="1">
      <alignment horizontal="left" wrapText="1"/>
    </xf>
    <xf numFmtId="0" fontId="82" fillId="0" borderId="0" xfId="0" applyFont="1" applyBorder="1" applyAlignment="1">
      <alignment horizontal="right" wrapText="1"/>
    </xf>
    <xf numFmtId="0" fontId="78" fillId="0" borderId="0" xfId="0" applyFont="1" applyBorder="1" applyAlignment="1">
      <alignment horizontal="right" wrapText="1"/>
    </xf>
    <xf numFmtId="0" fontId="78" fillId="0" borderId="0" xfId="0" applyFont="1" applyBorder="1" applyAlignment="1">
      <alignment horizontal="left" wrapText="1"/>
    </xf>
    <xf numFmtId="0" fontId="10" fillId="0" borderId="9" xfId="0" applyFont="1" applyBorder="1" applyAlignment="1">
      <alignment horizontal="center" vertical="center" wrapText="1"/>
    </xf>
    <xf numFmtId="0" fontId="10" fillId="0" borderId="20" xfId="0" applyFont="1" applyBorder="1" applyAlignment="1">
      <alignment horizontal="center" vertical="center" wrapText="1"/>
    </xf>
    <xf numFmtId="0" fontId="10" fillId="0" borderId="22" xfId="0" applyFont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 wrapText="1"/>
    </xf>
    <xf numFmtId="0" fontId="16" fillId="0" borderId="0" xfId="0" applyFont="1" applyFill="1" applyBorder="1" applyAlignment="1">
      <alignment horizontal="left" vertical="center" wrapText="1"/>
    </xf>
    <xf numFmtId="49" fontId="27" fillId="0" borderId="0" xfId="0" applyNumberFormat="1" applyFont="1" applyFill="1" applyBorder="1" applyAlignment="1">
      <alignment horizontal="left" vertical="center" wrapText="1"/>
    </xf>
    <xf numFmtId="0" fontId="75" fillId="0" borderId="0" xfId="0" applyFont="1" applyFill="1" applyBorder="1" applyAlignment="1">
      <alignment horizontal="left" vertical="center" wrapText="1"/>
    </xf>
    <xf numFmtId="0" fontId="40" fillId="0" borderId="0" xfId="0" applyFont="1" applyFill="1" applyAlignment="1">
      <alignment horizontal="left"/>
    </xf>
    <xf numFmtId="0" fontId="29" fillId="34" borderId="0" xfId="0" applyFont="1" applyFill="1" applyBorder="1" applyAlignment="1">
      <alignment horizontal="left" vertical="center" wrapText="1"/>
    </xf>
    <xf numFmtId="0" fontId="16" fillId="34" borderId="0" xfId="0" applyFont="1" applyFill="1" applyBorder="1" applyAlignment="1">
      <alignment vertical="center" wrapText="1"/>
    </xf>
    <xf numFmtId="0" fontId="15" fillId="34" borderId="0" xfId="0" applyFont="1" applyFill="1" applyBorder="1" applyAlignment="1">
      <alignment horizontal="left" vertical="center" wrapText="1" indent="2"/>
    </xf>
    <xf numFmtId="0" fontId="40" fillId="34" borderId="0" xfId="0" applyFont="1" applyFill="1" applyAlignment="1">
      <alignment horizontal="left" wrapText="1"/>
    </xf>
    <xf numFmtId="0" fontId="14" fillId="0" borderId="0" xfId="0" applyFont="1" applyFill="1" applyBorder="1" applyAlignment="1">
      <alignment horizontal="left" vertical="center" wrapText="1" indent="2"/>
    </xf>
    <xf numFmtId="0" fontId="94" fillId="0" borderId="0" xfId="0" applyFont="1" applyFill="1" applyBorder="1" applyAlignment="1">
      <alignment horizontal="left" vertical="center" wrapText="1"/>
    </xf>
    <xf numFmtId="0" fontId="16" fillId="34" borderId="0" xfId="0" applyFont="1" applyFill="1" applyBorder="1" applyAlignment="1">
      <alignment horizontal="left" vertical="center" wrapText="1"/>
    </xf>
    <xf numFmtId="0" fontId="75" fillId="34" borderId="12" xfId="0" applyFont="1" applyFill="1" applyBorder="1" applyAlignment="1">
      <alignment horizontal="left" vertical="center" wrapText="1"/>
    </xf>
    <xf numFmtId="0" fontId="40" fillId="0" borderId="0" xfId="0" applyFont="1" applyFill="1" applyAlignment="1">
      <alignment horizontal="left" wrapText="1"/>
    </xf>
    <xf numFmtId="0" fontId="13" fillId="0" borderId="0" xfId="0" applyFont="1" applyFill="1" applyBorder="1" applyAlignment="1">
      <alignment horizontal="left" vertical="center" wrapText="1"/>
    </xf>
    <xf numFmtId="0" fontId="85" fillId="34" borderId="0" xfId="0" applyFont="1" applyFill="1" applyBorder="1" applyAlignment="1">
      <alignment horizontal="left" vertical="top" wrapText="1"/>
    </xf>
    <xf numFmtId="0" fontId="13" fillId="34" borderId="0" xfId="0" applyFont="1" applyFill="1" applyBorder="1" applyAlignment="1">
      <alignment horizontal="left" vertical="center" wrapText="1"/>
    </xf>
    <xf numFmtId="0" fontId="23" fillId="0" borderId="0" xfId="0" applyFont="1" applyBorder="1" applyAlignment="1">
      <alignment horizontal="left" vertical="center" wrapText="1"/>
    </xf>
    <xf numFmtId="0" fontId="23" fillId="34" borderId="0" xfId="0" applyFont="1" applyFill="1" applyBorder="1" applyAlignment="1">
      <alignment horizontal="left" vertical="center" wrapText="1"/>
    </xf>
    <xf numFmtId="0" fontId="53" fillId="34" borderId="0" xfId="0" applyFont="1" applyFill="1" applyBorder="1" applyAlignment="1">
      <alignment horizontal="left" vertical="center" wrapText="1"/>
    </xf>
    <xf numFmtId="0" fontId="41" fillId="34" borderId="0" xfId="0" applyFont="1" applyFill="1" applyBorder="1" applyAlignment="1">
      <alignment horizontal="left" vertical="center" wrapText="1"/>
    </xf>
    <xf numFmtId="0" fontId="30" fillId="0" borderId="65" xfId="0" applyFont="1" applyBorder="1" applyAlignment="1">
      <alignment horizontal="center" vertical="center" wrapText="1"/>
    </xf>
    <xf numFmtId="0" fontId="30" fillId="0" borderId="66" xfId="0" applyFont="1" applyBorder="1" applyAlignment="1">
      <alignment horizontal="center" vertical="center" wrapText="1"/>
    </xf>
    <xf numFmtId="0" fontId="30" fillId="0" borderId="21" xfId="0" applyFont="1" applyBorder="1" applyAlignment="1">
      <alignment horizontal="center" vertical="center" wrapText="1"/>
    </xf>
    <xf numFmtId="0" fontId="30" fillId="0" borderId="23" xfId="0" applyFont="1" applyBorder="1" applyAlignment="1">
      <alignment horizontal="center" vertical="center" wrapText="1"/>
    </xf>
    <xf numFmtId="0" fontId="30" fillId="0" borderId="7" xfId="0" applyFont="1" applyBorder="1" applyAlignment="1">
      <alignment horizontal="center" vertical="center" wrapText="1"/>
    </xf>
    <xf numFmtId="0" fontId="30" fillId="0" borderId="10" xfId="0" applyFont="1" applyBorder="1" applyAlignment="1">
      <alignment horizontal="center" vertical="center" wrapText="1"/>
    </xf>
    <xf numFmtId="0" fontId="28" fillId="0" borderId="0" xfId="0" applyFont="1" applyAlignment="1">
      <alignment horizontal="left" wrapText="1"/>
    </xf>
    <xf numFmtId="0" fontId="151" fillId="0" borderId="0" xfId="0" applyFont="1" applyBorder="1" applyAlignment="1">
      <alignment horizontal="center" wrapText="1"/>
    </xf>
    <xf numFmtId="0" fontId="28" fillId="0" borderId="62" xfId="0" applyFont="1" applyBorder="1" applyAlignment="1">
      <alignment horizontal="center" vertical="center" wrapText="1"/>
    </xf>
    <xf numFmtId="0" fontId="28" fillId="0" borderId="59" xfId="0" applyFont="1" applyBorder="1" applyAlignment="1">
      <alignment horizontal="center" vertical="center" wrapText="1"/>
    </xf>
    <xf numFmtId="0" fontId="28" fillId="0" borderId="60" xfId="0" applyFont="1" applyBorder="1" applyAlignment="1">
      <alignment horizontal="center" vertical="center" wrapText="1"/>
    </xf>
    <xf numFmtId="0" fontId="15" fillId="0" borderId="65" xfId="0" applyFont="1" applyBorder="1" applyAlignment="1">
      <alignment horizontal="center" vertical="center" wrapText="1"/>
    </xf>
    <xf numFmtId="0" fontId="15" fillId="0" borderId="66" xfId="0" applyFont="1" applyBorder="1" applyAlignment="1">
      <alignment horizontal="center" vertical="center" wrapText="1"/>
    </xf>
    <xf numFmtId="0" fontId="15" fillId="0" borderId="21" xfId="0" applyFont="1" applyBorder="1" applyAlignment="1">
      <alignment horizontal="center" vertical="center" wrapText="1"/>
    </xf>
    <xf numFmtId="0" fontId="15" fillId="0" borderId="23" xfId="0" applyFont="1" applyBorder="1" applyAlignment="1">
      <alignment horizontal="center" vertical="center" wrapText="1"/>
    </xf>
    <xf numFmtId="0" fontId="15" fillId="0" borderId="7" xfId="0" applyFont="1" applyBorder="1" applyAlignment="1">
      <alignment horizontal="center" vertical="center" wrapText="1"/>
    </xf>
    <xf numFmtId="0" fontId="15" fillId="0" borderId="10" xfId="0" applyFont="1" applyBorder="1" applyAlignment="1">
      <alignment horizontal="center" vertical="center" wrapText="1"/>
    </xf>
    <xf numFmtId="0" fontId="150" fillId="0" borderId="0" xfId="0" applyFont="1" applyAlignment="1">
      <alignment horizontal="right" wrapText="1"/>
    </xf>
    <xf numFmtId="0" fontId="151" fillId="0" borderId="0" xfId="0" applyFont="1" applyBorder="1" applyAlignment="1">
      <alignment horizontal="right" wrapText="1"/>
    </xf>
    <xf numFmtId="0" fontId="151" fillId="0" borderId="0" xfId="0" applyFont="1" applyBorder="1" applyAlignment="1">
      <alignment horizontal="left" wrapText="1"/>
    </xf>
    <xf numFmtId="0" fontId="8" fillId="0" borderId="0" xfId="0" applyFont="1" applyAlignment="1">
      <alignment horizontal="left" wrapText="1"/>
    </xf>
    <xf numFmtId="0" fontId="150" fillId="0" borderId="0" xfId="0" applyFont="1" applyAlignment="1">
      <alignment horizontal="left" wrapText="1"/>
    </xf>
    <xf numFmtId="0" fontId="23" fillId="0" borderId="64" xfId="0" applyFont="1" applyBorder="1" applyAlignment="1">
      <alignment horizontal="left" vertical="center" wrapText="1"/>
    </xf>
    <xf numFmtId="0" fontId="8" fillId="0" borderId="0" xfId="0" applyFont="1" applyAlignment="1">
      <alignment horizontal="center" wrapText="1"/>
    </xf>
    <xf numFmtId="0" fontId="150" fillId="0" borderId="0" xfId="0" applyFont="1" applyAlignment="1">
      <alignment horizontal="center" wrapText="1"/>
    </xf>
    <xf numFmtId="0" fontId="25" fillId="0" borderId="14" xfId="0" applyFont="1" applyBorder="1" applyAlignment="1">
      <alignment horizontal="left" vertical="center" wrapText="1"/>
    </xf>
    <xf numFmtId="0" fontId="25" fillId="0" borderId="0" xfId="0" applyFont="1" applyAlignment="1">
      <alignment horizontal="left" wrapText="1"/>
    </xf>
    <xf numFmtId="0" fontId="23" fillId="34" borderId="0" xfId="0" applyFont="1" applyFill="1" applyBorder="1" applyAlignment="1">
      <alignment horizontal="left" vertical="center"/>
    </xf>
    <xf numFmtId="0" fontId="17" fillId="34" borderId="0" xfId="0" applyFont="1" applyFill="1" applyBorder="1" applyAlignment="1">
      <alignment horizontal="left" wrapText="1"/>
    </xf>
    <xf numFmtId="0" fontId="17" fillId="0" borderId="0" xfId="0" applyFont="1" applyFill="1" applyBorder="1" applyAlignment="1">
      <alignment horizontal="left" wrapText="1"/>
    </xf>
    <xf numFmtId="0" fontId="31" fillId="0" borderId="0" xfId="0" applyFont="1" applyBorder="1" applyAlignment="1">
      <alignment horizontal="left" vertical="center" wrapText="1"/>
    </xf>
    <xf numFmtId="0" fontId="17" fillId="0" borderId="0" xfId="0" applyFont="1" applyBorder="1" applyAlignment="1">
      <alignment horizontal="left" vertical="center" wrapText="1"/>
    </xf>
    <xf numFmtId="0" fontId="17" fillId="0" borderId="0" xfId="0" applyFont="1" applyBorder="1" applyAlignment="1">
      <alignment horizontal="left" wrapText="1"/>
    </xf>
    <xf numFmtId="0" fontId="29" fillId="0" borderId="0" xfId="0" applyFont="1" applyBorder="1" applyAlignment="1">
      <alignment horizontal="left" wrapText="1"/>
    </xf>
    <xf numFmtId="0" fontId="13" fillId="0" borderId="11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right" vertical="center" wrapText="1"/>
    </xf>
    <xf numFmtId="0" fontId="29" fillId="0" borderId="0" xfId="0" applyFont="1" applyAlignment="1">
      <alignment horizontal="right" vertical="top"/>
    </xf>
    <xf numFmtId="0" fontId="19" fillId="0" borderId="0" xfId="0" applyFont="1" applyBorder="1" applyAlignment="1">
      <alignment horizontal="left"/>
    </xf>
    <xf numFmtId="0" fontId="14" fillId="0" borderId="0" xfId="0" applyFont="1" applyBorder="1" applyAlignment="1">
      <alignment horizontal="left"/>
    </xf>
    <xf numFmtId="0" fontId="19" fillId="0" borderId="0" xfId="0" applyFont="1" applyBorder="1" applyAlignment="1">
      <alignment horizontal="left" vertical="top" wrapText="1"/>
    </xf>
    <xf numFmtId="0" fontId="14" fillId="0" borderId="0" xfId="0" applyFont="1" applyAlignment="1"/>
    <xf numFmtId="0" fontId="31" fillId="0" borderId="0" xfId="0" applyFont="1" applyBorder="1" applyAlignment="1">
      <alignment horizontal="center" vertical="center" wrapText="1"/>
    </xf>
    <xf numFmtId="0" fontId="31" fillId="0" borderId="0" xfId="0" applyFont="1" applyAlignment="1">
      <alignment horizontal="right" vertical="center"/>
    </xf>
    <xf numFmtId="0" fontId="13" fillId="0" borderId="1" xfId="0" applyFont="1" applyBorder="1" applyAlignment="1">
      <alignment horizontal="right" wrapText="1"/>
    </xf>
    <xf numFmtId="0" fontId="29" fillId="0" borderId="22" xfId="0" applyFont="1" applyBorder="1" applyAlignment="1">
      <alignment horizontal="center" vertical="center" wrapText="1"/>
    </xf>
    <xf numFmtId="0" fontId="40" fillId="0" borderId="0" xfId="0" applyFont="1" applyBorder="1" applyAlignment="1">
      <alignment horizontal="left"/>
    </xf>
    <xf numFmtId="0" fontId="29" fillId="0" borderId="3" xfId="0" applyFont="1" applyBorder="1" applyAlignment="1">
      <alignment horizontal="center" vertical="center" wrapText="1"/>
    </xf>
    <xf numFmtId="0" fontId="40" fillId="0" borderId="0" xfId="0" applyFont="1" applyBorder="1" applyAlignment="1">
      <alignment horizontal="left" vertical="top" wrapText="1"/>
    </xf>
    <xf numFmtId="0" fontId="43" fillId="0" borderId="0" xfId="0" applyFont="1" applyBorder="1" applyAlignment="1">
      <alignment horizontal="left" vertical="top" wrapText="1"/>
    </xf>
    <xf numFmtId="0" fontId="29" fillId="0" borderId="5" xfId="0" applyFont="1" applyBorder="1" applyAlignment="1">
      <alignment horizontal="center" vertical="center" wrapText="1"/>
    </xf>
    <xf numFmtId="0" fontId="29" fillId="0" borderId="11" xfId="0" applyFont="1" applyBorder="1" applyAlignment="1">
      <alignment horizontal="center" vertical="center" wrapText="1"/>
    </xf>
    <xf numFmtId="0" fontId="29" fillId="0" borderId="6" xfId="0" applyFont="1" applyBorder="1" applyAlignment="1">
      <alignment horizontal="center" vertical="center" wrapText="1"/>
    </xf>
    <xf numFmtId="0" fontId="14" fillId="0" borderId="0" xfId="0" applyFont="1" applyBorder="1" applyAlignment="1">
      <alignment horizontal="center" vertical="top" wrapText="1"/>
    </xf>
    <xf numFmtId="0" fontId="38" fillId="0" borderId="0" xfId="0" applyFont="1" applyBorder="1" applyAlignment="1">
      <alignment horizontal="center" wrapText="1"/>
    </xf>
    <xf numFmtId="0" fontId="38" fillId="0" borderId="1" xfId="0" applyFont="1" applyBorder="1" applyAlignment="1">
      <alignment horizontal="center" vertical="top" wrapText="1"/>
    </xf>
    <xf numFmtId="0" fontId="38" fillId="0" borderId="0" xfId="0" applyFont="1" applyBorder="1" applyAlignment="1">
      <alignment horizontal="right" wrapText="1"/>
    </xf>
    <xf numFmtId="0" fontId="38" fillId="0" borderId="0" xfId="0" applyFont="1" applyBorder="1" applyAlignment="1">
      <alignment horizontal="left" wrapText="1"/>
    </xf>
    <xf numFmtId="0" fontId="9" fillId="0" borderId="9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38" fillId="0" borderId="1" xfId="0" applyFont="1" applyBorder="1" applyAlignment="1">
      <alignment horizontal="left" vertical="top" wrapText="1"/>
    </xf>
    <xf numFmtId="0" fontId="49" fillId="0" borderId="1" xfId="0" applyFont="1" applyBorder="1" applyAlignment="1">
      <alignment horizontal="center" wrapText="1"/>
    </xf>
    <xf numFmtId="0" fontId="29" fillId="0" borderId="9" xfId="0" applyFont="1" applyFill="1" applyBorder="1" applyAlignment="1">
      <alignment horizontal="center" vertical="center" wrapText="1"/>
    </xf>
    <xf numFmtId="0" fontId="29" fillId="0" borderId="7" xfId="0" applyFont="1" applyFill="1" applyBorder="1" applyAlignment="1">
      <alignment horizontal="center" vertical="center" wrapText="1"/>
    </xf>
    <xf numFmtId="0" fontId="29" fillId="0" borderId="6" xfId="0" applyFont="1" applyFill="1" applyBorder="1" applyAlignment="1">
      <alignment horizontal="center" vertical="center" wrapText="1"/>
    </xf>
    <xf numFmtId="0" fontId="29" fillId="0" borderId="0" xfId="0" applyFont="1" applyBorder="1" applyAlignment="1">
      <alignment horizontal="center" wrapText="1"/>
    </xf>
    <xf numFmtId="0" fontId="27" fillId="0" borderId="0" xfId="0" applyFont="1" applyBorder="1" applyAlignment="1">
      <alignment horizontal="left" wrapText="1"/>
    </xf>
    <xf numFmtId="0" fontId="44" fillId="0" borderId="0" xfId="0" applyFont="1" applyAlignment="1">
      <alignment horizontal="right" vertical="center" wrapText="1"/>
    </xf>
    <xf numFmtId="0" fontId="31" fillId="0" borderId="0" xfId="0" applyFont="1" applyAlignment="1">
      <alignment horizontal="right" vertical="center" wrapText="1"/>
    </xf>
    <xf numFmtId="0" fontId="31" fillId="0" borderId="0" xfId="0" applyFont="1" applyAlignment="1">
      <alignment horizontal="left" vertical="center" wrapText="1"/>
    </xf>
    <xf numFmtId="0" fontId="13" fillId="0" borderId="0" xfId="0" applyFont="1" applyAlignment="1">
      <alignment horizontal="left" wrapText="1"/>
    </xf>
    <xf numFmtId="0" fontId="31" fillId="0" borderId="0" xfId="0" applyFont="1" applyBorder="1" applyAlignment="1">
      <alignment horizontal="right"/>
    </xf>
    <xf numFmtId="0" fontId="32" fillId="0" borderId="0" xfId="0" applyFont="1" applyAlignment="1">
      <alignment horizontal="left" wrapText="1"/>
    </xf>
    <xf numFmtId="0" fontId="19" fillId="0" borderId="2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27" fillId="0" borderId="0" xfId="0" applyFont="1" applyAlignment="1">
      <alignment horizontal="left" wrapText="1"/>
    </xf>
    <xf numFmtId="0" fontId="19" fillId="0" borderId="5" xfId="0" applyFont="1" applyFill="1" applyBorder="1" applyAlignment="1">
      <alignment horizontal="center" vertical="center" wrapText="1"/>
    </xf>
    <xf numFmtId="0" fontId="19" fillId="0" borderId="11" xfId="0" applyFont="1" applyFill="1" applyBorder="1" applyAlignment="1">
      <alignment horizontal="center" vertical="center" wrapText="1"/>
    </xf>
    <xf numFmtId="0" fontId="19" fillId="0" borderId="6" xfId="0" applyFont="1" applyFill="1" applyBorder="1" applyAlignment="1">
      <alignment horizontal="center" vertical="center" wrapText="1"/>
    </xf>
    <xf numFmtId="0" fontId="16" fillId="0" borderId="5" xfId="0" applyFont="1" applyBorder="1" applyAlignment="1">
      <alignment horizontal="center" vertical="center" wrapText="1"/>
    </xf>
    <xf numFmtId="0" fontId="16" fillId="0" borderId="6" xfId="0" applyFont="1" applyBorder="1" applyAlignment="1">
      <alignment horizontal="center" vertical="center" wrapText="1"/>
    </xf>
    <xf numFmtId="0" fontId="38" fillId="0" borderId="0" xfId="0" applyFont="1" applyAlignment="1">
      <alignment horizontal="right" wrapText="1"/>
    </xf>
    <xf numFmtId="0" fontId="16" fillId="0" borderId="2" xfId="0" applyFont="1" applyBorder="1" applyAlignment="1">
      <alignment horizontal="center" wrapText="1"/>
    </xf>
    <xf numFmtId="0" fontId="38" fillId="0" borderId="0" xfId="0" applyFont="1" applyAlignment="1">
      <alignment horizontal="left"/>
    </xf>
    <xf numFmtId="0" fontId="13" fillId="0" borderId="1" xfId="0" applyFont="1" applyBorder="1" applyAlignment="1">
      <alignment horizontal="right"/>
    </xf>
    <xf numFmtId="0" fontId="16" fillId="0" borderId="8" xfId="0" applyFont="1" applyBorder="1" applyAlignment="1">
      <alignment horizontal="center" wrapText="1"/>
    </xf>
    <xf numFmtId="0" fontId="16" fillId="0" borderId="3" xfId="0" applyFont="1" applyBorder="1" applyAlignment="1">
      <alignment horizontal="center" wrapText="1"/>
    </xf>
    <xf numFmtId="0" fontId="129" fillId="0" borderId="2" xfId="232" applyFont="1" applyBorder="1" applyAlignment="1">
      <alignment horizontal="center" vertical="center" wrapText="1"/>
    </xf>
    <xf numFmtId="0" fontId="129" fillId="0" borderId="2" xfId="0" applyFont="1" applyBorder="1" applyAlignment="1">
      <alignment horizontal="center" vertical="top" wrapText="1"/>
    </xf>
    <xf numFmtId="0" fontId="38" fillId="0" borderId="0" xfId="0" applyFont="1" applyAlignment="1">
      <alignment horizontal="center" wrapText="1"/>
    </xf>
    <xf numFmtId="0" fontId="130" fillId="0" borderId="0" xfId="232" applyFont="1" applyBorder="1" applyAlignment="1">
      <alignment horizontal="center"/>
    </xf>
    <xf numFmtId="0" fontId="129" fillId="0" borderId="8" xfId="0" applyFont="1" applyBorder="1" applyAlignment="1">
      <alignment horizontal="center" vertical="top" wrapText="1"/>
    </xf>
    <xf numFmtId="0" fontId="129" fillId="0" borderId="3" xfId="0" applyFont="1" applyBorder="1" applyAlignment="1">
      <alignment horizontal="center" vertical="top" wrapText="1"/>
    </xf>
    <xf numFmtId="0" fontId="129" fillId="0" borderId="2" xfId="0" applyFont="1" applyBorder="1" applyAlignment="1">
      <alignment horizontal="center"/>
    </xf>
    <xf numFmtId="0" fontId="126" fillId="0" borderId="2" xfId="0" applyFont="1" applyBorder="1" applyAlignment="1">
      <alignment horizontal="center" vertical="top" wrapText="1"/>
    </xf>
    <xf numFmtId="0" fontId="129" fillId="0" borderId="5" xfId="0" applyFont="1" applyBorder="1" applyAlignment="1">
      <alignment horizontal="left"/>
    </xf>
    <xf numFmtId="0" fontId="129" fillId="0" borderId="11" xfId="0" applyFont="1" applyBorder="1" applyAlignment="1">
      <alignment horizontal="left"/>
    </xf>
    <xf numFmtId="0" fontId="129" fillId="0" borderId="6" xfId="0" applyFont="1" applyBorder="1" applyAlignment="1">
      <alignment horizontal="left"/>
    </xf>
    <xf numFmtId="0" fontId="129" fillId="0" borderId="8" xfId="0" applyFont="1" applyBorder="1" applyAlignment="1">
      <alignment horizontal="center" vertical="center" wrapText="1"/>
    </xf>
    <xf numFmtId="0" fontId="129" fillId="0" borderId="3" xfId="0" applyFont="1" applyBorder="1" applyAlignment="1">
      <alignment horizontal="center" vertical="center" wrapText="1"/>
    </xf>
    <xf numFmtId="0" fontId="189" fillId="0" borderId="2" xfId="0" applyFont="1" applyBorder="1" applyAlignment="1">
      <alignment horizontal="center"/>
    </xf>
    <xf numFmtId="0" fontId="130" fillId="0" borderId="0" xfId="232" applyFont="1" applyBorder="1" applyAlignment="1">
      <alignment horizontal="right"/>
    </xf>
    <xf numFmtId="0" fontId="124" fillId="0" borderId="49" xfId="0" applyFont="1" applyBorder="1" applyAlignment="1">
      <alignment horizontal="left" vertical="center" textRotation="90"/>
    </xf>
    <xf numFmtId="0" fontId="124" fillId="0" borderId="67" xfId="0" applyFont="1" applyBorder="1" applyAlignment="1">
      <alignment horizontal="left" vertical="center" textRotation="90"/>
    </xf>
    <xf numFmtId="0" fontId="49" fillId="0" borderId="0" xfId="0" applyFont="1" applyAlignment="1">
      <alignment horizontal="center" vertical="top"/>
    </xf>
    <xf numFmtId="0" fontId="124" fillId="0" borderId="52" xfId="0" applyFont="1" applyBorder="1" applyAlignment="1">
      <alignment horizontal="left" vertical="center" textRotation="90"/>
    </xf>
    <xf numFmtId="0" fontId="125" fillId="0" borderId="59" xfId="0" applyFont="1" applyFill="1" applyBorder="1" applyAlignment="1">
      <alignment horizontal="left" vertical="top"/>
    </xf>
    <xf numFmtId="0" fontId="124" fillId="0" borderId="54" xfId="0" applyFont="1" applyBorder="1" applyAlignment="1">
      <alignment horizontal="left" vertical="center" textRotation="90"/>
    </xf>
    <xf numFmtId="0" fontId="116" fillId="0" borderId="54" xfId="0" applyFont="1" applyBorder="1" applyAlignment="1">
      <alignment vertical="center" textRotation="90"/>
    </xf>
    <xf numFmtId="0" fontId="116" fillId="0" borderId="53" xfId="0" applyFont="1" applyBorder="1" applyAlignment="1">
      <alignment vertical="center" textRotation="90"/>
    </xf>
    <xf numFmtId="0" fontId="124" fillId="0" borderId="50" xfId="0" applyFont="1" applyBorder="1" applyAlignment="1">
      <alignment horizontal="center" vertical="center"/>
    </xf>
    <xf numFmtId="0" fontId="124" fillId="0" borderId="55" xfId="0" applyFont="1" applyBorder="1" applyAlignment="1">
      <alignment horizontal="center" vertical="center"/>
    </xf>
    <xf numFmtId="0" fontId="125" fillId="0" borderId="49" xfId="0" applyFont="1" applyBorder="1" applyAlignment="1">
      <alignment horizontal="left" vertical="top"/>
    </xf>
    <xf numFmtId="0" fontId="125" fillId="0" borderId="50" xfId="0" applyFont="1" applyBorder="1" applyAlignment="1">
      <alignment horizontal="left" vertical="top"/>
    </xf>
    <xf numFmtId="0" fontId="128" fillId="0" borderId="0" xfId="0" applyFont="1" applyBorder="1" applyAlignment="1">
      <alignment horizontal="center"/>
    </xf>
    <xf numFmtId="49" fontId="116" fillId="0" borderId="61" xfId="0" applyNumberFormat="1" applyFont="1" applyBorder="1" applyAlignment="1">
      <alignment horizontal="center" vertical="center" textRotation="88"/>
    </xf>
    <xf numFmtId="0" fontId="130" fillId="0" borderId="58" xfId="0" applyFont="1" applyBorder="1" applyAlignment="1">
      <alignment horizontal="right"/>
    </xf>
    <xf numFmtId="0" fontId="116" fillId="0" borderId="59" xfId="0" applyFont="1" applyBorder="1" applyAlignment="1">
      <alignment horizontal="right"/>
    </xf>
    <xf numFmtId="0" fontId="116" fillId="0" borderId="62" xfId="0" applyFont="1" applyBorder="1" applyAlignment="1">
      <alignment horizontal="center" vertical="center" wrapText="1"/>
    </xf>
    <xf numFmtId="0" fontId="116" fillId="0" borderId="60" xfId="0" applyFont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28" fillId="0" borderId="0" xfId="0" applyFont="1" applyAlignment="1">
      <alignment horizontal="center"/>
    </xf>
    <xf numFmtId="0" fontId="16" fillId="0" borderId="0" xfId="0" applyFont="1" applyAlignment="1">
      <alignment wrapText="1"/>
    </xf>
  </cellXfs>
  <cellStyles count="233">
    <cellStyle name="20% - Accent1 2" xfId="1"/>
    <cellStyle name="20% - Accent1 3" xfId="2"/>
    <cellStyle name="20% - Accent1 4" xfId="3"/>
    <cellStyle name="20% - Accent1 5" xfId="4"/>
    <cellStyle name="20% - Accent1 6" xfId="5"/>
    <cellStyle name="20% - Accent2 2" xfId="6"/>
    <cellStyle name="20% - Accent2 3" xfId="7"/>
    <cellStyle name="20% - Accent2 4" xfId="8"/>
    <cellStyle name="20% - Accent2 5" xfId="9"/>
    <cellStyle name="20% - Accent2 6" xfId="10"/>
    <cellStyle name="20% - Accent3 2" xfId="11"/>
    <cellStyle name="20% - Accent3 3" xfId="12"/>
    <cellStyle name="20% - Accent3 4" xfId="13"/>
    <cellStyle name="20% - Accent3 5" xfId="14"/>
    <cellStyle name="20% - Accent3 6" xfId="15"/>
    <cellStyle name="20% - Accent4 2" xfId="16"/>
    <cellStyle name="20% - Accent4 3" xfId="17"/>
    <cellStyle name="20% - Accent4 4" xfId="18"/>
    <cellStyle name="20% - Accent4 5" xfId="19"/>
    <cellStyle name="20% - Accent4 6" xfId="20"/>
    <cellStyle name="20% - Accent5 2" xfId="21"/>
    <cellStyle name="20% - Accent5 3" xfId="22"/>
    <cellStyle name="20% - Accent5 4" xfId="23"/>
    <cellStyle name="20% - Accent5 5" xfId="24"/>
    <cellStyle name="20% - Accent5 6" xfId="25"/>
    <cellStyle name="20% - Accent6 2" xfId="26"/>
    <cellStyle name="20% - Accent6 3" xfId="27"/>
    <cellStyle name="20% - Accent6 4" xfId="28"/>
    <cellStyle name="20% - Accent6 5" xfId="29"/>
    <cellStyle name="20% - Accent6 6" xfId="30"/>
    <cellStyle name="40% - Accent1 2" xfId="31"/>
    <cellStyle name="40% - Accent1 3" xfId="32"/>
    <cellStyle name="40% - Accent1 4" xfId="33"/>
    <cellStyle name="40% - Accent1 5" xfId="34"/>
    <cellStyle name="40% - Accent1 6" xfId="35"/>
    <cellStyle name="40% - Accent2 2" xfId="36"/>
    <cellStyle name="40% - Accent2 3" xfId="37"/>
    <cellStyle name="40% - Accent2 4" xfId="38"/>
    <cellStyle name="40% - Accent2 5" xfId="39"/>
    <cellStyle name="40% - Accent2 6" xfId="40"/>
    <cellStyle name="40% - Accent3 2" xfId="41"/>
    <cellStyle name="40% - Accent3 3" xfId="42"/>
    <cellStyle name="40% - Accent3 4" xfId="43"/>
    <cellStyle name="40% - Accent3 5" xfId="44"/>
    <cellStyle name="40% - Accent3 6" xfId="45"/>
    <cellStyle name="40% - Accent4 2" xfId="46"/>
    <cellStyle name="40% - Accent4 3" xfId="47"/>
    <cellStyle name="40% - Accent4 4" xfId="48"/>
    <cellStyle name="40% - Accent4 5" xfId="49"/>
    <cellStyle name="40% - Accent4 6" xfId="50"/>
    <cellStyle name="40% - Accent5 2" xfId="51"/>
    <cellStyle name="40% - Accent5 3" xfId="52"/>
    <cellStyle name="40% - Accent5 4" xfId="53"/>
    <cellStyle name="40% - Accent5 5" xfId="54"/>
    <cellStyle name="40% - Accent5 6" xfId="55"/>
    <cellStyle name="40% - Accent6 2" xfId="56"/>
    <cellStyle name="40% - Accent6 3" xfId="57"/>
    <cellStyle name="40% - Accent6 4" xfId="58"/>
    <cellStyle name="40% - Accent6 5" xfId="59"/>
    <cellStyle name="40% - Accent6 6" xfId="60"/>
    <cellStyle name="60% - Accent1 2" xfId="61"/>
    <cellStyle name="60% - Accent1 3" xfId="62"/>
    <cellStyle name="60% - Accent1 4" xfId="63"/>
    <cellStyle name="60% - Accent1 5" xfId="64"/>
    <cellStyle name="60% - Accent1 6" xfId="65"/>
    <cellStyle name="60% - Accent2 2" xfId="66"/>
    <cellStyle name="60% - Accent2 3" xfId="67"/>
    <cellStyle name="60% - Accent2 4" xfId="68"/>
    <cellStyle name="60% - Accent2 5" xfId="69"/>
    <cellStyle name="60% - Accent2 6" xfId="70"/>
    <cellStyle name="60% - Accent3 2" xfId="71"/>
    <cellStyle name="60% - Accent3 3" xfId="72"/>
    <cellStyle name="60% - Accent3 4" xfId="73"/>
    <cellStyle name="60% - Accent3 5" xfId="74"/>
    <cellStyle name="60% - Accent3 6" xfId="75"/>
    <cellStyle name="60% - Accent4 2" xfId="76"/>
    <cellStyle name="60% - Accent4 3" xfId="77"/>
    <cellStyle name="60% - Accent4 4" xfId="78"/>
    <cellStyle name="60% - Accent4 5" xfId="79"/>
    <cellStyle name="60% - Accent4 6" xfId="80"/>
    <cellStyle name="60% - Accent5 2" xfId="81"/>
    <cellStyle name="60% - Accent5 3" xfId="82"/>
    <cellStyle name="60% - Accent5 4" xfId="83"/>
    <cellStyle name="60% - Accent5 5" xfId="84"/>
    <cellStyle name="60% - Accent5 6" xfId="85"/>
    <cellStyle name="60% - Accent6 2" xfId="86"/>
    <cellStyle name="60% - Accent6 3" xfId="87"/>
    <cellStyle name="60% - Accent6 4" xfId="88"/>
    <cellStyle name="60% - Accent6 5" xfId="89"/>
    <cellStyle name="60% - Accent6 6" xfId="90"/>
    <cellStyle name="Accent1 2" xfId="91"/>
    <cellStyle name="Accent1 3" xfId="92"/>
    <cellStyle name="Accent1 4" xfId="93"/>
    <cellStyle name="Accent1 5" xfId="94"/>
    <cellStyle name="Accent1 6" xfId="95"/>
    <cellStyle name="Accent2 2" xfId="96"/>
    <cellStyle name="Accent2 3" xfId="97"/>
    <cellStyle name="Accent2 4" xfId="98"/>
    <cellStyle name="Accent2 5" xfId="99"/>
    <cellStyle name="Accent2 6" xfId="100"/>
    <cellStyle name="Accent3 2" xfId="101"/>
    <cellStyle name="Accent3 3" xfId="102"/>
    <cellStyle name="Accent3 4" xfId="103"/>
    <cellStyle name="Accent3 5" xfId="104"/>
    <cellStyle name="Accent3 6" xfId="105"/>
    <cellStyle name="Accent4 2" xfId="106"/>
    <cellStyle name="Accent4 3" xfId="107"/>
    <cellStyle name="Accent4 4" xfId="108"/>
    <cellStyle name="Accent4 5" xfId="109"/>
    <cellStyle name="Accent4 6" xfId="110"/>
    <cellStyle name="Accent5 2" xfId="111"/>
    <cellStyle name="Accent5 3" xfId="112"/>
    <cellStyle name="Accent5 4" xfId="113"/>
    <cellStyle name="Accent5 5" xfId="114"/>
    <cellStyle name="Accent5 6" xfId="115"/>
    <cellStyle name="Accent6 2" xfId="116"/>
    <cellStyle name="Accent6 3" xfId="117"/>
    <cellStyle name="Accent6 4" xfId="118"/>
    <cellStyle name="Accent6 5" xfId="119"/>
    <cellStyle name="Accent6 6" xfId="120"/>
    <cellStyle name="Bad 2" xfId="121"/>
    <cellStyle name="Bad 3" xfId="122"/>
    <cellStyle name="Bad 4" xfId="123"/>
    <cellStyle name="Bad 5" xfId="124"/>
    <cellStyle name="Bad 6" xfId="125"/>
    <cellStyle name="Calculation 2" xfId="126"/>
    <cellStyle name="Calculation 3" xfId="127"/>
    <cellStyle name="Calculation 4" xfId="128"/>
    <cellStyle name="Calculation 5" xfId="129"/>
    <cellStyle name="Calculation 6" xfId="130"/>
    <cellStyle name="Check Cell 2" xfId="131"/>
    <cellStyle name="Check Cell 3" xfId="132"/>
    <cellStyle name="Check Cell 4" xfId="133"/>
    <cellStyle name="Check Cell 5" xfId="134"/>
    <cellStyle name="Check Cell 6" xfId="135"/>
    <cellStyle name="Comma" xfId="136" builtinId="3"/>
    <cellStyle name="Comma 2" xfId="137"/>
    <cellStyle name="Explanatory Text 2" xfId="138"/>
    <cellStyle name="Explanatory Text 3" xfId="139"/>
    <cellStyle name="Explanatory Text 4" xfId="140"/>
    <cellStyle name="Explanatory Text 5" xfId="141"/>
    <cellStyle name="Explanatory Text 6" xfId="142"/>
    <cellStyle name="Followed Hyperlink 2" xfId="143"/>
    <cellStyle name="Followed Hyperlink 3" xfId="144"/>
    <cellStyle name="Followed Hyperlink 4" xfId="145"/>
    <cellStyle name="Followed Hyperlink 5" xfId="146"/>
    <cellStyle name="Followed Hyperlink 6" xfId="147"/>
    <cellStyle name="Good 2" xfId="148"/>
    <cellStyle name="Good 3" xfId="149"/>
    <cellStyle name="Good 4" xfId="150"/>
    <cellStyle name="Good 5" xfId="151"/>
    <cellStyle name="Good 6" xfId="152"/>
    <cellStyle name="Heading 1 2" xfId="153"/>
    <cellStyle name="Heading 1 3" xfId="154"/>
    <cellStyle name="Heading 1 4" xfId="155"/>
    <cellStyle name="Heading 1 5" xfId="156"/>
    <cellStyle name="Heading 1 6" xfId="157"/>
    <cellStyle name="Heading 2 2" xfId="158"/>
    <cellStyle name="Heading 2 3" xfId="159"/>
    <cellStyle name="Heading 2 4" xfId="160"/>
    <cellStyle name="Heading 2 5" xfId="161"/>
    <cellStyle name="Heading 2 6" xfId="162"/>
    <cellStyle name="Heading 3 2" xfId="163"/>
    <cellStyle name="Heading 3 3" xfId="164"/>
    <cellStyle name="Heading 3 4" xfId="165"/>
    <cellStyle name="Heading 3 5" xfId="166"/>
    <cellStyle name="Heading 3 6" xfId="167"/>
    <cellStyle name="Heading 4 2" xfId="168"/>
    <cellStyle name="Heading 4 3" xfId="169"/>
    <cellStyle name="Heading 4 4" xfId="170"/>
    <cellStyle name="Heading 4 5" xfId="171"/>
    <cellStyle name="Heading 4 6" xfId="172"/>
    <cellStyle name="Hyperlink" xfId="173" builtinId="8"/>
    <cellStyle name="Hyperlink 2" xfId="174"/>
    <cellStyle name="Hyperlink 3" xfId="175"/>
    <cellStyle name="Hyperlink 4" xfId="176"/>
    <cellStyle name="Hyperlink 5" xfId="177"/>
    <cellStyle name="Hyperlink 6" xfId="178"/>
    <cellStyle name="Input 2" xfId="179"/>
    <cellStyle name="Input 3" xfId="180"/>
    <cellStyle name="Input 4" xfId="181"/>
    <cellStyle name="Input 5" xfId="182"/>
    <cellStyle name="Input 6" xfId="183"/>
    <cellStyle name="Linked Cell 2" xfId="184"/>
    <cellStyle name="Linked Cell 3" xfId="185"/>
    <cellStyle name="Linked Cell 4" xfId="186"/>
    <cellStyle name="Linked Cell 5" xfId="187"/>
    <cellStyle name="Linked Cell 6" xfId="188"/>
    <cellStyle name="Neutral 2" xfId="189"/>
    <cellStyle name="Neutral 3" xfId="190"/>
    <cellStyle name="Neutral 4" xfId="191"/>
    <cellStyle name="Neutral 5" xfId="192"/>
    <cellStyle name="Neutral 6" xfId="193"/>
    <cellStyle name="Normal" xfId="0" builtinId="0"/>
    <cellStyle name="Normal 10" xfId="194"/>
    <cellStyle name="Normal 13" xfId="195"/>
    <cellStyle name="Normal 14" xfId="232"/>
    <cellStyle name="Normal 2" xfId="196"/>
    <cellStyle name="Normal 2 2" xfId="197"/>
    <cellStyle name="Normal 20" xfId="198"/>
    <cellStyle name="Normal 3 2" xfId="199"/>
    <cellStyle name="Normal 4 2" xfId="200"/>
    <cellStyle name="Normal 5 2" xfId="201"/>
    <cellStyle name="Normal 6" xfId="202"/>
    <cellStyle name="Normal 6 2" xfId="203"/>
    <cellStyle name="Normal 7" xfId="204"/>
    <cellStyle name="Normal 8" xfId="205"/>
    <cellStyle name="Normal 9" xfId="206"/>
    <cellStyle name="Note 2" xfId="207"/>
    <cellStyle name="Note 3" xfId="208"/>
    <cellStyle name="Note 4" xfId="209"/>
    <cellStyle name="Note 5" xfId="210"/>
    <cellStyle name="Note 6" xfId="211"/>
    <cellStyle name="Output 2" xfId="212"/>
    <cellStyle name="Output 3" xfId="213"/>
    <cellStyle name="Output 4" xfId="214"/>
    <cellStyle name="Output 5" xfId="215"/>
    <cellStyle name="Output 6" xfId="216"/>
    <cellStyle name="Title 2" xfId="217"/>
    <cellStyle name="Title 3" xfId="218"/>
    <cellStyle name="Title 4" xfId="219"/>
    <cellStyle name="Title 5" xfId="220"/>
    <cellStyle name="Title 6" xfId="221"/>
    <cellStyle name="Total 2" xfId="222"/>
    <cellStyle name="Total 3" xfId="223"/>
    <cellStyle name="Total 4" xfId="224"/>
    <cellStyle name="Total 5" xfId="225"/>
    <cellStyle name="Total 6" xfId="226"/>
    <cellStyle name="Warning Text 2" xfId="227"/>
    <cellStyle name="Warning Text 3" xfId="228"/>
    <cellStyle name="Warning Text 4" xfId="229"/>
    <cellStyle name="Warning Text 5" xfId="230"/>
    <cellStyle name="Warning Text 6" xfId="231"/>
  </cellStyles>
  <dxfs count="10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281940</xdr:colOff>
      <xdr:row>39</xdr:row>
      <xdr:rowOff>91440</xdr:rowOff>
    </xdr:from>
    <xdr:to>
      <xdr:col>7</xdr:col>
      <xdr:colOff>99060</xdr:colOff>
      <xdr:row>41</xdr:row>
      <xdr:rowOff>678180</xdr:rowOff>
    </xdr:to>
    <xdr:pic>
      <xdr:nvPicPr>
        <xdr:cNvPr id="142594" name="Picture 1562">
          <a:extLst>
            <a:ext uri="{FF2B5EF4-FFF2-40B4-BE49-F238E27FC236}">
              <a16:creationId xmlns="" xmlns:a16="http://schemas.microsoft.com/office/drawing/2014/main" id="{00000000-0008-0000-0000-0000022D02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84120" y="10607040"/>
          <a:ext cx="861060" cy="10134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5</xdr:col>
      <xdr:colOff>281940</xdr:colOff>
      <xdr:row>39</xdr:row>
      <xdr:rowOff>91440</xdr:rowOff>
    </xdr:from>
    <xdr:to>
      <xdr:col>7</xdr:col>
      <xdr:colOff>99060</xdr:colOff>
      <xdr:row>41</xdr:row>
      <xdr:rowOff>678180</xdr:rowOff>
    </xdr:to>
    <xdr:pic>
      <xdr:nvPicPr>
        <xdr:cNvPr id="4" name="Picture 1562">
          <a:extLst>
            <a:ext uri="{FF2B5EF4-FFF2-40B4-BE49-F238E27FC236}">
              <a16:creationId xmlns:a16="http://schemas.microsoft.com/office/drawing/2014/main" xmlns="" id="{00000000-0008-0000-0000-0000022D02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25065" y="10673715"/>
          <a:ext cx="836295" cy="102489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6</xdr:row>
      <xdr:rowOff>0</xdr:rowOff>
    </xdr:from>
    <xdr:to>
      <xdr:col>9</xdr:col>
      <xdr:colOff>9525</xdr:colOff>
      <xdr:row>23</xdr:row>
      <xdr:rowOff>390525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57225" y="981075"/>
          <a:ext cx="3914775" cy="512445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"/>
  <dimension ref="A1:CR595"/>
  <sheetViews>
    <sheetView showGridLines="0" tabSelected="1" zoomScale="80" zoomScaleNormal="80" workbookViewId="0">
      <selection activeCell="J2" sqref="J2"/>
    </sheetView>
  </sheetViews>
  <sheetFormatPr defaultRowHeight="12.75"/>
  <cols>
    <col min="1" max="1" width="0.42578125" style="280" customWidth="1"/>
    <col min="2" max="2" width="4.28515625" style="1616" customWidth="1"/>
    <col min="3" max="3" width="5.140625" customWidth="1"/>
    <col min="4" max="4" width="14.7109375" customWidth="1"/>
    <col min="5" max="5" width="7.5703125" customWidth="1"/>
    <col min="6" max="6" width="5.5703125" customWidth="1"/>
    <col min="7" max="7" width="9.7109375" customWidth="1"/>
    <col min="8" max="8" width="9.42578125" customWidth="1"/>
    <col min="9" max="10" width="11.5703125" customWidth="1"/>
    <col min="11" max="11" width="6.85546875" customWidth="1"/>
    <col min="12" max="12" width="4.7109375" style="291" customWidth="1"/>
    <col min="13" max="13" width="3.140625" style="291" customWidth="1"/>
    <col min="14" max="14" width="7.42578125" style="291" customWidth="1"/>
    <col min="15" max="15" width="8.5703125" style="291" customWidth="1"/>
    <col min="16" max="18" width="9.140625" style="291" customWidth="1"/>
    <col min="19" max="19" width="11" style="291" customWidth="1"/>
    <col min="20" max="96" width="9.140625" style="291" customWidth="1"/>
  </cols>
  <sheetData>
    <row r="1" spans="1:20">
      <c r="B1" s="591"/>
      <c r="C1" s="295"/>
      <c r="D1" s="295"/>
      <c r="E1" s="295"/>
      <c r="F1" s="295"/>
      <c r="G1" s="295"/>
      <c r="H1" s="295"/>
      <c r="I1" s="295"/>
      <c r="J1" s="295"/>
      <c r="K1" s="295"/>
    </row>
    <row r="2" spans="1:20">
      <c r="B2" s="592"/>
      <c r="C2" s="295"/>
      <c r="D2" s="295"/>
      <c r="E2" s="295"/>
      <c r="F2" s="295"/>
      <c r="G2" s="295"/>
      <c r="H2" s="295"/>
      <c r="I2" s="295"/>
      <c r="J2" s="295"/>
      <c r="K2" s="295"/>
    </row>
    <row r="3" spans="1:20">
      <c r="B3" s="592"/>
      <c r="C3" s="295"/>
      <c r="D3" s="295"/>
      <c r="E3" s="295"/>
      <c r="F3" s="295"/>
      <c r="G3" s="295"/>
      <c r="H3" s="295"/>
      <c r="I3" s="295"/>
      <c r="J3" s="295"/>
      <c r="K3" s="295"/>
    </row>
    <row r="4" spans="1:20">
      <c r="B4" s="592"/>
      <c r="C4" s="295"/>
      <c r="D4" s="295"/>
      <c r="E4" s="295"/>
      <c r="F4" s="295"/>
      <c r="G4" s="295"/>
      <c r="H4" s="295"/>
      <c r="I4" s="295"/>
      <c r="J4" s="295"/>
      <c r="K4" s="295"/>
      <c r="M4" s="292"/>
    </row>
    <row r="5" spans="1:20" ht="13.5" thickBot="1">
      <c r="B5" s="592"/>
      <c r="C5" s="295"/>
      <c r="D5" s="295"/>
      <c r="E5" s="295"/>
      <c r="F5" s="295"/>
      <c r="G5" s="295"/>
      <c r="H5" s="295"/>
      <c r="I5" s="295"/>
      <c r="J5" s="295"/>
      <c r="K5" s="295"/>
    </row>
    <row r="6" spans="1:20">
      <c r="B6" s="592"/>
      <c r="C6" s="295"/>
      <c r="D6" s="295"/>
      <c r="F6" s="295"/>
      <c r="G6" s="295"/>
      <c r="H6" s="295"/>
      <c r="I6" s="295"/>
      <c r="J6" s="295"/>
      <c r="K6" s="295"/>
      <c r="M6" s="558"/>
      <c r="N6" s="559"/>
      <c r="O6" s="559"/>
      <c r="P6" s="559"/>
      <c r="Q6" s="559"/>
      <c r="R6" s="559"/>
      <c r="S6" s="559"/>
      <c r="T6" s="560"/>
    </row>
    <row r="7" spans="1:20" ht="15.75">
      <c r="A7" s="281"/>
      <c r="B7" s="592"/>
      <c r="C7" s="281"/>
      <c r="D7" s="541"/>
      <c r="E7" s="281"/>
      <c r="F7" s="281"/>
      <c r="G7" s="281"/>
      <c r="H7" s="295"/>
      <c r="I7" s="281"/>
      <c r="J7" s="281"/>
      <c r="K7" s="281"/>
      <c r="M7" s="561"/>
      <c r="N7" s="1201"/>
      <c r="O7" s="1201"/>
      <c r="P7" s="1201"/>
      <c r="Q7" s="1201"/>
      <c r="R7" s="1201"/>
      <c r="S7" s="1201"/>
      <c r="T7" s="562"/>
    </row>
    <row r="8" spans="1:20" ht="21">
      <c r="A8" s="281"/>
      <c r="B8" s="592"/>
      <c r="C8" s="281"/>
      <c r="D8" s="541"/>
      <c r="E8" s="281"/>
      <c r="F8" s="281"/>
      <c r="G8" s="281"/>
      <c r="H8" s="281"/>
      <c r="I8" s="281"/>
      <c r="J8" s="281"/>
      <c r="K8" s="281"/>
      <c r="M8" s="561"/>
      <c r="N8" s="1201"/>
      <c r="O8" s="1201"/>
      <c r="P8" s="1222"/>
      <c r="Q8" s="1223" t="s">
        <v>1227</v>
      </c>
      <c r="R8" s="1222"/>
      <c r="S8" s="1201"/>
      <c r="T8" s="562"/>
    </row>
    <row r="9" spans="1:20" ht="14.25" customHeight="1">
      <c r="A9" s="281"/>
      <c r="B9" s="592"/>
      <c r="C9" s="281"/>
      <c r="D9" s="541"/>
      <c r="E9" s="281"/>
      <c r="F9" s="281"/>
      <c r="G9" s="281"/>
      <c r="H9" s="281"/>
      <c r="I9" s="281"/>
      <c r="J9" s="281"/>
      <c r="K9" s="281"/>
      <c r="M9" s="561"/>
      <c r="N9" s="1201"/>
      <c r="O9" s="1201"/>
      <c r="P9" s="1209"/>
      <c r="Q9" s="1209"/>
      <c r="R9" s="1209"/>
      <c r="S9" s="1201"/>
      <c r="T9" s="562"/>
    </row>
    <row r="10" spans="1:20" ht="18.75" customHeight="1">
      <c r="A10" s="281"/>
      <c r="B10" s="592"/>
      <c r="C10" s="281"/>
      <c r="D10" s="541"/>
      <c r="E10" s="281"/>
      <c r="F10" s="281"/>
      <c r="G10" s="281"/>
      <c r="H10" s="281"/>
      <c r="I10" s="281"/>
      <c r="J10" s="281"/>
      <c r="K10" s="281"/>
      <c r="M10" s="561"/>
      <c r="N10" s="1201"/>
      <c r="O10" s="1201"/>
      <c r="P10" s="1209"/>
      <c r="Q10" s="1224" t="s">
        <v>1228</v>
      </c>
      <c r="R10" s="1209"/>
      <c r="S10" s="1201"/>
      <c r="T10" s="562"/>
    </row>
    <row r="11" spans="1:20" ht="16.5" customHeight="1">
      <c r="A11" s="281"/>
      <c r="B11" s="592"/>
      <c r="C11" s="281"/>
      <c r="D11" s="541"/>
      <c r="E11" s="281"/>
      <c r="F11" s="281"/>
      <c r="G11" s="281"/>
      <c r="H11" s="281"/>
      <c r="I11" s="281"/>
      <c r="J11" s="281"/>
      <c r="K11" s="281"/>
      <c r="M11" s="561"/>
      <c r="N11" s="1559"/>
      <c r="O11" s="1724" t="s">
        <v>2715</v>
      </c>
      <c r="P11" s="1724"/>
      <c r="Q11" s="1724"/>
      <c r="R11" s="1724"/>
      <c r="S11" s="1724"/>
      <c r="T11" s="562"/>
    </row>
    <row r="12" spans="1:20" ht="15" customHeight="1">
      <c r="A12" s="281"/>
      <c r="B12" s="592"/>
      <c r="C12" s="281"/>
      <c r="D12" s="541"/>
      <c r="E12" s="281"/>
      <c r="F12" s="281"/>
      <c r="G12" s="281"/>
      <c r="H12" s="281"/>
      <c r="I12" s="281"/>
      <c r="J12" s="281"/>
      <c r="K12" s="281"/>
      <c r="M12" s="561"/>
      <c r="N12" s="1751" t="s">
        <v>2749</v>
      </c>
      <c r="O12" s="1751"/>
      <c r="P12" s="1751"/>
      <c r="Q12" s="1751"/>
      <c r="R12" s="1751"/>
      <c r="S12" s="1751"/>
      <c r="T12" s="562"/>
    </row>
    <row r="13" spans="1:20" ht="14.25" customHeight="1">
      <c r="A13" s="281"/>
      <c r="B13" s="592"/>
      <c r="C13" s="281"/>
      <c r="D13" s="541"/>
      <c r="E13" s="281"/>
      <c r="F13" s="281"/>
      <c r="G13" s="281"/>
      <c r="H13" s="281"/>
      <c r="I13" s="281"/>
      <c r="J13" s="281"/>
      <c r="K13" s="281"/>
      <c r="M13" s="561"/>
      <c r="N13" s="1559"/>
      <c r="O13" s="1559"/>
      <c r="P13" s="1560"/>
      <c r="Q13" s="1560"/>
      <c r="R13" s="1560"/>
      <c r="S13" s="1559"/>
      <c r="T13" s="562"/>
    </row>
    <row r="14" spans="1:20" ht="11.25" customHeight="1">
      <c r="A14" s="281"/>
      <c r="B14" s="592"/>
      <c r="C14" s="281"/>
      <c r="D14" s="541"/>
      <c r="E14" s="281"/>
      <c r="F14" s="281"/>
      <c r="G14" s="281"/>
      <c r="H14" s="281"/>
      <c r="I14" s="281"/>
      <c r="J14" s="281"/>
      <c r="K14" s="281"/>
      <c r="M14" s="561"/>
      <c r="N14" s="1201"/>
      <c r="O14" s="1201"/>
      <c r="P14" s="1209"/>
      <c r="Q14" s="1209"/>
      <c r="R14" s="1209"/>
      <c r="S14" s="1201"/>
      <c r="T14" s="562"/>
    </row>
    <row r="15" spans="1:20" ht="39.75" customHeight="1">
      <c r="A15" s="281"/>
      <c r="B15" s="592"/>
      <c r="C15" s="281"/>
      <c r="D15" s="541"/>
      <c r="E15" s="281"/>
      <c r="F15" s="1734"/>
      <c r="G15" s="1734"/>
      <c r="H15" s="1734"/>
      <c r="I15" s="1734"/>
      <c r="J15" s="1734"/>
      <c r="K15" s="281"/>
      <c r="M15" s="561"/>
      <c r="N15" s="1201"/>
      <c r="O15" s="1201"/>
      <c r="P15" s="1209"/>
      <c r="Q15" s="1224" t="s">
        <v>1229</v>
      </c>
      <c r="R15" s="1209"/>
      <c r="S15" s="1201"/>
      <c r="T15" s="562"/>
    </row>
    <row r="16" spans="1:20" ht="50.25" customHeight="1">
      <c r="A16" s="281"/>
      <c r="B16" s="592"/>
      <c r="C16" s="281"/>
      <c r="D16" s="541"/>
      <c r="E16" s="1735"/>
      <c r="F16" s="1735"/>
      <c r="G16" s="1735"/>
      <c r="H16" s="1735"/>
      <c r="I16" s="1735"/>
      <c r="J16" s="1735"/>
      <c r="K16" s="1735"/>
      <c r="M16" s="561"/>
      <c r="N16" s="1201"/>
      <c r="O16" s="1201"/>
      <c r="P16" s="1749" t="s">
        <v>2751</v>
      </c>
      <c r="Q16" s="1749"/>
      <c r="R16" s="1749"/>
      <c r="S16" s="1749"/>
      <c r="T16" s="562"/>
    </row>
    <row r="17" spans="1:96" ht="47.25" customHeight="1">
      <c r="A17" s="281"/>
      <c r="B17" s="592"/>
      <c r="C17" s="281"/>
      <c r="D17" s="541"/>
      <c r="E17" s="542"/>
      <c r="F17" s="1726"/>
      <c r="G17" s="1726"/>
      <c r="H17" s="1726"/>
      <c r="I17" s="1726"/>
      <c r="J17" s="1726"/>
      <c r="K17" s="542"/>
      <c r="M17" s="561"/>
      <c r="N17" s="1201"/>
      <c r="O17" s="1201"/>
      <c r="P17" s="1727" t="s">
        <v>2613</v>
      </c>
      <c r="Q17" s="1727"/>
      <c r="R17" s="1727"/>
      <c r="S17" s="1727"/>
      <c r="T17" s="562"/>
    </row>
    <row r="18" spans="1:96" ht="24.75" customHeight="1">
      <c r="A18" s="281"/>
      <c r="B18" s="592"/>
      <c r="C18" s="281"/>
      <c r="D18" s="541"/>
      <c r="E18" s="281"/>
      <c r="F18" s="281"/>
      <c r="G18" s="281"/>
      <c r="H18" s="281"/>
      <c r="I18" s="281"/>
      <c r="J18" s="281"/>
      <c r="K18" s="281"/>
      <c r="M18" s="561"/>
      <c r="N18" s="1201"/>
      <c r="O18" s="1201"/>
      <c r="P18" s="1745" t="s">
        <v>2752</v>
      </c>
      <c r="Q18" s="1745"/>
      <c r="R18" s="1745"/>
      <c r="S18" s="1745"/>
      <c r="T18" s="562"/>
    </row>
    <row r="19" spans="1:96" ht="12" customHeight="1">
      <c r="A19" s="281"/>
      <c r="B19" s="592"/>
      <c r="C19" s="281"/>
      <c r="D19" s="541"/>
      <c r="E19" s="281"/>
      <c r="F19" s="281"/>
      <c r="G19" s="281"/>
      <c r="H19" s="281"/>
      <c r="I19" s="281"/>
      <c r="J19" s="281"/>
      <c r="K19" s="281"/>
      <c r="M19" s="561"/>
      <c r="N19" s="1201"/>
      <c r="O19" s="1201"/>
      <c r="P19" s="1745"/>
      <c r="Q19" s="1745"/>
      <c r="R19" s="1745"/>
      <c r="S19" s="1745"/>
      <c r="T19" s="562"/>
    </row>
    <row r="20" spans="1:96" ht="13.5" customHeight="1">
      <c r="A20" s="281"/>
      <c r="B20" s="592"/>
      <c r="C20" s="281"/>
      <c r="D20" s="541"/>
      <c r="E20" s="281"/>
      <c r="F20" s="281"/>
      <c r="G20" s="281"/>
      <c r="H20" s="281"/>
      <c r="I20" s="281"/>
      <c r="J20" s="281"/>
      <c r="K20" s="281"/>
      <c r="M20" s="561"/>
      <c r="N20" s="1201"/>
      <c r="O20" s="1201"/>
      <c r="P20" s="1745"/>
      <c r="Q20" s="1745"/>
      <c r="R20" s="1745"/>
      <c r="S20" s="1745"/>
      <c r="T20" s="562"/>
    </row>
    <row r="21" spans="1:96" ht="15" customHeight="1">
      <c r="A21" s="281"/>
      <c r="B21" s="592"/>
      <c r="C21" s="281"/>
      <c r="D21" s="541"/>
      <c r="E21" s="281"/>
      <c r="F21" s="281"/>
      <c r="G21" s="281"/>
      <c r="H21" s="281"/>
      <c r="I21" s="281"/>
      <c r="J21" s="281"/>
      <c r="K21" s="281"/>
      <c r="M21" s="561"/>
      <c r="N21" s="1201"/>
      <c r="O21" s="1201"/>
      <c r="P21" s="1748"/>
      <c r="Q21" s="1748"/>
      <c r="R21" s="1748"/>
      <c r="S21" s="1748"/>
      <c r="T21" s="562"/>
    </row>
    <row r="22" spans="1:96" ht="16.5" customHeight="1">
      <c r="A22" s="281"/>
      <c r="B22" s="592"/>
      <c r="C22" s="281"/>
      <c r="D22" s="541"/>
      <c r="E22" s="281"/>
      <c r="F22" s="281"/>
      <c r="G22" s="281"/>
      <c r="H22" s="281"/>
      <c r="I22" s="281"/>
      <c r="J22" s="281"/>
      <c r="K22" s="281"/>
      <c r="M22" s="561"/>
      <c r="N22" s="1201"/>
      <c r="O22" s="1201"/>
      <c r="P22" s="1750"/>
      <c r="Q22" s="1750"/>
      <c r="R22" s="1750"/>
      <c r="S22" s="1201"/>
      <c r="T22" s="562"/>
      <c r="U22" s="1611"/>
    </row>
    <row r="23" spans="1:96" ht="27" customHeight="1">
      <c r="A23" s="281"/>
      <c r="B23" s="592"/>
      <c r="C23" s="281"/>
      <c r="D23" s="541"/>
      <c r="E23" s="281"/>
      <c r="F23" s="281"/>
      <c r="G23" s="281"/>
      <c r="H23" s="281"/>
      <c r="I23" s="281"/>
      <c r="J23" s="281"/>
      <c r="K23" s="281"/>
      <c r="M23" s="561"/>
      <c r="N23" s="1201"/>
      <c r="O23" s="1201"/>
      <c r="P23" s="1748"/>
      <c r="Q23" s="1748"/>
      <c r="R23" s="1748"/>
      <c r="S23" s="1748"/>
      <c r="T23" s="562"/>
    </row>
    <row r="24" spans="1:96" ht="49.5" customHeight="1" thickBot="1">
      <c r="A24" s="281"/>
      <c r="B24" s="592"/>
      <c r="C24" s="281"/>
      <c r="D24" s="541"/>
      <c r="E24" s="281"/>
      <c r="F24" s="281"/>
      <c r="G24" s="281"/>
      <c r="H24" s="281"/>
      <c r="I24" s="281"/>
      <c r="J24" s="281"/>
      <c r="K24" s="281"/>
      <c r="M24" s="563"/>
      <c r="N24" s="1205"/>
      <c r="O24" s="1205"/>
      <c r="P24" s="1723"/>
      <c r="Q24" s="1723"/>
      <c r="R24" s="1723"/>
      <c r="S24" s="1205"/>
      <c r="T24" s="565"/>
    </row>
    <row r="25" spans="1:96" ht="15" customHeight="1">
      <c r="A25" s="281"/>
      <c r="B25" s="592"/>
      <c r="C25" s="281"/>
      <c r="D25" s="541"/>
      <c r="E25" s="281"/>
      <c r="F25" s="281"/>
      <c r="G25" s="281"/>
      <c r="H25" s="281"/>
      <c r="I25" s="281"/>
      <c r="J25" s="281"/>
      <c r="K25" s="281"/>
    </row>
    <row r="26" spans="1:96" ht="15" customHeight="1">
      <c r="A26" s="281"/>
      <c r="B26" s="592"/>
      <c r="C26" s="281"/>
      <c r="D26" s="541"/>
      <c r="E26" s="281"/>
      <c r="F26" s="281"/>
      <c r="G26" s="281"/>
      <c r="H26" s="281"/>
      <c r="I26" s="281"/>
      <c r="J26" s="281"/>
      <c r="K26" s="281"/>
    </row>
    <row r="27" spans="1:96" ht="15" customHeight="1">
      <c r="A27" s="281"/>
      <c r="B27" s="592"/>
      <c r="C27" s="281"/>
      <c r="D27" s="541"/>
      <c r="E27" s="281"/>
      <c r="F27" s="281"/>
      <c r="G27" s="281"/>
      <c r="H27" s="281"/>
      <c r="I27" s="281"/>
      <c r="J27" s="281"/>
      <c r="K27" s="281"/>
    </row>
    <row r="28" spans="1:96" ht="15" customHeight="1">
      <c r="A28" s="281"/>
      <c r="B28" s="592"/>
      <c r="C28" s="281"/>
      <c r="D28" s="541"/>
      <c r="E28" s="281"/>
      <c r="F28" s="281"/>
      <c r="G28" s="281"/>
      <c r="H28" s="281"/>
      <c r="I28" s="281"/>
      <c r="J28" s="281"/>
      <c r="K28" s="281"/>
    </row>
    <row r="29" spans="1:96" ht="15.75">
      <c r="A29" s="281"/>
      <c r="B29" s="592"/>
      <c r="C29" s="281"/>
      <c r="D29" s="541"/>
      <c r="E29" s="281"/>
      <c r="F29" s="281"/>
      <c r="G29" s="281"/>
      <c r="H29" s="281"/>
      <c r="I29" s="281"/>
      <c r="J29" s="281"/>
      <c r="K29" s="281"/>
      <c r="N29" s="292"/>
      <c r="O29" s="292"/>
      <c r="P29" s="317"/>
      <c r="Q29" s="1746"/>
      <c r="R29" s="1747"/>
      <c r="S29" s="1747"/>
      <c r="T29" s="292"/>
    </row>
    <row r="30" spans="1:96" ht="15.75" thickBot="1">
      <c r="A30" s="281"/>
      <c r="B30" s="592"/>
      <c r="C30" s="281"/>
      <c r="D30" s="541"/>
      <c r="E30" s="281"/>
      <c r="F30" s="281"/>
      <c r="G30" s="281"/>
      <c r="H30" s="281"/>
      <c r="I30" s="281"/>
      <c r="J30" s="281"/>
      <c r="K30" s="281"/>
      <c r="N30" s="292"/>
      <c r="O30" s="292"/>
      <c r="P30" s="292"/>
      <c r="Q30" s="292"/>
      <c r="R30" s="292"/>
      <c r="S30" s="292"/>
      <c r="T30" s="292"/>
    </row>
    <row r="31" spans="1:96" ht="41.25" customHeight="1">
      <c r="A31" s="281"/>
      <c r="B31" s="592"/>
      <c r="C31" s="1225"/>
      <c r="D31" s="1226"/>
      <c r="E31" s="1226"/>
      <c r="F31" s="1226"/>
      <c r="G31" s="1226"/>
      <c r="H31" s="1226"/>
      <c r="I31" s="1226"/>
      <c r="J31" s="1227"/>
      <c r="K31" s="281"/>
      <c r="M31" s="1739" t="s">
        <v>2209</v>
      </c>
      <c r="N31" s="1740"/>
      <c r="O31" s="1740"/>
      <c r="P31" s="1740"/>
      <c r="Q31" s="1740"/>
      <c r="R31" s="1740"/>
      <c r="S31" s="1740"/>
      <c r="T31" s="1741"/>
    </row>
    <row r="32" spans="1:96" s="1613" customFormat="1" ht="27.75" customHeight="1">
      <c r="A32" s="1612"/>
      <c r="B32" s="592"/>
      <c r="C32" s="1736" t="s">
        <v>1373</v>
      </c>
      <c r="D32" s="1737"/>
      <c r="E32" s="1737"/>
      <c r="F32" s="1737"/>
      <c r="G32" s="1737"/>
      <c r="H32" s="1737"/>
      <c r="I32" s="1737"/>
      <c r="J32" s="1738"/>
      <c r="K32" s="567"/>
      <c r="L32" s="1611"/>
      <c r="M32" s="1742"/>
      <c r="N32" s="1743"/>
      <c r="O32" s="1743"/>
      <c r="P32" s="1743"/>
      <c r="Q32" s="1743"/>
      <c r="R32" s="1743"/>
      <c r="S32" s="1743"/>
      <c r="T32" s="1744"/>
      <c r="U32" s="1611"/>
      <c r="V32" s="1611"/>
      <c r="W32" s="1611"/>
      <c r="X32" s="1611"/>
      <c r="Y32" s="1611"/>
      <c r="Z32" s="1611"/>
      <c r="AA32" s="1611"/>
      <c r="AB32" s="1611"/>
      <c r="AC32" s="1611"/>
      <c r="AD32" s="1611"/>
      <c r="AE32" s="1611"/>
      <c r="AF32" s="1611"/>
      <c r="AG32" s="1611"/>
      <c r="AH32" s="1611"/>
      <c r="AI32" s="1611"/>
      <c r="AJ32" s="1611"/>
      <c r="AK32" s="1611"/>
      <c r="AL32" s="1611"/>
      <c r="AM32" s="1611"/>
      <c r="AN32" s="1611"/>
      <c r="AO32" s="1611"/>
      <c r="AP32" s="1611"/>
      <c r="AQ32" s="1611"/>
      <c r="AR32" s="1611"/>
      <c r="AS32" s="1611"/>
      <c r="AT32" s="1611"/>
      <c r="AU32" s="1611"/>
      <c r="AV32" s="1611"/>
      <c r="AW32" s="1611"/>
      <c r="AX32" s="1611"/>
      <c r="AY32" s="1611"/>
      <c r="AZ32" s="1611"/>
      <c r="BA32" s="1611"/>
      <c r="BB32" s="1611"/>
      <c r="BC32" s="1611"/>
      <c r="BD32" s="1611"/>
      <c r="BE32" s="1611"/>
      <c r="BF32" s="1611"/>
      <c r="BG32" s="1611"/>
      <c r="BH32" s="1611"/>
      <c r="BI32" s="1611"/>
      <c r="BJ32" s="1611"/>
      <c r="BK32" s="1611"/>
      <c r="BL32" s="1611"/>
      <c r="BM32" s="1611"/>
      <c r="BN32" s="1611"/>
      <c r="BO32" s="1611"/>
      <c r="BP32" s="1611"/>
      <c r="BQ32" s="1611"/>
      <c r="BR32" s="1611"/>
      <c r="BS32" s="1611"/>
      <c r="BT32" s="1611"/>
      <c r="BU32" s="1611"/>
      <c r="BV32" s="1611"/>
      <c r="BW32" s="1611"/>
      <c r="BX32" s="1611"/>
      <c r="BY32" s="1611"/>
      <c r="BZ32" s="1611"/>
      <c r="CA32" s="1611"/>
      <c r="CB32" s="1611"/>
      <c r="CC32" s="1611"/>
      <c r="CD32" s="1611"/>
      <c r="CE32" s="1611"/>
      <c r="CF32" s="1611"/>
      <c r="CG32" s="1611"/>
      <c r="CH32" s="1611"/>
      <c r="CI32" s="1611"/>
      <c r="CJ32" s="1611"/>
      <c r="CK32" s="1611"/>
      <c r="CL32" s="1611"/>
      <c r="CM32" s="1611"/>
      <c r="CN32" s="1611"/>
      <c r="CO32" s="1611"/>
      <c r="CP32" s="1611"/>
      <c r="CQ32" s="1611"/>
      <c r="CR32" s="1611"/>
    </row>
    <row r="33" spans="1:96" s="1615" customFormat="1" ht="27" customHeight="1">
      <c r="A33" s="1612"/>
      <c r="B33" s="543"/>
      <c r="C33" s="1755" t="s">
        <v>1374</v>
      </c>
      <c r="D33" s="1756"/>
      <c r="E33" s="1756"/>
      <c r="F33" s="1756"/>
      <c r="G33" s="1756"/>
      <c r="H33" s="1756"/>
      <c r="I33" s="1756"/>
      <c r="J33" s="1757"/>
      <c r="K33" s="568"/>
      <c r="L33" s="1614"/>
      <c r="M33" s="1742"/>
      <c r="N33" s="1743"/>
      <c r="O33" s="1743"/>
      <c r="P33" s="1743"/>
      <c r="Q33" s="1743"/>
      <c r="R33" s="1743"/>
      <c r="S33" s="1743"/>
      <c r="T33" s="1744"/>
      <c r="U33" s="1614"/>
      <c r="V33" s="1614"/>
      <c r="W33" s="1614"/>
      <c r="X33" s="1614"/>
      <c r="Y33" s="1614"/>
      <c r="Z33" s="1614"/>
      <c r="AA33" s="1614"/>
      <c r="AB33" s="1614"/>
      <c r="AC33" s="1614"/>
      <c r="AD33" s="1614"/>
      <c r="AE33" s="1614"/>
      <c r="AF33" s="1614"/>
      <c r="AG33" s="1614"/>
      <c r="AH33" s="1614"/>
      <c r="AI33" s="1614"/>
      <c r="AJ33" s="1614"/>
      <c r="AK33" s="1614"/>
      <c r="AL33" s="1614"/>
      <c r="AM33" s="1614"/>
      <c r="AN33" s="1614"/>
      <c r="AO33" s="1614"/>
      <c r="AP33" s="1614"/>
      <c r="AQ33" s="1614"/>
      <c r="AR33" s="1614"/>
      <c r="AS33" s="1614"/>
      <c r="AT33" s="1614"/>
      <c r="AU33" s="1614"/>
      <c r="AV33" s="1614"/>
      <c r="AW33" s="1614"/>
      <c r="AX33" s="1614"/>
      <c r="AY33" s="1614"/>
      <c r="AZ33" s="1614"/>
      <c r="BA33" s="1614"/>
      <c r="BB33" s="1614"/>
      <c r="BC33" s="1614"/>
      <c r="BD33" s="1614"/>
      <c r="BE33" s="1614"/>
      <c r="BF33" s="1614"/>
      <c r="BG33" s="1614"/>
      <c r="BH33" s="1614"/>
      <c r="BI33" s="1614"/>
      <c r="BJ33" s="1614"/>
      <c r="BK33" s="1614"/>
      <c r="BL33" s="1614"/>
      <c r="BM33" s="1614"/>
      <c r="BN33" s="1614"/>
      <c r="BO33" s="1614"/>
      <c r="BP33" s="1614"/>
      <c r="BQ33" s="1614"/>
      <c r="BR33" s="1614"/>
      <c r="BS33" s="1614"/>
      <c r="BT33" s="1614"/>
      <c r="BU33" s="1614"/>
      <c r="BV33" s="1614"/>
      <c r="BW33" s="1614"/>
      <c r="BX33" s="1614"/>
      <c r="BY33" s="1614"/>
      <c r="BZ33" s="1614"/>
      <c r="CA33" s="1614"/>
      <c r="CB33" s="1614"/>
      <c r="CC33" s="1614"/>
      <c r="CD33" s="1614"/>
      <c r="CE33" s="1614"/>
      <c r="CF33" s="1614"/>
      <c r="CG33" s="1614"/>
      <c r="CH33" s="1614"/>
      <c r="CI33" s="1614"/>
      <c r="CJ33" s="1614"/>
      <c r="CK33" s="1614"/>
      <c r="CL33" s="1614"/>
      <c r="CM33" s="1614"/>
      <c r="CN33" s="1614"/>
      <c r="CO33" s="1614"/>
      <c r="CP33" s="1614"/>
      <c r="CQ33" s="1614"/>
      <c r="CR33" s="1614"/>
    </row>
    <row r="34" spans="1:96" s="1615" customFormat="1" ht="24.75" customHeight="1">
      <c r="A34" s="1612"/>
      <c r="B34" s="543"/>
      <c r="C34" s="1728" t="s">
        <v>2850</v>
      </c>
      <c r="D34" s="1729"/>
      <c r="E34" s="1729"/>
      <c r="F34" s="1729"/>
      <c r="G34" s="1729"/>
      <c r="H34" s="1729"/>
      <c r="I34" s="1729"/>
      <c r="J34" s="1730"/>
      <c r="K34" s="569"/>
      <c r="L34" s="1614"/>
      <c r="M34" s="1742"/>
      <c r="N34" s="1743"/>
      <c r="O34" s="1743"/>
      <c r="P34" s="1743"/>
      <c r="Q34" s="1743"/>
      <c r="R34" s="1743"/>
      <c r="S34" s="1743"/>
      <c r="T34" s="1744"/>
      <c r="U34" s="1614"/>
      <c r="V34" s="1614"/>
      <c r="W34" s="1614"/>
      <c r="X34" s="1614"/>
      <c r="Y34" s="1614"/>
      <c r="Z34" s="1614"/>
      <c r="AA34" s="1614"/>
      <c r="AB34" s="1614"/>
      <c r="AC34" s="1614"/>
      <c r="AD34" s="1614"/>
      <c r="AE34" s="1614"/>
      <c r="AF34" s="1614"/>
      <c r="AG34" s="1614"/>
      <c r="AH34" s="1614"/>
      <c r="AI34" s="1614"/>
      <c r="AJ34" s="1614"/>
      <c r="AK34" s="1614"/>
      <c r="AL34" s="1614"/>
      <c r="AM34" s="1614"/>
      <c r="AN34" s="1614"/>
      <c r="AO34" s="1614"/>
      <c r="AP34" s="1614"/>
      <c r="AQ34" s="1614"/>
      <c r="AR34" s="1614"/>
      <c r="AS34" s="1614"/>
      <c r="AT34" s="1614"/>
      <c r="AU34" s="1614"/>
      <c r="AV34" s="1614"/>
      <c r="AW34" s="1614"/>
      <c r="AX34" s="1614"/>
      <c r="AY34" s="1614"/>
      <c r="AZ34" s="1614"/>
      <c r="BA34" s="1614"/>
      <c r="BB34" s="1614"/>
      <c r="BC34" s="1614"/>
      <c r="BD34" s="1614"/>
      <c r="BE34" s="1614"/>
      <c r="BF34" s="1614"/>
      <c r="BG34" s="1614"/>
      <c r="BH34" s="1614"/>
      <c r="BI34" s="1614"/>
      <c r="BJ34" s="1614"/>
      <c r="BK34" s="1614"/>
      <c r="BL34" s="1614"/>
      <c r="BM34" s="1614"/>
      <c r="BN34" s="1614"/>
      <c r="BO34" s="1614"/>
      <c r="BP34" s="1614"/>
      <c r="BQ34" s="1614"/>
      <c r="BR34" s="1614"/>
      <c r="BS34" s="1614"/>
      <c r="BT34" s="1614"/>
      <c r="BU34" s="1614"/>
      <c r="BV34" s="1614"/>
      <c r="BW34" s="1614"/>
      <c r="BX34" s="1614"/>
      <c r="BY34" s="1614"/>
      <c r="BZ34" s="1614"/>
      <c r="CA34" s="1614"/>
      <c r="CB34" s="1614"/>
      <c r="CC34" s="1614"/>
      <c r="CD34" s="1614"/>
      <c r="CE34" s="1614"/>
      <c r="CF34" s="1614"/>
      <c r="CG34" s="1614"/>
      <c r="CH34" s="1614"/>
      <c r="CI34" s="1614"/>
      <c r="CJ34" s="1614"/>
      <c r="CK34" s="1614"/>
      <c r="CL34" s="1614"/>
      <c r="CM34" s="1614"/>
      <c r="CN34" s="1614"/>
      <c r="CO34" s="1614"/>
      <c r="CP34" s="1614"/>
      <c r="CQ34" s="1614"/>
      <c r="CR34" s="1614"/>
    </row>
    <row r="35" spans="1:96" s="1615" customFormat="1" ht="33.75" customHeight="1">
      <c r="A35" s="1612"/>
      <c r="B35" s="540"/>
      <c r="C35" s="1228"/>
      <c r="D35" s="1229"/>
      <c r="E35" s="1230"/>
      <c r="F35" s="1230"/>
      <c r="G35" s="1230"/>
      <c r="H35" s="1230"/>
      <c r="I35" s="1230"/>
      <c r="J35" s="1231"/>
      <c r="K35" s="557"/>
      <c r="L35" s="1614"/>
      <c r="M35" s="1742"/>
      <c r="N35" s="1743"/>
      <c r="O35" s="1743"/>
      <c r="P35" s="1743"/>
      <c r="Q35" s="1743"/>
      <c r="R35" s="1743"/>
      <c r="S35" s="1743"/>
      <c r="T35" s="1744"/>
      <c r="U35" s="1614"/>
      <c r="V35" s="1614"/>
      <c r="W35" s="1614"/>
      <c r="X35" s="1614"/>
      <c r="Y35" s="1614"/>
      <c r="Z35" s="1614"/>
      <c r="AA35" s="1614"/>
      <c r="AB35" s="1614"/>
      <c r="AC35" s="1614"/>
      <c r="AD35" s="1614"/>
      <c r="AE35" s="1614"/>
      <c r="AF35" s="1614"/>
      <c r="AG35" s="1614"/>
      <c r="AH35" s="1614"/>
      <c r="AI35" s="1614"/>
      <c r="AJ35" s="1614"/>
      <c r="AK35" s="1614"/>
      <c r="AL35" s="1614"/>
      <c r="AM35" s="1614"/>
      <c r="AN35" s="1614"/>
      <c r="AO35" s="1614"/>
      <c r="AP35" s="1614"/>
      <c r="AQ35" s="1614"/>
      <c r="AR35" s="1614"/>
      <c r="AS35" s="1614"/>
      <c r="AT35" s="1614"/>
      <c r="AU35" s="1614"/>
      <c r="AV35" s="1614"/>
      <c r="AW35" s="1614"/>
      <c r="AX35" s="1614"/>
      <c r="AY35" s="1614"/>
      <c r="AZ35" s="1614"/>
      <c r="BA35" s="1614"/>
      <c r="BB35" s="1614"/>
      <c r="BC35" s="1614"/>
      <c r="BD35" s="1614"/>
      <c r="BE35" s="1614"/>
      <c r="BF35" s="1614"/>
      <c r="BG35" s="1614"/>
      <c r="BH35" s="1614"/>
      <c r="BI35" s="1614"/>
      <c r="BJ35" s="1614"/>
      <c r="BK35" s="1614"/>
      <c r="BL35" s="1614"/>
      <c r="BM35" s="1614"/>
      <c r="BN35" s="1614"/>
      <c r="BO35" s="1614"/>
      <c r="BP35" s="1614"/>
      <c r="BQ35" s="1614"/>
      <c r="BR35" s="1614"/>
      <c r="BS35" s="1614"/>
      <c r="BT35" s="1614"/>
      <c r="BU35" s="1614"/>
      <c r="BV35" s="1614"/>
      <c r="BW35" s="1614"/>
      <c r="BX35" s="1614"/>
      <c r="BY35" s="1614"/>
      <c r="BZ35" s="1614"/>
      <c r="CA35" s="1614"/>
      <c r="CB35" s="1614"/>
      <c r="CC35" s="1614"/>
      <c r="CD35" s="1614"/>
      <c r="CE35" s="1614"/>
      <c r="CF35" s="1614"/>
      <c r="CG35" s="1614"/>
      <c r="CH35" s="1614"/>
      <c r="CI35" s="1614"/>
      <c r="CJ35" s="1614"/>
      <c r="CK35" s="1614"/>
      <c r="CL35" s="1614"/>
      <c r="CM35" s="1614"/>
      <c r="CN35" s="1614"/>
      <c r="CO35" s="1614"/>
      <c r="CP35" s="1614"/>
      <c r="CQ35" s="1614"/>
      <c r="CR35" s="1614"/>
    </row>
    <row r="36" spans="1:96" s="295" customFormat="1" ht="24" customHeight="1">
      <c r="A36" s="281"/>
      <c r="B36" s="540"/>
      <c r="C36" s="1216"/>
      <c r="D36" s="1217"/>
      <c r="E36" s="1217"/>
      <c r="F36" s="1217"/>
      <c r="G36" s="1217"/>
      <c r="H36" s="1217"/>
      <c r="I36" s="1217"/>
      <c r="J36" s="1218"/>
      <c r="K36" s="557"/>
      <c r="L36" s="292"/>
      <c r="M36" s="1742"/>
      <c r="N36" s="1743"/>
      <c r="O36" s="1743"/>
      <c r="P36" s="1743"/>
      <c r="Q36" s="1743"/>
      <c r="R36" s="1743"/>
      <c r="S36" s="1743"/>
      <c r="T36" s="1744"/>
      <c r="U36" s="292"/>
      <c r="V36" s="292"/>
      <c r="W36" s="292"/>
      <c r="X36" s="292"/>
      <c r="Y36" s="292"/>
      <c r="Z36" s="292"/>
      <c r="AA36" s="292"/>
      <c r="AB36" s="292"/>
      <c r="AC36" s="292"/>
      <c r="AD36" s="292"/>
      <c r="AE36" s="292"/>
      <c r="AF36" s="292"/>
      <c r="AG36" s="292"/>
      <c r="AH36" s="292"/>
      <c r="AI36" s="292"/>
      <c r="AJ36" s="292"/>
      <c r="AK36" s="292"/>
      <c r="AL36" s="292"/>
      <c r="AM36" s="292"/>
      <c r="AN36" s="292"/>
      <c r="AO36" s="292"/>
      <c r="AP36" s="292"/>
      <c r="AQ36" s="292"/>
      <c r="AR36" s="292"/>
      <c r="AS36" s="292"/>
      <c r="AT36" s="292"/>
      <c r="AU36" s="292"/>
      <c r="AV36" s="292"/>
      <c r="AW36" s="292"/>
      <c r="AX36" s="292"/>
      <c r="AY36" s="292"/>
      <c r="AZ36" s="292"/>
      <c r="BA36" s="292"/>
      <c r="BB36" s="292"/>
      <c r="BC36" s="292"/>
      <c r="BD36" s="292"/>
      <c r="BE36" s="292"/>
      <c r="BF36" s="292"/>
      <c r="BG36" s="292"/>
      <c r="BH36" s="292"/>
      <c r="BI36" s="292"/>
      <c r="BJ36" s="292"/>
      <c r="BK36" s="292"/>
      <c r="BL36" s="292"/>
      <c r="BM36" s="292"/>
      <c r="BN36" s="292"/>
      <c r="BO36" s="292"/>
      <c r="BP36" s="292"/>
      <c r="BQ36" s="292"/>
      <c r="BR36" s="292"/>
      <c r="BS36" s="292"/>
      <c r="BT36" s="292"/>
      <c r="BU36" s="292"/>
      <c r="BV36" s="292"/>
      <c r="BW36" s="292"/>
      <c r="BX36" s="292"/>
      <c r="BY36" s="292"/>
      <c r="BZ36" s="292"/>
      <c r="CA36" s="292"/>
      <c r="CB36" s="292"/>
      <c r="CC36" s="292"/>
      <c r="CD36" s="292"/>
      <c r="CE36" s="292"/>
      <c r="CF36" s="292"/>
      <c r="CG36" s="292"/>
      <c r="CH36" s="292"/>
      <c r="CI36" s="292"/>
      <c r="CJ36" s="292"/>
      <c r="CK36" s="292"/>
      <c r="CL36" s="292"/>
      <c r="CM36" s="292"/>
      <c r="CN36" s="292"/>
      <c r="CO36" s="292"/>
      <c r="CP36" s="292"/>
      <c r="CQ36" s="292"/>
      <c r="CR36" s="292"/>
    </row>
    <row r="37" spans="1:96" s="295" customFormat="1" ht="24" customHeight="1">
      <c r="A37" s="281"/>
      <c r="B37" s="540"/>
      <c r="C37" s="1216"/>
      <c r="D37" s="1217"/>
      <c r="E37" s="1217"/>
      <c r="F37" s="1217"/>
      <c r="G37" s="1217"/>
      <c r="H37" s="1217"/>
      <c r="I37" s="1217"/>
      <c r="J37" s="1218"/>
      <c r="K37" s="557"/>
      <c r="L37" s="292"/>
      <c r="M37" s="1206"/>
      <c r="N37" s="1207"/>
      <c r="O37" s="1731" t="s">
        <v>2712</v>
      </c>
      <c r="P37" s="1732"/>
      <c r="Q37" s="1732"/>
      <c r="R37" s="1732"/>
      <c r="S37" s="1732"/>
      <c r="T37" s="1733"/>
      <c r="U37" s="292"/>
      <c r="V37" s="292"/>
      <c r="W37" s="292"/>
      <c r="X37" s="292"/>
      <c r="Y37" s="292"/>
      <c r="Z37" s="292"/>
      <c r="AA37" s="292"/>
      <c r="AB37" s="292"/>
      <c r="AC37" s="292"/>
      <c r="AD37" s="292"/>
      <c r="AE37" s="292"/>
      <c r="AF37" s="292"/>
      <c r="AG37" s="292"/>
      <c r="AH37" s="292"/>
      <c r="AI37" s="292"/>
      <c r="AJ37" s="292"/>
      <c r="AK37" s="292"/>
      <c r="AL37" s="292"/>
      <c r="AM37" s="292"/>
      <c r="AN37" s="292"/>
      <c r="AO37" s="292"/>
      <c r="AP37" s="292"/>
      <c r="AQ37" s="292"/>
      <c r="AR37" s="292"/>
      <c r="AS37" s="292"/>
      <c r="AT37" s="292"/>
      <c r="AU37" s="292"/>
      <c r="AV37" s="292"/>
      <c r="AW37" s="292"/>
      <c r="AX37" s="292"/>
      <c r="AY37" s="292"/>
      <c r="AZ37" s="292"/>
      <c r="BA37" s="292"/>
      <c r="BB37" s="292"/>
      <c r="BC37" s="292"/>
      <c r="BD37" s="292"/>
      <c r="BE37" s="292"/>
      <c r="BF37" s="292"/>
      <c r="BG37" s="292"/>
      <c r="BH37" s="292"/>
      <c r="BI37" s="292"/>
      <c r="BJ37" s="292"/>
      <c r="BK37" s="292"/>
      <c r="BL37" s="292"/>
      <c r="BM37" s="292"/>
      <c r="BN37" s="292"/>
      <c r="BO37" s="292"/>
      <c r="BP37" s="292"/>
      <c r="BQ37" s="292"/>
      <c r="BR37" s="292"/>
      <c r="BS37" s="292"/>
      <c r="BT37" s="292"/>
      <c r="BU37" s="292"/>
      <c r="BV37" s="292"/>
      <c r="BW37" s="292"/>
      <c r="BX37" s="292"/>
      <c r="BY37" s="292"/>
      <c r="BZ37" s="292"/>
      <c r="CA37" s="292"/>
      <c r="CB37" s="292"/>
      <c r="CC37" s="292"/>
      <c r="CD37" s="292"/>
      <c r="CE37" s="292"/>
      <c r="CF37" s="292"/>
      <c r="CG37" s="292"/>
      <c r="CH37" s="292"/>
      <c r="CI37" s="292"/>
      <c r="CJ37" s="292"/>
      <c r="CK37" s="292"/>
      <c r="CL37" s="292"/>
      <c r="CM37" s="292"/>
      <c r="CN37" s="292"/>
      <c r="CO37" s="292"/>
      <c r="CP37" s="292"/>
      <c r="CQ37" s="292"/>
      <c r="CR37" s="292"/>
    </row>
    <row r="38" spans="1:96" s="291" customFormat="1" ht="20.25" customHeight="1">
      <c r="B38" s="1616"/>
      <c r="C38" s="1219"/>
      <c r="D38" s="1220"/>
      <c r="E38" s="1220"/>
      <c r="F38" s="1220"/>
      <c r="G38" s="1220"/>
      <c r="H38" s="1220"/>
      <c r="I38" s="1220"/>
      <c r="J38" s="1221"/>
      <c r="K38" s="566"/>
      <c r="M38" s="1208"/>
      <c r="N38" s="1209"/>
      <c r="O38" s="1725" t="s">
        <v>1332</v>
      </c>
      <c r="P38" s="1725"/>
      <c r="Q38" s="1725"/>
      <c r="R38" s="1202"/>
      <c r="S38" s="1202"/>
      <c r="T38" s="1203"/>
    </row>
    <row r="39" spans="1:96" s="291" customFormat="1" ht="19.5" customHeight="1">
      <c r="B39" s="1616"/>
      <c r="C39" s="1219"/>
      <c r="D39" s="1220"/>
      <c r="E39" s="1220"/>
      <c r="F39" s="1220"/>
      <c r="G39" s="1220"/>
      <c r="H39" s="1220"/>
      <c r="I39" s="1220"/>
      <c r="J39" s="1221"/>
      <c r="K39" s="566"/>
      <c r="M39" s="1208"/>
      <c r="N39" s="1209"/>
      <c r="O39" s="1725" t="s">
        <v>1230</v>
      </c>
      <c r="P39" s="1725"/>
      <c r="Q39" s="1725"/>
      <c r="R39" s="1608"/>
      <c r="S39" s="1209"/>
      <c r="T39" s="1210"/>
    </row>
    <row r="40" spans="1:96" s="291" customFormat="1" ht="17.25" customHeight="1">
      <c r="B40" s="1616"/>
      <c r="C40" s="1219"/>
      <c r="D40" s="1220"/>
      <c r="E40" s="1220"/>
      <c r="F40" s="1220"/>
      <c r="G40" s="1220"/>
      <c r="H40" s="1220"/>
      <c r="I40" s="1220"/>
      <c r="J40" s="1221"/>
      <c r="K40" s="566"/>
      <c r="M40" s="1208"/>
      <c r="N40" s="1204"/>
      <c r="O40" s="1725" t="s">
        <v>1231</v>
      </c>
      <c r="P40" s="1725"/>
      <c r="Q40" s="1725"/>
      <c r="R40" s="1204"/>
      <c r="S40" s="1204"/>
      <c r="T40" s="1210"/>
    </row>
    <row r="41" spans="1:96" s="291" customFormat="1" ht="17.25" customHeight="1">
      <c r="B41" s="1616"/>
      <c r="C41" s="1219"/>
      <c r="D41" s="1220"/>
      <c r="E41" s="1220"/>
      <c r="F41" s="1220"/>
      <c r="G41" s="1220"/>
      <c r="H41" s="1220"/>
      <c r="I41" s="1220"/>
      <c r="J41" s="1221"/>
      <c r="K41" s="566"/>
      <c r="M41" s="1211"/>
      <c r="N41" s="1204"/>
      <c r="O41" s="1725" t="s">
        <v>2210</v>
      </c>
      <c r="P41" s="1725"/>
      <c r="Q41" s="1725"/>
      <c r="R41" s="1204"/>
      <c r="S41" s="1204"/>
      <c r="T41" s="1210"/>
    </row>
    <row r="42" spans="1:96" s="291" customFormat="1" ht="60" customHeight="1">
      <c r="B42" s="1616"/>
      <c r="C42" s="1219"/>
      <c r="D42" s="1220"/>
      <c r="E42" s="1220"/>
      <c r="F42" s="1220"/>
      <c r="G42" s="1220"/>
      <c r="H42" s="1220"/>
      <c r="I42" s="1220"/>
      <c r="J42" s="1221"/>
      <c r="K42" s="566"/>
      <c r="M42" s="1211"/>
      <c r="N42" s="1204"/>
      <c r="O42" s="1758" t="s">
        <v>2753</v>
      </c>
      <c r="P42" s="1758"/>
      <c r="Q42" s="1758"/>
      <c r="R42" s="1758"/>
      <c r="S42" s="1758"/>
      <c r="T42" s="1210"/>
    </row>
    <row r="43" spans="1:96" s="291" customFormat="1" ht="15.75" customHeight="1">
      <c r="B43" s="1616"/>
      <c r="C43" s="1232"/>
      <c r="D43" s="1233"/>
      <c r="E43" s="1233"/>
      <c r="F43" s="1233"/>
      <c r="G43" s="1233"/>
      <c r="H43" s="1233"/>
      <c r="I43" s="1233"/>
      <c r="J43" s="1234"/>
      <c r="K43" s="566"/>
      <c r="M43" s="1211"/>
      <c r="N43" s="1204"/>
      <c r="O43" s="1725" t="s">
        <v>2713</v>
      </c>
      <c r="P43" s="1725"/>
      <c r="Q43" s="1725"/>
      <c r="R43" s="1204"/>
      <c r="S43" s="1204"/>
      <c r="T43" s="1210"/>
    </row>
    <row r="44" spans="1:96" s="291" customFormat="1" ht="22.5" customHeight="1">
      <c r="B44" s="1616"/>
      <c r="C44" s="1752" t="s">
        <v>1230</v>
      </c>
      <c r="D44" s="1753"/>
      <c r="E44" s="1753"/>
      <c r="F44" s="1753"/>
      <c r="G44" s="1753"/>
      <c r="H44" s="1753"/>
      <c r="I44" s="1753"/>
      <c r="J44" s="1754"/>
      <c r="K44" s="570"/>
      <c r="M44" s="1211"/>
      <c r="N44" s="1204"/>
      <c r="O44" s="1725" t="s">
        <v>1230</v>
      </c>
      <c r="P44" s="1725"/>
      <c r="Q44" s="1725"/>
      <c r="R44" s="1212"/>
      <c r="S44" s="1204"/>
      <c r="T44" s="1210"/>
    </row>
    <row r="45" spans="1:96" s="291" customFormat="1" ht="18.75" customHeight="1">
      <c r="B45" s="1616"/>
      <c r="C45" s="1752" t="s">
        <v>1372</v>
      </c>
      <c r="D45" s="1753"/>
      <c r="E45" s="1753"/>
      <c r="F45" s="1753"/>
      <c r="G45" s="1753"/>
      <c r="H45" s="1753"/>
      <c r="I45" s="1753"/>
      <c r="J45" s="1754"/>
      <c r="K45" s="570"/>
      <c r="M45" s="1208"/>
      <c r="N45" s="1209"/>
      <c r="O45" s="1725" t="s">
        <v>1231</v>
      </c>
      <c r="P45" s="1725"/>
      <c r="Q45" s="1725"/>
      <c r="R45" s="1209"/>
      <c r="S45" s="1209"/>
      <c r="T45" s="1210"/>
    </row>
    <row r="46" spans="1:96" s="291" customFormat="1" ht="14.25" customHeight="1">
      <c r="B46" s="1616"/>
      <c r="C46" s="1235"/>
      <c r="D46" s="1236"/>
      <c r="E46" s="1236"/>
      <c r="F46" s="1236"/>
      <c r="G46" s="1236"/>
      <c r="H46" s="1236"/>
      <c r="I46" s="1236"/>
      <c r="J46" s="1237"/>
      <c r="K46" s="292"/>
      <c r="M46" s="1208"/>
      <c r="N46" s="1209"/>
      <c r="O46" s="1725" t="s">
        <v>2714</v>
      </c>
      <c r="P46" s="1725"/>
      <c r="Q46" s="1725"/>
      <c r="R46" s="1209"/>
      <c r="S46" s="1209"/>
      <c r="T46" s="1210"/>
    </row>
    <row r="47" spans="1:96" s="291" customFormat="1" ht="24" customHeight="1" thickBot="1">
      <c r="B47" s="1616"/>
      <c r="C47" s="563"/>
      <c r="D47" s="564"/>
      <c r="E47" s="564"/>
      <c r="F47" s="564"/>
      <c r="G47" s="564"/>
      <c r="H47" s="564"/>
      <c r="I47" s="564"/>
      <c r="J47" s="565"/>
      <c r="K47" s="292"/>
      <c r="M47" s="1213"/>
      <c r="N47" s="1214"/>
      <c r="O47" s="1214"/>
      <c r="P47" s="1214"/>
      <c r="Q47" s="1214"/>
      <c r="R47" s="1214"/>
      <c r="S47" s="1214"/>
      <c r="T47" s="1215"/>
    </row>
    <row r="48" spans="1:96" s="291" customFormat="1">
      <c r="B48" s="1616"/>
      <c r="C48" s="292"/>
      <c r="D48" s="292"/>
      <c r="E48" s="292"/>
      <c r="F48" s="292"/>
      <c r="G48" s="292"/>
      <c r="H48" s="292"/>
      <c r="I48" s="292"/>
      <c r="J48" s="292"/>
      <c r="K48" s="292"/>
    </row>
    <row r="49" spans="2:2" s="291" customFormat="1">
      <c r="B49" s="1616"/>
    </row>
    <row r="50" spans="2:2" s="291" customFormat="1">
      <c r="B50" s="1616"/>
    </row>
    <row r="51" spans="2:2" s="291" customFormat="1">
      <c r="B51" s="1616"/>
    </row>
    <row r="52" spans="2:2" s="291" customFormat="1">
      <c r="B52" s="1616"/>
    </row>
    <row r="53" spans="2:2" s="291" customFormat="1">
      <c r="B53" s="1616"/>
    </row>
    <row r="54" spans="2:2" s="291" customFormat="1">
      <c r="B54" s="1616"/>
    </row>
    <row r="55" spans="2:2" s="291" customFormat="1">
      <c r="B55" s="1616"/>
    </row>
    <row r="56" spans="2:2" s="291" customFormat="1">
      <c r="B56" s="1616"/>
    </row>
    <row r="57" spans="2:2" s="291" customFormat="1">
      <c r="B57" s="1616"/>
    </row>
    <row r="58" spans="2:2" s="291" customFormat="1">
      <c r="B58" s="1616"/>
    </row>
    <row r="59" spans="2:2" s="291" customFormat="1">
      <c r="B59" s="1616"/>
    </row>
    <row r="60" spans="2:2" s="291" customFormat="1">
      <c r="B60" s="1616"/>
    </row>
    <row r="61" spans="2:2" s="291" customFormat="1">
      <c r="B61" s="1616"/>
    </row>
    <row r="62" spans="2:2" s="291" customFormat="1">
      <c r="B62" s="1616"/>
    </row>
    <row r="63" spans="2:2" s="291" customFormat="1">
      <c r="B63" s="1616"/>
    </row>
    <row r="64" spans="2:2" s="291" customFormat="1">
      <c r="B64" s="1616"/>
    </row>
    <row r="65" spans="2:2" s="291" customFormat="1">
      <c r="B65" s="1616"/>
    </row>
    <row r="66" spans="2:2" s="291" customFormat="1">
      <c r="B66" s="1616"/>
    </row>
    <row r="67" spans="2:2" s="291" customFormat="1">
      <c r="B67" s="1616"/>
    </row>
    <row r="68" spans="2:2" s="291" customFormat="1">
      <c r="B68" s="1616"/>
    </row>
    <row r="69" spans="2:2" s="291" customFormat="1">
      <c r="B69" s="1616"/>
    </row>
    <row r="70" spans="2:2" s="291" customFormat="1">
      <c r="B70" s="1616"/>
    </row>
    <row r="71" spans="2:2" s="291" customFormat="1">
      <c r="B71" s="1616"/>
    </row>
    <row r="72" spans="2:2" s="291" customFormat="1">
      <c r="B72" s="1616"/>
    </row>
    <row r="73" spans="2:2" s="291" customFormat="1">
      <c r="B73" s="1616"/>
    </row>
    <row r="74" spans="2:2" s="291" customFormat="1">
      <c r="B74" s="1616"/>
    </row>
    <row r="75" spans="2:2" s="291" customFormat="1">
      <c r="B75" s="1616"/>
    </row>
    <row r="76" spans="2:2" s="291" customFormat="1">
      <c r="B76" s="1616"/>
    </row>
    <row r="77" spans="2:2" s="291" customFormat="1">
      <c r="B77" s="1616"/>
    </row>
    <row r="78" spans="2:2" s="291" customFormat="1">
      <c r="B78" s="1616"/>
    </row>
    <row r="79" spans="2:2" s="291" customFormat="1">
      <c r="B79" s="1616"/>
    </row>
    <row r="80" spans="2:2" s="291" customFormat="1">
      <c r="B80" s="1616"/>
    </row>
    <row r="81" spans="2:2" s="291" customFormat="1">
      <c r="B81" s="1616"/>
    </row>
    <row r="82" spans="2:2" s="291" customFormat="1">
      <c r="B82" s="1616"/>
    </row>
    <row r="83" spans="2:2" s="291" customFormat="1">
      <c r="B83" s="1616"/>
    </row>
    <row r="84" spans="2:2" s="291" customFormat="1">
      <c r="B84" s="1616"/>
    </row>
    <row r="85" spans="2:2" s="291" customFormat="1">
      <c r="B85" s="1616"/>
    </row>
    <row r="86" spans="2:2" s="291" customFormat="1">
      <c r="B86" s="1616"/>
    </row>
    <row r="87" spans="2:2" s="291" customFormat="1">
      <c r="B87" s="1616"/>
    </row>
    <row r="88" spans="2:2" s="291" customFormat="1">
      <c r="B88" s="1616"/>
    </row>
    <row r="89" spans="2:2" s="291" customFormat="1">
      <c r="B89" s="1616"/>
    </row>
    <row r="90" spans="2:2" s="291" customFormat="1">
      <c r="B90" s="1616"/>
    </row>
    <row r="91" spans="2:2" s="291" customFormat="1">
      <c r="B91" s="1616"/>
    </row>
    <row r="92" spans="2:2" s="291" customFormat="1">
      <c r="B92" s="1616"/>
    </row>
    <row r="93" spans="2:2" s="291" customFormat="1">
      <c r="B93" s="1616"/>
    </row>
    <row r="94" spans="2:2" s="291" customFormat="1">
      <c r="B94" s="1616"/>
    </row>
    <row r="95" spans="2:2" s="291" customFormat="1">
      <c r="B95" s="1616"/>
    </row>
    <row r="96" spans="2:2" s="291" customFormat="1">
      <c r="B96" s="1616"/>
    </row>
    <row r="97" spans="2:2" s="291" customFormat="1">
      <c r="B97" s="1616"/>
    </row>
    <row r="98" spans="2:2" s="291" customFormat="1">
      <c r="B98" s="1616"/>
    </row>
    <row r="99" spans="2:2" s="291" customFormat="1">
      <c r="B99" s="1616"/>
    </row>
    <row r="100" spans="2:2" s="291" customFormat="1">
      <c r="B100" s="1616"/>
    </row>
    <row r="101" spans="2:2" s="291" customFormat="1">
      <c r="B101" s="1616"/>
    </row>
    <row r="102" spans="2:2" s="291" customFormat="1">
      <c r="B102" s="1616"/>
    </row>
    <row r="103" spans="2:2" s="291" customFormat="1">
      <c r="B103" s="1616"/>
    </row>
    <row r="104" spans="2:2" s="291" customFormat="1">
      <c r="B104" s="1616"/>
    </row>
    <row r="105" spans="2:2" s="291" customFormat="1">
      <c r="B105" s="1616"/>
    </row>
    <row r="106" spans="2:2" s="291" customFormat="1">
      <c r="B106" s="1616"/>
    </row>
    <row r="107" spans="2:2" s="291" customFormat="1">
      <c r="B107" s="1616"/>
    </row>
    <row r="108" spans="2:2" s="291" customFormat="1">
      <c r="B108" s="1616"/>
    </row>
    <row r="109" spans="2:2" s="291" customFormat="1">
      <c r="B109" s="1616"/>
    </row>
    <row r="110" spans="2:2" s="291" customFormat="1">
      <c r="B110" s="1616"/>
    </row>
    <row r="111" spans="2:2" s="291" customFormat="1">
      <c r="B111" s="1616"/>
    </row>
    <row r="112" spans="2:2" s="291" customFormat="1">
      <c r="B112" s="1616"/>
    </row>
    <row r="113" spans="2:2" s="291" customFormat="1">
      <c r="B113" s="1616"/>
    </row>
    <row r="114" spans="2:2" s="291" customFormat="1">
      <c r="B114" s="1616"/>
    </row>
    <row r="115" spans="2:2" s="291" customFormat="1">
      <c r="B115" s="1616"/>
    </row>
    <row r="116" spans="2:2" s="291" customFormat="1">
      <c r="B116" s="1616"/>
    </row>
    <row r="117" spans="2:2" s="291" customFormat="1">
      <c r="B117" s="1616"/>
    </row>
    <row r="118" spans="2:2" s="291" customFormat="1">
      <c r="B118" s="1616"/>
    </row>
    <row r="119" spans="2:2" s="291" customFormat="1">
      <c r="B119" s="1616"/>
    </row>
    <row r="120" spans="2:2" s="291" customFormat="1">
      <c r="B120" s="1616"/>
    </row>
    <row r="121" spans="2:2" s="291" customFormat="1">
      <c r="B121" s="1616"/>
    </row>
    <row r="122" spans="2:2" s="291" customFormat="1">
      <c r="B122" s="1616"/>
    </row>
    <row r="123" spans="2:2" s="291" customFormat="1">
      <c r="B123" s="1616"/>
    </row>
    <row r="124" spans="2:2" s="291" customFormat="1">
      <c r="B124" s="1616"/>
    </row>
    <row r="125" spans="2:2" s="291" customFormat="1">
      <c r="B125" s="1616"/>
    </row>
    <row r="126" spans="2:2" s="291" customFormat="1">
      <c r="B126" s="1616"/>
    </row>
    <row r="127" spans="2:2" s="291" customFormat="1">
      <c r="B127" s="1616"/>
    </row>
    <row r="128" spans="2:2" s="291" customFormat="1">
      <c r="B128" s="1616"/>
    </row>
    <row r="129" spans="2:2" s="291" customFormat="1">
      <c r="B129" s="1616"/>
    </row>
    <row r="130" spans="2:2" s="291" customFormat="1">
      <c r="B130" s="1616"/>
    </row>
    <row r="131" spans="2:2" s="291" customFormat="1">
      <c r="B131" s="1616"/>
    </row>
    <row r="132" spans="2:2" s="291" customFormat="1">
      <c r="B132" s="1616"/>
    </row>
    <row r="133" spans="2:2" s="291" customFormat="1">
      <c r="B133" s="1616"/>
    </row>
    <row r="134" spans="2:2" s="291" customFormat="1">
      <c r="B134" s="1616"/>
    </row>
    <row r="135" spans="2:2" s="291" customFormat="1">
      <c r="B135" s="1616"/>
    </row>
    <row r="136" spans="2:2" s="291" customFormat="1">
      <c r="B136" s="1616"/>
    </row>
    <row r="137" spans="2:2" s="291" customFormat="1">
      <c r="B137" s="1616"/>
    </row>
    <row r="138" spans="2:2" s="291" customFormat="1">
      <c r="B138" s="1616"/>
    </row>
    <row r="139" spans="2:2" s="291" customFormat="1">
      <c r="B139" s="1616"/>
    </row>
    <row r="140" spans="2:2" s="291" customFormat="1">
      <c r="B140" s="1616"/>
    </row>
    <row r="141" spans="2:2" s="291" customFormat="1">
      <c r="B141" s="1616"/>
    </row>
    <row r="142" spans="2:2" s="291" customFormat="1">
      <c r="B142" s="1616"/>
    </row>
    <row r="143" spans="2:2" s="291" customFormat="1">
      <c r="B143" s="1616"/>
    </row>
    <row r="144" spans="2:2" s="291" customFormat="1">
      <c r="B144" s="1616"/>
    </row>
    <row r="145" spans="2:2" s="291" customFormat="1">
      <c r="B145" s="1616"/>
    </row>
    <row r="146" spans="2:2" s="291" customFormat="1">
      <c r="B146" s="1616"/>
    </row>
    <row r="147" spans="2:2" s="291" customFormat="1">
      <c r="B147" s="1616"/>
    </row>
    <row r="148" spans="2:2" s="291" customFormat="1">
      <c r="B148" s="1616"/>
    </row>
    <row r="149" spans="2:2" s="291" customFormat="1">
      <c r="B149" s="1616"/>
    </row>
    <row r="150" spans="2:2" s="291" customFormat="1">
      <c r="B150" s="1616"/>
    </row>
    <row r="151" spans="2:2" s="291" customFormat="1">
      <c r="B151" s="1616"/>
    </row>
    <row r="152" spans="2:2" s="291" customFormat="1">
      <c r="B152" s="1616"/>
    </row>
    <row r="153" spans="2:2" s="291" customFormat="1">
      <c r="B153" s="1616"/>
    </row>
    <row r="154" spans="2:2" s="291" customFormat="1">
      <c r="B154" s="1616"/>
    </row>
    <row r="155" spans="2:2" s="291" customFormat="1">
      <c r="B155" s="1616"/>
    </row>
    <row r="156" spans="2:2" s="291" customFormat="1">
      <c r="B156" s="1616"/>
    </row>
    <row r="157" spans="2:2" s="291" customFormat="1">
      <c r="B157" s="1616"/>
    </row>
    <row r="158" spans="2:2" s="291" customFormat="1">
      <c r="B158" s="1616"/>
    </row>
    <row r="159" spans="2:2" s="291" customFormat="1">
      <c r="B159" s="1616"/>
    </row>
    <row r="160" spans="2:2" s="291" customFormat="1">
      <c r="B160" s="1616"/>
    </row>
    <row r="161" spans="2:2" s="291" customFormat="1">
      <c r="B161" s="1616"/>
    </row>
    <row r="162" spans="2:2" s="291" customFormat="1">
      <c r="B162" s="1616"/>
    </row>
    <row r="163" spans="2:2" s="291" customFormat="1">
      <c r="B163" s="1616"/>
    </row>
    <row r="164" spans="2:2" s="291" customFormat="1">
      <c r="B164" s="1616"/>
    </row>
    <row r="165" spans="2:2" s="291" customFormat="1">
      <c r="B165" s="1616"/>
    </row>
    <row r="166" spans="2:2" s="291" customFormat="1">
      <c r="B166" s="1616"/>
    </row>
    <row r="167" spans="2:2" s="291" customFormat="1">
      <c r="B167" s="1616"/>
    </row>
    <row r="168" spans="2:2" s="291" customFormat="1">
      <c r="B168" s="1616"/>
    </row>
    <row r="169" spans="2:2" s="291" customFormat="1">
      <c r="B169" s="1616"/>
    </row>
    <row r="170" spans="2:2" s="291" customFormat="1">
      <c r="B170" s="1616"/>
    </row>
    <row r="171" spans="2:2" s="291" customFormat="1">
      <c r="B171" s="1616"/>
    </row>
    <row r="172" spans="2:2" s="291" customFormat="1">
      <c r="B172" s="1616"/>
    </row>
    <row r="173" spans="2:2" s="291" customFormat="1">
      <c r="B173" s="1616"/>
    </row>
    <row r="174" spans="2:2" s="291" customFormat="1">
      <c r="B174" s="1616"/>
    </row>
    <row r="175" spans="2:2" s="291" customFormat="1">
      <c r="B175" s="1616"/>
    </row>
    <row r="176" spans="2:2" s="291" customFormat="1">
      <c r="B176" s="1616"/>
    </row>
    <row r="177" spans="2:2" s="291" customFormat="1">
      <c r="B177" s="1616"/>
    </row>
    <row r="178" spans="2:2" s="291" customFormat="1">
      <c r="B178" s="1616"/>
    </row>
    <row r="179" spans="2:2" s="291" customFormat="1">
      <c r="B179" s="1616"/>
    </row>
    <row r="180" spans="2:2" s="291" customFormat="1">
      <c r="B180" s="1616"/>
    </row>
    <row r="181" spans="2:2" s="291" customFormat="1">
      <c r="B181" s="1616"/>
    </row>
    <row r="182" spans="2:2" s="291" customFormat="1">
      <c r="B182" s="1616"/>
    </row>
    <row r="183" spans="2:2" s="291" customFormat="1">
      <c r="B183" s="1616"/>
    </row>
    <row r="184" spans="2:2" s="291" customFormat="1">
      <c r="B184" s="1616"/>
    </row>
    <row r="185" spans="2:2" s="291" customFormat="1">
      <c r="B185" s="1616"/>
    </row>
    <row r="186" spans="2:2" s="291" customFormat="1">
      <c r="B186" s="1616"/>
    </row>
    <row r="187" spans="2:2" s="291" customFormat="1">
      <c r="B187" s="1616"/>
    </row>
    <row r="188" spans="2:2" s="291" customFormat="1">
      <c r="B188" s="1616"/>
    </row>
    <row r="189" spans="2:2" s="291" customFormat="1">
      <c r="B189" s="1616"/>
    </row>
    <row r="190" spans="2:2" s="291" customFormat="1">
      <c r="B190" s="1616"/>
    </row>
    <row r="191" spans="2:2" s="291" customFormat="1">
      <c r="B191" s="1616"/>
    </row>
    <row r="192" spans="2:2" s="291" customFormat="1">
      <c r="B192" s="1616"/>
    </row>
    <row r="193" spans="2:2" s="291" customFormat="1">
      <c r="B193" s="1616"/>
    </row>
    <row r="194" spans="2:2" s="291" customFormat="1">
      <c r="B194" s="1616"/>
    </row>
    <row r="195" spans="2:2" s="291" customFormat="1">
      <c r="B195" s="1616"/>
    </row>
    <row r="196" spans="2:2" s="291" customFormat="1">
      <c r="B196" s="1616"/>
    </row>
    <row r="197" spans="2:2" s="291" customFormat="1">
      <c r="B197" s="1616"/>
    </row>
    <row r="198" spans="2:2" s="291" customFormat="1">
      <c r="B198" s="1616"/>
    </row>
    <row r="199" spans="2:2" s="291" customFormat="1">
      <c r="B199" s="1616"/>
    </row>
    <row r="200" spans="2:2" s="291" customFormat="1">
      <c r="B200" s="1616"/>
    </row>
    <row r="201" spans="2:2" s="291" customFormat="1">
      <c r="B201" s="1616"/>
    </row>
    <row r="202" spans="2:2" s="291" customFormat="1">
      <c r="B202" s="1616"/>
    </row>
    <row r="203" spans="2:2" s="291" customFormat="1">
      <c r="B203" s="1616"/>
    </row>
    <row r="204" spans="2:2" s="291" customFormat="1">
      <c r="B204" s="1616"/>
    </row>
    <row r="205" spans="2:2" s="291" customFormat="1">
      <c r="B205" s="1616"/>
    </row>
    <row r="206" spans="2:2" s="291" customFormat="1">
      <c r="B206" s="1616"/>
    </row>
    <row r="207" spans="2:2" s="291" customFormat="1">
      <c r="B207" s="1616"/>
    </row>
    <row r="208" spans="2:2" s="291" customFormat="1">
      <c r="B208" s="1616"/>
    </row>
    <row r="209" spans="2:2" s="291" customFormat="1">
      <c r="B209" s="1616"/>
    </row>
    <row r="210" spans="2:2" s="291" customFormat="1">
      <c r="B210" s="1616"/>
    </row>
    <row r="211" spans="2:2" s="291" customFormat="1">
      <c r="B211" s="1616"/>
    </row>
    <row r="212" spans="2:2" s="291" customFormat="1">
      <c r="B212" s="1616"/>
    </row>
    <row r="213" spans="2:2" s="291" customFormat="1">
      <c r="B213" s="1616"/>
    </row>
    <row r="214" spans="2:2" s="291" customFormat="1">
      <c r="B214" s="1616"/>
    </row>
    <row r="215" spans="2:2" s="291" customFormat="1">
      <c r="B215" s="1616"/>
    </row>
    <row r="216" spans="2:2" s="291" customFormat="1">
      <c r="B216" s="1616"/>
    </row>
    <row r="217" spans="2:2" s="291" customFormat="1">
      <c r="B217" s="1616"/>
    </row>
    <row r="218" spans="2:2" s="291" customFormat="1">
      <c r="B218" s="1616"/>
    </row>
    <row r="219" spans="2:2" s="291" customFormat="1">
      <c r="B219" s="1616"/>
    </row>
    <row r="220" spans="2:2" s="291" customFormat="1">
      <c r="B220" s="1616"/>
    </row>
    <row r="221" spans="2:2" s="291" customFormat="1">
      <c r="B221" s="1616"/>
    </row>
    <row r="222" spans="2:2" s="291" customFormat="1">
      <c r="B222" s="1616"/>
    </row>
    <row r="223" spans="2:2" s="291" customFormat="1">
      <c r="B223" s="1616"/>
    </row>
    <row r="224" spans="2:2" s="291" customFormat="1">
      <c r="B224" s="1616"/>
    </row>
    <row r="225" spans="2:2" s="291" customFormat="1">
      <c r="B225" s="1616"/>
    </row>
    <row r="226" spans="2:2" s="291" customFormat="1">
      <c r="B226" s="1616"/>
    </row>
    <row r="227" spans="2:2" s="291" customFormat="1">
      <c r="B227" s="1616"/>
    </row>
    <row r="228" spans="2:2" s="291" customFormat="1">
      <c r="B228" s="1616"/>
    </row>
    <row r="229" spans="2:2" s="291" customFormat="1">
      <c r="B229" s="1616"/>
    </row>
    <row r="230" spans="2:2" s="291" customFormat="1">
      <c r="B230" s="1616"/>
    </row>
    <row r="231" spans="2:2" s="291" customFormat="1">
      <c r="B231" s="1616"/>
    </row>
    <row r="232" spans="2:2" s="291" customFormat="1">
      <c r="B232" s="1616"/>
    </row>
    <row r="233" spans="2:2" s="291" customFormat="1">
      <c r="B233" s="1616"/>
    </row>
    <row r="234" spans="2:2" s="291" customFormat="1">
      <c r="B234" s="1616"/>
    </row>
    <row r="235" spans="2:2" s="291" customFormat="1">
      <c r="B235" s="1616"/>
    </row>
    <row r="236" spans="2:2" s="291" customFormat="1">
      <c r="B236" s="1616"/>
    </row>
    <row r="237" spans="2:2" s="291" customFormat="1">
      <c r="B237" s="1616"/>
    </row>
    <row r="238" spans="2:2" s="291" customFormat="1">
      <c r="B238" s="1616"/>
    </row>
    <row r="239" spans="2:2" s="291" customFormat="1">
      <c r="B239" s="1616"/>
    </row>
    <row r="240" spans="2:2" s="291" customFormat="1">
      <c r="B240" s="1616"/>
    </row>
    <row r="241" spans="2:2" s="291" customFormat="1">
      <c r="B241" s="1616"/>
    </row>
    <row r="242" spans="2:2" s="291" customFormat="1">
      <c r="B242" s="1616"/>
    </row>
    <row r="243" spans="2:2" s="291" customFormat="1">
      <c r="B243" s="1616"/>
    </row>
    <row r="244" spans="2:2" s="291" customFormat="1">
      <c r="B244" s="1616"/>
    </row>
    <row r="245" spans="2:2" s="291" customFormat="1">
      <c r="B245" s="1616"/>
    </row>
    <row r="246" spans="2:2" s="291" customFormat="1">
      <c r="B246" s="1616"/>
    </row>
    <row r="247" spans="2:2" s="291" customFormat="1">
      <c r="B247" s="1616"/>
    </row>
    <row r="248" spans="2:2" s="291" customFormat="1">
      <c r="B248" s="1616"/>
    </row>
    <row r="249" spans="2:2" s="291" customFormat="1">
      <c r="B249" s="1616"/>
    </row>
    <row r="250" spans="2:2" s="291" customFormat="1">
      <c r="B250" s="1616"/>
    </row>
    <row r="251" spans="2:2" s="291" customFormat="1">
      <c r="B251" s="1616"/>
    </row>
    <row r="252" spans="2:2" s="291" customFormat="1">
      <c r="B252" s="1616"/>
    </row>
    <row r="253" spans="2:2" s="291" customFormat="1">
      <c r="B253" s="1616"/>
    </row>
    <row r="254" spans="2:2" s="291" customFormat="1">
      <c r="B254" s="1616"/>
    </row>
    <row r="255" spans="2:2" s="291" customFormat="1">
      <c r="B255" s="1616"/>
    </row>
    <row r="256" spans="2:2" s="291" customFormat="1">
      <c r="B256" s="1616"/>
    </row>
    <row r="257" spans="2:2" s="291" customFormat="1">
      <c r="B257" s="1616"/>
    </row>
    <row r="258" spans="2:2" s="291" customFormat="1">
      <c r="B258" s="1616"/>
    </row>
    <row r="259" spans="2:2" s="291" customFormat="1">
      <c r="B259" s="1616"/>
    </row>
    <row r="260" spans="2:2" s="291" customFormat="1">
      <c r="B260" s="1616"/>
    </row>
    <row r="261" spans="2:2" s="291" customFormat="1">
      <c r="B261" s="1616"/>
    </row>
    <row r="262" spans="2:2" s="291" customFormat="1">
      <c r="B262" s="1616"/>
    </row>
    <row r="263" spans="2:2" s="291" customFormat="1">
      <c r="B263" s="1616"/>
    </row>
    <row r="264" spans="2:2" s="291" customFormat="1">
      <c r="B264" s="1616"/>
    </row>
    <row r="265" spans="2:2" s="291" customFormat="1">
      <c r="B265" s="1616"/>
    </row>
    <row r="266" spans="2:2" s="291" customFormat="1">
      <c r="B266" s="1616"/>
    </row>
    <row r="267" spans="2:2" s="291" customFormat="1">
      <c r="B267" s="1616"/>
    </row>
    <row r="268" spans="2:2" s="291" customFormat="1">
      <c r="B268" s="1616"/>
    </row>
    <row r="269" spans="2:2" s="291" customFormat="1">
      <c r="B269" s="1616"/>
    </row>
    <row r="270" spans="2:2" s="291" customFormat="1">
      <c r="B270" s="1616"/>
    </row>
    <row r="271" spans="2:2" s="291" customFormat="1">
      <c r="B271" s="1616"/>
    </row>
    <row r="272" spans="2:2" s="291" customFormat="1">
      <c r="B272" s="1616"/>
    </row>
    <row r="273" spans="2:2" s="291" customFormat="1">
      <c r="B273" s="1616"/>
    </row>
    <row r="274" spans="2:2" s="291" customFormat="1">
      <c r="B274" s="1616"/>
    </row>
    <row r="275" spans="2:2" s="291" customFormat="1">
      <c r="B275" s="1616"/>
    </row>
    <row r="276" spans="2:2" s="291" customFormat="1">
      <c r="B276" s="1616"/>
    </row>
    <row r="277" spans="2:2" s="291" customFormat="1">
      <c r="B277" s="1616"/>
    </row>
    <row r="278" spans="2:2" s="291" customFormat="1">
      <c r="B278" s="1616"/>
    </row>
    <row r="279" spans="2:2" s="291" customFormat="1">
      <c r="B279" s="1616"/>
    </row>
    <row r="280" spans="2:2" s="291" customFormat="1">
      <c r="B280" s="1616"/>
    </row>
    <row r="281" spans="2:2" s="291" customFormat="1">
      <c r="B281" s="1616"/>
    </row>
    <row r="282" spans="2:2" s="291" customFormat="1">
      <c r="B282" s="1616"/>
    </row>
    <row r="283" spans="2:2" s="291" customFormat="1">
      <c r="B283" s="1616"/>
    </row>
    <row r="284" spans="2:2" s="291" customFormat="1">
      <c r="B284" s="1616"/>
    </row>
    <row r="285" spans="2:2" s="291" customFormat="1">
      <c r="B285" s="1616"/>
    </row>
    <row r="286" spans="2:2" s="291" customFormat="1">
      <c r="B286" s="1616"/>
    </row>
    <row r="287" spans="2:2" s="291" customFormat="1">
      <c r="B287" s="1616"/>
    </row>
    <row r="288" spans="2:2" s="291" customFormat="1">
      <c r="B288" s="1616"/>
    </row>
    <row r="289" spans="2:2" s="291" customFormat="1">
      <c r="B289" s="1616"/>
    </row>
    <row r="290" spans="2:2" s="291" customFormat="1">
      <c r="B290" s="1616"/>
    </row>
    <row r="291" spans="2:2" s="291" customFormat="1">
      <c r="B291" s="1616"/>
    </row>
    <row r="292" spans="2:2" s="291" customFormat="1">
      <c r="B292" s="1616"/>
    </row>
    <row r="293" spans="2:2" s="291" customFormat="1">
      <c r="B293" s="1616"/>
    </row>
    <row r="294" spans="2:2" s="291" customFormat="1">
      <c r="B294" s="1616"/>
    </row>
    <row r="295" spans="2:2" s="291" customFormat="1">
      <c r="B295" s="1616"/>
    </row>
    <row r="296" spans="2:2" s="291" customFormat="1">
      <c r="B296" s="1616"/>
    </row>
    <row r="297" spans="2:2" s="291" customFormat="1">
      <c r="B297" s="1616"/>
    </row>
    <row r="298" spans="2:2" s="291" customFormat="1">
      <c r="B298" s="1616"/>
    </row>
    <row r="299" spans="2:2" s="291" customFormat="1">
      <c r="B299" s="1616"/>
    </row>
    <row r="300" spans="2:2" s="291" customFormat="1">
      <c r="B300" s="1616"/>
    </row>
    <row r="301" spans="2:2" s="291" customFormat="1">
      <c r="B301" s="1616"/>
    </row>
    <row r="302" spans="2:2" s="291" customFormat="1">
      <c r="B302" s="1616"/>
    </row>
    <row r="303" spans="2:2" s="291" customFormat="1">
      <c r="B303" s="1616"/>
    </row>
    <row r="304" spans="2:2" s="291" customFormat="1">
      <c r="B304" s="1616"/>
    </row>
    <row r="305" spans="2:2" s="291" customFormat="1">
      <c r="B305" s="1616"/>
    </row>
    <row r="306" spans="2:2" s="291" customFormat="1">
      <c r="B306" s="1616"/>
    </row>
    <row r="307" spans="2:2" s="291" customFormat="1">
      <c r="B307" s="1616"/>
    </row>
    <row r="308" spans="2:2" s="291" customFormat="1">
      <c r="B308" s="1616"/>
    </row>
    <row r="309" spans="2:2" s="291" customFormat="1">
      <c r="B309" s="1616"/>
    </row>
    <row r="310" spans="2:2" s="291" customFormat="1">
      <c r="B310" s="1616"/>
    </row>
    <row r="311" spans="2:2" s="291" customFormat="1">
      <c r="B311" s="1616"/>
    </row>
    <row r="312" spans="2:2" s="291" customFormat="1">
      <c r="B312" s="1616"/>
    </row>
    <row r="313" spans="2:2" s="291" customFormat="1">
      <c r="B313" s="1616"/>
    </row>
    <row r="314" spans="2:2" s="291" customFormat="1">
      <c r="B314" s="1616"/>
    </row>
    <row r="315" spans="2:2" s="291" customFormat="1">
      <c r="B315" s="1616"/>
    </row>
    <row r="316" spans="2:2" s="291" customFormat="1">
      <c r="B316" s="1616"/>
    </row>
    <row r="317" spans="2:2" s="291" customFormat="1">
      <c r="B317" s="1616"/>
    </row>
    <row r="318" spans="2:2" s="291" customFormat="1">
      <c r="B318" s="1616"/>
    </row>
    <row r="319" spans="2:2" s="291" customFormat="1">
      <c r="B319" s="1616"/>
    </row>
    <row r="320" spans="2:2" s="291" customFormat="1">
      <c r="B320" s="1616"/>
    </row>
    <row r="321" spans="2:2" s="291" customFormat="1">
      <c r="B321" s="1616"/>
    </row>
    <row r="322" spans="2:2" s="291" customFormat="1">
      <c r="B322" s="1616"/>
    </row>
    <row r="323" spans="2:2" s="291" customFormat="1">
      <c r="B323" s="1616"/>
    </row>
    <row r="324" spans="2:2" s="291" customFormat="1">
      <c r="B324" s="1616"/>
    </row>
    <row r="325" spans="2:2" s="291" customFormat="1">
      <c r="B325" s="1616"/>
    </row>
    <row r="326" spans="2:2" s="291" customFormat="1">
      <c r="B326" s="1616"/>
    </row>
    <row r="327" spans="2:2" s="291" customFormat="1">
      <c r="B327" s="1616"/>
    </row>
    <row r="328" spans="2:2" s="291" customFormat="1">
      <c r="B328" s="1616"/>
    </row>
    <row r="329" spans="2:2" s="291" customFormat="1">
      <c r="B329" s="1616"/>
    </row>
    <row r="330" spans="2:2" s="291" customFormat="1">
      <c r="B330" s="1616"/>
    </row>
    <row r="331" spans="2:2" s="291" customFormat="1">
      <c r="B331" s="1616"/>
    </row>
    <row r="332" spans="2:2" s="291" customFormat="1">
      <c r="B332" s="1616"/>
    </row>
    <row r="333" spans="2:2" s="291" customFormat="1">
      <c r="B333" s="1616"/>
    </row>
    <row r="334" spans="2:2" s="291" customFormat="1">
      <c r="B334" s="1616"/>
    </row>
    <row r="335" spans="2:2" s="291" customFormat="1">
      <c r="B335" s="1616"/>
    </row>
    <row r="336" spans="2:2" s="291" customFormat="1">
      <c r="B336" s="1616"/>
    </row>
    <row r="337" spans="2:2" s="291" customFormat="1">
      <c r="B337" s="1616"/>
    </row>
    <row r="338" spans="2:2" s="291" customFormat="1">
      <c r="B338" s="1616"/>
    </row>
    <row r="339" spans="2:2" s="291" customFormat="1">
      <c r="B339" s="1616"/>
    </row>
    <row r="340" spans="2:2" s="291" customFormat="1">
      <c r="B340" s="1616"/>
    </row>
    <row r="341" spans="2:2" s="291" customFormat="1">
      <c r="B341" s="1616"/>
    </row>
    <row r="342" spans="2:2" s="291" customFormat="1">
      <c r="B342" s="1616"/>
    </row>
    <row r="343" spans="2:2" s="291" customFormat="1">
      <c r="B343" s="1616"/>
    </row>
    <row r="344" spans="2:2" s="291" customFormat="1">
      <c r="B344" s="1616"/>
    </row>
    <row r="345" spans="2:2" s="291" customFormat="1">
      <c r="B345" s="1616"/>
    </row>
    <row r="346" spans="2:2" s="291" customFormat="1">
      <c r="B346" s="1616"/>
    </row>
    <row r="347" spans="2:2" s="291" customFormat="1">
      <c r="B347" s="1616"/>
    </row>
    <row r="348" spans="2:2" s="291" customFormat="1">
      <c r="B348" s="1616"/>
    </row>
    <row r="349" spans="2:2" s="291" customFormat="1">
      <c r="B349" s="1616"/>
    </row>
    <row r="350" spans="2:2" s="291" customFormat="1">
      <c r="B350" s="1616"/>
    </row>
    <row r="351" spans="2:2" s="291" customFormat="1">
      <c r="B351" s="1616"/>
    </row>
    <row r="352" spans="2:2" s="291" customFormat="1">
      <c r="B352" s="1616"/>
    </row>
    <row r="353" spans="2:2" s="291" customFormat="1">
      <c r="B353" s="1616"/>
    </row>
    <row r="354" spans="2:2" s="291" customFormat="1">
      <c r="B354" s="1616"/>
    </row>
    <row r="355" spans="2:2" s="291" customFormat="1">
      <c r="B355" s="1616"/>
    </row>
    <row r="356" spans="2:2" s="291" customFormat="1">
      <c r="B356" s="1616"/>
    </row>
    <row r="357" spans="2:2" s="291" customFormat="1">
      <c r="B357" s="1616"/>
    </row>
    <row r="358" spans="2:2" s="291" customFormat="1">
      <c r="B358" s="1616"/>
    </row>
    <row r="359" spans="2:2" s="291" customFormat="1">
      <c r="B359" s="1616"/>
    </row>
    <row r="360" spans="2:2" s="291" customFormat="1">
      <c r="B360" s="1616"/>
    </row>
    <row r="361" spans="2:2" s="291" customFormat="1">
      <c r="B361" s="1616"/>
    </row>
    <row r="362" spans="2:2" s="291" customFormat="1">
      <c r="B362" s="1616"/>
    </row>
    <row r="363" spans="2:2" s="291" customFormat="1">
      <c r="B363" s="1616"/>
    </row>
    <row r="364" spans="2:2" s="291" customFormat="1">
      <c r="B364" s="1616"/>
    </row>
    <row r="365" spans="2:2" s="291" customFormat="1">
      <c r="B365" s="1616"/>
    </row>
    <row r="366" spans="2:2" s="291" customFormat="1">
      <c r="B366" s="1616"/>
    </row>
    <row r="367" spans="2:2" s="291" customFormat="1">
      <c r="B367" s="1616"/>
    </row>
    <row r="368" spans="2:2" s="291" customFormat="1">
      <c r="B368" s="1616"/>
    </row>
    <row r="369" spans="2:2" s="291" customFormat="1">
      <c r="B369" s="1616"/>
    </row>
    <row r="370" spans="2:2" s="291" customFormat="1">
      <c r="B370" s="1616"/>
    </row>
    <row r="371" spans="2:2" s="291" customFormat="1">
      <c r="B371" s="1616"/>
    </row>
    <row r="372" spans="2:2" s="291" customFormat="1">
      <c r="B372" s="1616"/>
    </row>
    <row r="373" spans="2:2" s="291" customFormat="1">
      <c r="B373" s="1616"/>
    </row>
    <row r="374" spans="2:2" s="291" customFormat="1">
      <c r="B374" s="1616"/>
    </row>
    <row r="375" spans="2:2" s="291" customFormat="1">
      <c r="B375" s="1616"/>
    </row>
    <row r="376" spans="2:2" s="291" customFormat="1">
      <c r="B376" s="1616"/>
    </row>
    <row r="377" spans="2:2" s="291" customFormat="1">
      <c r="B377" s="1616"/>
    </row>
    <row r="378" spans="2:2" s="291" customFormat="1">
      <c r="B378" s="1616"/>
    </row>
    <row r="379" spans="2:2" s="291" customFormat="1">
      <c r="B379" s="1616"/>
    </row>
    <row r="380" spans="2:2" s="291" customFormat="1">
      <c r="B380" s="1616"/>
    </row>
    <row r="381" spans="2:2" s="291" customFormat="1">
      <c r="B381" s="1616"/>
    </row>
    <row r="382" spans="2:2" s="291" customFormat="1">
      <c r="B382" s="1616"/>
    </row>
    <row r="383" spans="2:2" s="291" customFormat="1">
      <c r="B383" s="1616"/>
    </row>
    <row r="384" spans="2:2" s="291" customFormat="1">
      <c r="B384" s="1616"/>
    </row>
    <row r="385" spans="2:2" s="291" customFormat="1">
      <c r="B385" s="1616"/>
    </row>
    <row r="386" spans="2:2" s="291" customFormat="1">
      <c r="B386" s="1616"/>
    </row>
    <row r="387" spans="2:2" s="291" customFormat="1">
      <c r="B387" s="1616"/>
    </row>
    <row r="388" spans="2:2" s="291" customFormat="1">
      <c r="B388" s="1616"/>
    </row>
    <row r="389" spans="2:2" s="291" customFormat="1">
      <c r="B389" s="1616"/>
    </row>
    <row r="390" spans="2:2" s="291" customFormat="1">
      <c r="B390" s="1616"/>
    </row>
    <row r="391" spans="2:2" s="291" customFormat="1">
      <c r="B391" s="1616"/>
    </row>
    <row r="392" spans="2:2" s="291" customFormat="1">
      <c r="B392" s="1616"/>
    </row>
    <row r="393" spans="2:2" s="291" customFormat="1">
      <c r="B393" s="1616"/>
    </row>
    <row r="394" spans="2:2" s="291" customFormat="1">
      <c r="B394" s="1616"/>
    </row>
    <row r="395" spans="2:2" s="291" customFormat="1">
      <c r="B395" s="1616"/>
    </row>
    <row r="396" spans="2:2" s="291" customFormat="1">
      <c r="B396" s="1616"/>
    </row>
    <row r="397" spans="2:2" s="291" customFormat="1">
      <c r="B397" s="1616"/>
    </row>
    <row r="398" spans="2:2" s="291" customFormat="1">
      <c r="B398" s="1616"/>
    </row>
    <row r="399" spans="2:2" s="291" customFormat="1">
      <c r="B399" s="1616"/>
    </row>
    <row r="400" spans="2:2" s="291" customFormat="1">
      <c r="B400" s="1616"/>
    </row>
    <row r="401" spans="2:2" s="291" customFormat="1">
      <c r="B401" s="1616"/>
    </row>
    <row r="402" spans="2:2" s="291" customFormat="1">
      <c r="B402" s="1616"/>
    </row>
    <row r="403" spans="2:2" s="291" customFormat="1">
      <c r="B403" s="1616"/>
    </row>
    <row r="404" spans="2:2" s="291" customFormat="1">
      <c r="B404" s="1616"/>
    </row>
    <row r="405" spans="2:2" s="291" customFormat="1">
      <c r="B405" s="1616"/>
    </row>
    <row r="406" spans="2:2" s="291" customFormat="1">
      <c r="B406" s="1616"/>
    </row>
    <row r="407" spans="2:2" s="291" customFormat="1">
      <c r="B407" s="1616"/>
    </row>
    <row r="408" spans="2:2" s="291" customFormat="1">
      <c r="B408" s="1616"/>
    </row>
    <row r="409" spans="2:2" s="291" customFormat="1">
      <c r="B409" s="1616"/>
    </row>
    <row r="410" spans="2:2" s="291" customFormat="1">
      <c r="B410" s="1616"/>
    </row>
    <row r="411" spans="2:2" s="291" customFormat="1">
      <c r="B411" s="1616"/>
    </row>
    <row r="412" spans="2:2" s="291" customFormat="1">
      <c r="B412" s="1616"/>
    </row>
    <row r="413" spans="2:2" s="291" customFormat="1">
      <c r="B413" s="1616"/>
    </row>
    <row r="414" spans="2:2" s="291" customFormat="1">
      <c r="B414" s="1616"/>
    </row>
    <row r="415" spans="2:2" s="291" customFormat="1">
      <c r="B415" s="1616"/>
    </row>
    <row r="416" spans="2:2" s="291" customFormat="1">
      <c r="B416" s="1616"/>
    </row>
    <row r="417" spans="2:2" s="291" customFormat="1">
      <c r="B417" s="1616"/>
    </row>
    <row r="418" spans="2:2" s="291" customFormat="1">
      <c r="B418" s="1616"/>
    </row>
    <row r="419" spans="2:2" s="291" customFormat="1">
      <c r="B419" s="1616"/>
    </row>
    <row r="420" spans="2:2" s="291" customFormat="1">
      <c r="B420" s="1616"/>
    </row>
    <row r="421" spans="2:2" s="291" customFormat="1">
      <c r="B421" s="1616"/>
    </row>
    <row r="422" spans="2:2" s="291" customFormat="1">
      <c r="B422" s="1616"/>
    </row>
    <row r="423" spans="2:2" s="291" customFormat="1">
      <c r="B423" s="1616"/>
    </row>
    <row r="424" spans="2:2" s="291" customFormat="1">
      <c r="B424" s="1616"/>
    </row>
    <row r="425" spans="2:2" s="291" customFormat="1">
      <c r="B425" s="1616"/>
    </row>
    <row r="426" spans="2:2" s="291" customFormat="1">
      <c r="B426" s="1616"/>
    </row>
    <row r="427" spans="2:2" s="291" customFormat="1">
      <c r="B427" s="1616"/>
    </row>
    <row r="428" spans="2:2" s="291" customFormat="1">
      <c r="B428" s="1616"/>
    </row>
    <row r="429" spans="2:2" s="291" customFormat="1">
      <c r="B429" s="1616"/>
    </row>
    <row r="430" spans="2:2" s="291" customFormat="1">
      <c r="B430" s="1616"/>
    </row>
    <row r="431" spans="2:2" s="291" customFormat="1">
      <c r="B431" s="1616"/>
    </row>
    <row r="432" spans="2:2" s="291" customFormat="1">
      <c r="B432" s="1616"/>
    </row>
    <row r="433" spans="2:2" s="291" customFormat="1">
      <c r="B433" s="1616"/>
    </row>
    <row r="434" spans="2:2" s="291" customFormat="1">
      <c r="B434" s="1616"/>
    </row>
    <row r="435" spans="2:2" s="291" customFormat="1">
      <c r="B435" s="1616"/>
    </row>
    <row r="436" spans="2:2" s="291" customFormat="1">
      <c r="B436" s="1616"/>
    </row>
    <row r="437" spans="2:2" s="291" customFormat="1">
      <c r="B437" s="1616"/>
    </row>
    <row r="438" spans="2:2" s="291" customFormat="1">
      <c r="B438" s="1616"/>
    </row>
    <row r="439" spans="2:2" s="291" customFormat="1">
      <c r="B439" s="1616"/>
    </row>
    <row r="440" spans="2:2" s="291" customFormat="1">
      <c r="B440" s="1616"/>
    </row>
    <row r="441" spans="2:2" s="291" customFormat="1">
      <c r="B441" s="1616"/>
    </row>
    <row r="442" spans="2:2" s="291" customFormat="1">
      <c r="B442" s="1616"/>
    </row>
    <row r="443" spans="2:2" s="291" customFormat="1">
      <c r="B443" s="1616"/>
    </row>
    <row r="444" spans="2:2" s="291" customFormat="1">
      <c r="B444" s="1616"/>
    </row>
    <row r="445" spans="2:2" s="291" customFormat="1">
      <c r="B445" s="1616"/>
    </row>
    <row r="446" spans="2:2" s="291" customFormat="1">
      <c r="B446" s="1616"/>
    </row>
    <row r="447" spans="2:2" s="291" customFormat="1">
      <c r="B447" s="1616"/>
    </row>
    <row r="448" spans="2:2" s="291" customFormat="1">
      <c r="B448" s="1616"/>
    </row>
    <row r="449" spans="2:2" s="291" customFormat="1">
      <c r="B449" s="1616"/>
    </row>
    <row r="450" spans="2:2" s="291" customFormat="1">
      <c r="B450" s="1616"/>
    </row>
    <row r="451" spans="2:2" s="291" customFormat="1">
      <c r="B451" s="1616"/>
    </row>
    <row r="452" spans="2:2" s="291" customFormat="1">
      <c r="B452" s="1616"/>
    </row>
    <row r="453" spans="2:2" s="291" customFormat="1">
      <c r="B453" s="1616"/>
    </row>
    <row r="454" spans="2:2" s="291" customFormat="1">
      <c r="B454" s="1616"/>
    </row>
    <row r="455" spans="2:2" s="291" customFormat="1">
      <c r="B455" s="1616"/>
    </row>
    <row r="456" spans="2:2" s="291" customFormat="1">
      <c r="B456" s="1616"/>
    </row>
    <row r="457" spans="2:2" s="291" customFormat="1">
      <c r="B457" s="1616"/>
    </row>
    <row r="458" spans="2:2" s="291" customFormat="1">
      <c r="B458" s="1616"/>
    </row>
    <row r="459" spans="2:2" s="291" customFormat="1">
      <c r="B459" s="1616"/>
    </row>
    <row r="460" spans="2:2" s="291" customFormat="1">
      <c r="B460" s="1616"/>
    </row>
    <row r="461" spans="2:2" s="291" customFormat="1">
      <c r="B461" s="1616"/>
    </row>
    <row r="462" spans="2:2" s="291" customFormat="1">
      <c r="B462" s="1616"/>
    </row>
    <row r="463" spans="2:2" s="291" customFormat="1">
      <c r="B463" s="1616"/>
    </row>
    <row r="464" spans="2:2" s="291" customFormat="1">
      <c r="B464" s="1616"/>
    </row>
    <row r="465" spans="2:2" s="291" customFormat="1">
      <c r="B465" s="1616"/>
    </row>
    <row r="466" spans="2:2" s="291" customFormat="1">
      <c r="B466" s="1616"/>
    </row>
    <row r="467" spans="2:2" s="291" customFormat="1">
      <c r="B467" s="1616"/>
    </row>
    <row r="468" spans="2:2" s="291" customFormat="1">
      <c r="B468" s="1616"/>
    </row>
    <row r="469" spans="2:2" s="291" customFormat="1">
      <c r="B469" s="1616"/>
    </row>
    <row r="470" spans="2:2" s="291" customFormat="1">
      <c r="B470" s="1616"/>
    </row>
    <row r="471" spans="2:2" s="291" customFormat="1">
      <c r="B471" s="1616"/>
    </row>
    <row r="472" spans="2:2" s="291" customFormat="1">
      <c r="B472" s="1616"/>
    </row>
    <row r="473" spans="2:2" s="291" customFormat="1">
      <c r="B473" s="1616"/>
    </row>
    <row r="474" spans="2:2" s="291" customFormat="1">
      <c r="B474" s="1616"/>
    </row>
    <row r="475" spans="2:2" s="291" customFormat="1">
      <c r="B475" s="1616"/>
    </row>
    <row r="476" spans="2:2" s="291" customFormat="1">
      <c r="B476" s="1616"/>
    </row>
    <row r="477" spans="2:2" s="291" customFormat="1">
      <c r="B477" s="1616"/>
    </row>
    <row r="478" spans="2:2" s="291" customFormat="1">
      <c r="B478" s="1616"/>
    </row>
    <row r="479" spans="2:2" s="291" customFormat="1">
      <c r="B479" s="1616"/>
    </row>
    <row r="480" spans="2:2" s="291" customFormat="1">
      <c r="B480" s="1616"/>
    </row>
    <row r="481" spans="2:2" s="291" customFormat="1">
      <c r="B481" s="1616"/>
    </row>
    <row r="482" spans="2:2" s="291" customFormat="1">
      <c r="B482" s="1616"/>
    </row>
    <row r="483" spans="2:2" s="291" customFormat="1">
      <c r="B483" s="1616"/>
    </row>
    <row r="484" spans="2:2" s="291" customFormat="1">
      <c r="B484" s="1616"/>
    </row>
    <row r="485" spans="2:2" s="291" customFormat="1">
      <c r="B485" s="1616"/>
    </row>
    <row r="486" spans="2:2" s="291" customFormat="1">
      <c r="B486" s="1616"/>
    </row>
    <row r="487" spans="2:2" s="291" customFormat="1">
      <c r="B487" s="1616"/>
    </row>
    <row r="488" spans="2:2" s="291" customFormat="1">
      <c r="B488" s="1616"/>
    </row>
    <row r="489" spans="2:2" s="291" customFormat="1">
      <c r="B489" s="1616"/>
    </row>
    <row r="490" spans="2:2" s="291" customFormat="1">
      <c r="B490" s="1616"/>
    </row>
    <row r="491" spans="2:2" s="291" customFormat="1">
      <c r="B491" s="1616"/>
    </row>
    <row r="492" spans="2:2" s="291" customFormat="1">
      <c r="B492" s="1616"/>
    </row>
    <row r="493" spans="2:2" s="291" customFormat="1">
      <c r="B493" s="1616"/>
    </row>
    <row r="494" spans="2:2" s="291" customFormat="1">
      <c r="B494" s="1616"/>
    </row>
    <row r="495" spans="2:2" s="291" customFormat="1">
      <c r="B495" s="1616"/>
    </row>
    <row r="496" spans="2:2" s="291" customFormat="1">
      <c r="B496" s="1616"/>
    </row>
    <row r="497" spans="2:2" s="291" customFormat="1">
      <c r="B497" s="1616"/>
    </row>
    <row r="498" spans="2:2" s="291" customFormat="1">
      <c r="B498" s="1616"/>
    </row>
    <row r="499" spans="2:2" s="291" customFormat="1">
      <c r="B499" s="1616"/>
    </row>
    <row r="500" spans="2:2" s="291" customFormat="1">
      <c r="B500" s="1616"/>
    </row>
    <row r="501" spans="2:2" s="291" customFormat="1">
      <c r="B501" s="1616"/>
    </row>
    <row r="502" spans="2:2" s="291" customFormat="1">
      <c r="B502" s="1616"/>
    </row>
    <row r="503" spans="2:2" s="291" customFormat="1">
      <c r="B503" s="1616"/>
    </row>
    <row r="504" spans="2:2" s="291" customFormat="1">
      <c r="B504" s="1616"/>
    </row>
    <row r="505" spans="2:2" s="291" customFormat="1">
      <c r="B505" s="1616"/>
    </row>
    <row r="506" spans="2:2" s="291" customFormat="1">
      <c r="B506" s="1616"/>
    </row>
    <row r="507" spans="2:2" s="291" customFormat="1">
      <c r="B507" s="1616"/>
    </row>
    <row r="508" spans="2:2" s="291" customFormat="1">
      <c r="B508" s="1616"/>
    </row>
    <row r="509" spans="2:2" s="291" customFormat="1">
      <c r="B509" s="1616"/>
    </row>
    <row r="510" spans="2:2" s="291" customFormat="1">
      <c r="B510" s="1616"/>
    </row>
    <row r="511" spans="2:2" s="291" customFormat="1">
      <c r="B511" s="1616"/>
    </row>
    <row r="512" spans="2:2" s="291" customFormat="1">
      <c r="B512" s="1616"/>
    </row>
    <row r="513" spans="2:2" s="291" customFormat="1">
      <c r="B513" s="1616"/>
    </row>
    <row r="514" spans="2:2" s="291" customFormat="1">
      <c r="B514" s="1616"/>
    </row>
    <row r="515" spans="2:2" s="291" customFormat="1">
      <c r="B515" s="1616"/>
    </row>
    <row r="516" spans="2:2" s="291" customFormat="1">
      <c r="B516" s="1616"/>
    </row>
    <row r="517" spans="2:2" s="291" customFormat="1">
      <c r="B517" s="1616"/>
    </row>
    <row r="518" spans="2:2" s="291" customFormat="1">
      <c r="B518" s="1616"/>
    </row>
    <row r="519" spans="2:2" s="291" customFormat="1">
      <c r="B519" s="1616"/>
    </row>
    <row r="520" spans="2:2" s="291" customFormat="1">
      <c r="B520" s="1616"/>
    </row>
    <row r="521" spans="2:2" s="291" customFormat="1">
      <c r="B521" s="1616"/>
    </row>
    <row r="522" spans="2:2" s="291" customFormat="1">
      <c r="B522" s="1616"/>
    </row>
    <row r="523" spans="2:2" s="291" customFormat="1">
      <c r="B523" s="1616"/>
    </row>
    <row r="524" spans="2:2" s="291" customFormat="1">
      <c r="B524" s="1616"/>
    </row>
    <row r="525" spans="2:2" s="291" customFormat="1">
      <c r="B525" s="1616"/>
    </row>
    <row r="526" spans="2:2" s="291" customFormat="1">
      <c r="B526" s="1616"/>
    </row>
    <row r="527" spans="2:2" s="291" customFormat="1">
      <c r="B527" s="1616"/>
    </row>
    <row r="528" spans="2:2" s="291" customFormat="1">
      <c r="B528" s="1616"/>
    </row>
    <row r="529" spans="2:2" s="291" customFormat="1">
      <c r="B529" s="1616"/>
    </row>
    <row r="530" spans="2:2" s="291" customFormat="1">
      <c r="B530" s="1616"/>
    </row>
    <row r="531" spans="2:2" s="291" customFormat="1">
      <c r="B531" s="1616"/>
    </row>
    <row r="532" spans="2:2" s="291" customFormat="1">
      <c r="B532" s="1616"/>
    </row>
    <row r="533" spans="2:2" s="291" customFormat="1">
      <c r="B533" s="1616"/>
    </row>
    <row r="534" spans="2:2" s="291" customFormat="1">
      <c r="B534" s="1616"/>
    </row>
    <row r="535" spans="2:2" s="291" customFormat="1">
      <c r="B535" s="1616"/>
    </row>
    <row r="536" spans="2:2" s="291" customFormat="1">
      <c r="B536" s="1616"/>
    </row>
    <row r="537" spans="2:2" s="291" customFormat="1">
      <c r="B537" s="1616"/>
    </row>
    <row r="538" spans="2:2" s="291" customFormat="1">
      <c r="B538" s="1616"/>
    </row>
    <row r="539" spans="2:2" s="291" customFormat="1">
      <c r="B539" s="1616"/>
    </row>
    <row r="540" spans="2:2" s="291" customFormat="1">
      <c r="B540" s="1616"/>
    </row>
    <row r="541" spans="2:2" s="291" customFormat="1">
      <c r="B541" s="1616"/>
    </row>
    <row r="542" spans="2:2" s="291" customFormat="1">
      <c r="B542" s="1616"/>
    </row>
    <row r="543" spans="2:2" s="291" customFormat="1">
      <c r="B543" s="1616"/>
    </row>
    <row r="544" spans="2:2" s="291" customFormat="1">
      <c r="B544" s="1616"/>
    </row>
    <row r="545" spans="2:2" s="291" customFormat="1">
      <c r="B545" s="1616"/>
    </row>
    <row r="546" spans="2:2" s="291" customFormat="1">
      <c r="B546" s="1616"/>
    </row>
    <row r="547" spans="2:2" s="291" customFormat="1">
      <c r="B547" s="1616"/>
    </row>
    <row r="548" spans="2:2" s="291" customFormat="1">
      <c r="B548" s="1616"/>
    </row>
    <row r="549" spans="2:2" s="291" customFormat="1">
      <c r="B549" s="1616"/>
    </row>
    <row r="550" spans="2:2" s="291" customFormat="1">
      <c r="B550" s="1616"/>
    </row>
    <row r="551" spans="2:2" s="291" customFormat="1">
      <c r="B551" s="1616"/>
    </row>
    <row r="552" spans="2:2" s="291" customFormat="1">
      <c r="B552" s="1616"/>
    </row>
    <row r="553" spans="2:2" s="291" customFormat="1">
      <c r="B553" s="1616"/>
    </row>
    <row r="554" spans="2:2" s="291" customFormat="1">
      <c r="B554" s="1616"/>
    </row>
    <row r="555" spans="2:2" s="291" customFormat="1">
      <c r="B555" s="1616"/>
    </row>
    <row r="556" spans="2:2" s="291" customFormat="1">
      <c r="B556" s="1616"/>
    </row>
    <row r="557" spans="2:2" s="291" customFormat="1">
      <c r="B557" s="1616"/>
    </row>
    <row r="558" spans="2:2" s="291" customFormat="1">
      <c r="B558" s="1616"/>
    </row>
    <row r="559" spans="2:2" s="291" customFormat="1">
      <c r="B559" s="1616"/>
    </row>
    <row r="560" spans="2:2" s="291" customFormat="1">
      <c r="B560" s="1616"/>
    </row>
    <row r="561" spans="2:2" s="291" customFormat="1">
      <c r="B561" s="1616"/>
    </row>
    <row r="562" spans="2:2" s="291" customFormat="1">
      <c r="B562" s="1616"/>
    </row>
    <row r="563" spans="2:2" s="291" customFormat="1">
      <c r="B563" s="1616"/>
    </row>
    <row r="564" spans="2:2" s="291" customFormat="1">
      <c r="B564" s="1616"/>
    </row>
    <row r="565" spans="2:2" s="291" customFormat="1">
      <c r="B565" s="1616"/>
    </row>
    <row r="566" spans="2:2" s="291" customFormat="1">
      <c r="B566" s="1616"/>
    </row>
    <row r="567" spans="2:2" s="291" customFormat="1">
      <c r="B567" s="1616"/>
    </row>
    <row r="568" spans="2:2" s="291" customFormat="1">
      <c r="B568" s="1616"/>
    </row>
    <row r="569" spans="2:2" s="291" customFormat="1">
      <c r="B569" s="1616"/>
    </row>
    <row r="570" spans="2:2" s="291" customFormat="1">
      <c r="B570" s="1616"/>
    </row>
    <row r="571" spans="2:2" s="291" customFormat="1">
      <c r="B571" s="1616"/>
    </row>
    <row r="572" spans="2:2" s="291" customFormat="1">
      <c r="B572" s="1616"/>
    </row>
    <row r="573" spans="2:2" s="291" customFormat="1">
      <c r="B573" s="1616"/>
    </row>
    <row r="574" spans="2:2" s="291" customFormat="1">
      <c r="B574" s="1616"/>
    </row>
    <row r="575" spans="2:2" s="291" customFormat="1">
      <c r="B575" s="1616"/>
    </row>
    <row r="576" spans="2:2" s="291" customFormat="1">
      <c r="B576" s="1616"/>
    </row>
    <row r="577" spans="2:2" s="291" customFormat="1">
      <c r="B577" s="1616"/>
    </row>
    <row r="578" spans="2:2" s="291" customFormat="1">
      <c r="B578" s="1616"/>
    </row>
    <row r="579" spans="2:2" s="291" customFormat="1">
      <c r="B579" s="1616"/>
    </row>
    <row r="580" spans="2:2" s="291" customFormat="1">
      <c r="B580" s="1616"/>
    </row>
    <row r="581" spans="2:2" s="291" customFormat="1">
      <c r="B581" s="1616"/>
    </row>
    <row r="582" spans="2:2" s="291" customFormat="1">
      <c r="B582" s="1616"/>
    </row>
    <row r="583" spans="2:2" s="291" customFormat="1">
      <c r="B583" s="1616"/>
    </row>
    <row r="584" spans="2:2" s="291" customFormat="1">
      <c r="B584" s="1616"/>
    </row>
    <row r="585" spans="2:2" s="291" customFormat="1">
      <c r="B585" s="1616"/>
    </row>
    <row r="586" spans="2:2" s="291" customFormat="1">
      <c r="B586" s="1616"/>
    </row>
    <row r="587" spans="2:2" s="291" customFormat="1">
      <c r="B587" s="1616"/>
    </row>
    <row r="588" spans="2:2" s="291" customFormat="1">
      <c r="B588" s="1616"/>
    </row>
    <row r="589" spans="2:2" s="291" customFormat="1">
      <c r="B589" s="1616"/>
    </row>
    <row r="590" spans="2:2" s="291" customFormat="1">
      <c r="B590" s="1616"/>
    </row>
    <row r="591" spans="2:2" s="291" customFormat="1">
      <c r="B591" s="1616"/>
    </row>
    <row r="592" spans="2:2" s="291" customFormat="1">
      <c r="B592" s="1616"/>
    </row>
    <row r="593" spans="2:2" s="291" customFormat="1">
      <c r="B593" s="1616"/>
    </row>
    <row r="594" spans="2:2" s="291" customFormat="1">
      <c r="B594" s="1616"/>
    </row>
    <row r="595" spans="2:2" s="291" customFormat="1">
      <c r="B595" s="1616"/>
    </row>
  </sheetData>
  <mergeCells count="29">
    <mergeCell ref="O45:Q45"/>
    <mergeCell ref="O39:Q39"/>
    <mergeCell ref="C45:J45"/>
    <mergeCell ref="C44:J44"/>
    <mergeCell ref="C33:J33"/>
    <mergeCell ref="O40:Q40"/>
    <mergeCell ref="O42:S42"/>
    <mergeCell ref="O43:Q43"/>
    <mergeCell ref="P23:S23"/>
    <mergeCell ref="P16:S16"/>
    <mergeCell ref="P21:S21"/>
    <mergeCell ref="P22:R22"/>
    <mergeCell ref="N12:S12"/>
    <mergeCell ref="P24:R24"/>
    <mergeCell ref="O11:S11"/>
    <mergeCell ref="O46:Q46"/>
    <mergeCell ref="F17:J17"/>
    <mergeCell ref="P17:S17"/>
    <mergeCell ref="C34:J34"/>
    <mergeCell ref="O37:T37"/>
    <mergeCell ref="O38:Q38"/>
    <mergeCell ref="F15:J15"/>
    <mergeCell ref="O41:Q41"/>
    <mergeCell ref="E16:K16"/>
    <mergeCell ref="O44:Q44"/>
    <mergeCell ref="C32:J32"/>
    <mergeCell ref="M31:T36"/>
    <mergeCell ref="P18:S20"/>
    <mergeCell ref="Q29:S29"/>
  </mergeCells>
  <pageMargins left="0" right="0" top="0.78740157480314998" bottom="0.78740157480314998" header="0" footer="0"/>
  <pageSetup paperSize="143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11"/>
  <dimension ref="A1:N88"/>
  <sheetViews>
    <sheetView zoomScale="150" zoomScaleNormal="150" workbookViewId="0">
      <pane xSplit="1" ySplit="5" topLeftCell="F48" activePane="bottomRight" state="frozen"/>
      <selection pane="topRight" activeCell="C1" sqref="C1"/>
      <selection pane="bottomLeft" activeCell="A6" sqref="A6"/>
      <selection pane="bottomRight" activeCell="G57" sqref="G57"/>
    </sheetView>
  </sheetViews>
  <sheetFormatPr defaultColWidth="9.140625" defaultRowHeight="12.75"/>
  <cols>
    <col min="1" max="1" width="8.85546875" style="642" customWidth="1"/>
    <col min="2" max="2" width="12.85546875" style="642" customWidth="1"/>
    <col min="3" max="3" width="13.5703125" style="642" customWidth="1"/>
    <col min="4" max="4" width="13" style="642" customWidth="1"/>
    <col min="5" max="5" width="14" style="642" customWidth="1"/>
    <col min="6" max="6" width="14.140625" style="642" customWidth="1"/>
    <col min="7" max="7" width="15.28515625" style="642" customWidth="1"/>
    <col min="8" max="8" width="14.85546875" style="642" customWidth="1"/>
    <col min="9" max="9" width="15.85546875" style="642" customWidth="1"/>
    <col min="10" max="10" width="16" style="642" customWidth="1"/>
    <col min="11" max="11" width="15.28515625" style="642" customWidth="1"/>
    <col min="12" max="16384" width="9.140625" style="642"/>
  </cols>
  <sheetData>
    <row r="1" spans="1:13" s="256" customFormat="1" ht="15.75">
      <c r="B1" s="783"/>
      <c r="C1" s="783"/>
      <c r="D1" s="1886" t="s">
        <v>1266</v>
      </c>
      <c r="E1" s="1886"/>
      <c r="F1" s="1886"/>
      <c r="G1" s="1889" t="s">
        <v>677</v>
      </c>
      <c r="H1" s="1889"/>
      <c r="I1" s="1889"/>
      <c r="J1" s="783"/>
      <c r="K1" s="757" t="s">
        <v>265</v>
      </c>
    </row>
    <row r="2" spans="1:13" s="259" customFormat="1" ht="12">
      <c r="F2" s="687"/>
      <c r="K2" s="687" t="s">
        <v>31</v>
      </c>
    </row>
    <row r="3" spans="1:13" s="259" customFormat="1" ht="15.75" customHeight="1">
      <c r="A3" s="1797" t="s">
        <v>1506</v>
      </c>
      <c r="B3" s="1785" t="s">
        <v>742</v>
      </c>
      <c r="C3" s="1785" t="s">
        <v>2013</v>
      </c>
      <c r="D3" s="1830" t="s">
        <v>1311</v>
      </c>
      <c r="E3" s="1831"/>
      <c r="F3" s="1832"/>
      <c r="G3" s="1830" t="s">
        <v>194</v>
      </c>
      <c r="H3" s="1831"/>
      <c r="I3" s="1832"/>
      <c r="J3" s="1785" t="s">
        <v>1209</v>
      </c>
      <c r="K3" s="1785" t="s">
        <v>1430</v>
      </c>
    </row>
    <row r="4" spans="1:13" s="259" customFormat="1" ht="15" customHeight="1">
      <c r="A4" s="1797"/>
      <c r="B4" s="1787"/>
      <c r="C4" s="1787"/>
      <c r="D4" s="1080" t="s">
        <v>627</v>
      </c>
      <c r="E4" s="1080" t="s">
        <v>736</v>
      </c>
      <c r="F4" s="1079" t="s">
        <v>630</v>
      </c>
      <c r="G4" s="1080" t="s">
        <v>627</v>
      </c>
      <c r="H4" s="1080" t="s">
        <v>736</v>
      </c>
      <c r="I4" s="1079" t="s">
        <v>735</v>
      </c>
      <c r="J4" s="1787"/>
      <c r="K4" s="1787"/>
    </row>
    <row r="5" spans="1:13" s="785" customFormat="1" ht="11.25" customHeight="1">
      <c r="A5" s="1797"/>
      <c r="B5" s="514">
        <v>1</v>
      </c>
      <c r="C5" s="514">
        <v>2</v>
      </c>
      <c r="D5" s="784">
        <v>3</v>
      </c>
      <c r="E5" s="762">
        <v>4</v>
      </c>
      <c r="F5" s="784" t="s">
        <v>266</v>
      </c>
      <c r="G5" s="514">
        <v>6</v>
      </c>
      <c r="H5" s="514">
        <v>7</v>
      </c>
      <c r="I5" s="514" t="s">
        <v>269</v>
      </c>
      <c r="J5" s="762">
        <v>9</v>
      </c>
      <c r="K5" s="762" t="s">
        <v>267</v>
      </c>
    </row>
    <row r="6" spans="1:13" ht="12.2" customHeight="1">
      <c r="A6" s="212" t="s">
        <v>549</v>
      </c>
      <c r="B6" s="673">
        <v>92944.2</v>
      </c>
      <c r="C6" s="78">
        <v>18.88</v>
      </c>
      <c r="D6" s="673">
        <v>1580</v>
      </c>
      <c r="E6" s="78">
        <v>445.66</v>
      </c>
      <c r="F6" s="78">
        <f t="shared" ref="F6:F9" si="0">D6+E6</f>
        <v>2025.66</v>
      </c>
      <c r="G6" s="673">
        <v>8542</v>
      </c>
      <c r="H6" s="78">
        <v>149683.78</v>
      </c>
      <c r="I6" s="78">
        <f t="shared" ref="I6:I9" si="1">G6+H6</f>
        <v>158225.78</v>
      </c>
      <c r="J6" s="78">
        <v>49112.2</v>
      </c>
      <c r="K6" s="78">
        <f t="shared" ref="K6:K9" si="2">B6+C6+F6+I6+J6</f>
        <v>302326.72000000003</v>
      </c>
      <c r="M6" s="786"/>
    </row>
    <row r="7" spans="1:13" ht="12.2" customHeight="1">
      <c r="A7" s="212" t="s">
        <v>102</v>
      </c>
      <c r="B7" s="673">
        <v>107829.2</v>
      </c>
      <c r="C7" s="78">
        <v>15.42</v>
      </c>
      <c r="D7" s="673">
        <v>2050.9</v>
      </c>
      <c r="E7" s="78">
        <v>871.8</v>
      </c>
      <c r="F7" s="78">
        <f t="shared" si="0"/>
        <v>2922.7</v>
      </c>
      <c r="G7" s="673">
        <v>8889.1</v>
      </c>
      <c r="H7" s="78">
        <v>175104.43</v>
      </c>
      <c r="I7" s="78">
        <f t="shared" si="1"/>
        <v>183993.53</v>
      </c>
      <c r="J7" s="78">
        <v>53138.5</v>
      </c>
      <c r="K7" s="78">
        <f t="shared" si="2"/>
        <v>347899.35</v>
      </c>
      <c r="M7" s="786"/>
    </row>
    <row r="8" spans="1:13" ht="12.2" customHeight="1">
      <c r="A8" s="212" t="s">
        <v>98</v>
      </c>
      <c r="B8" s="673">
        <v>115781.9</v>
      </c>
      <c r="C8" s="78">
        <v>12.31</v>
      </c>
      <c r="D8" s="673">
        <v>1762.9</v>
      </c>
      <c r="E8" s="78">
        <v>855.33</v>
      </c>
      <c r="F8" s="78">
        <f t="shared" si="0"/>
        <v>2618.23</v>
      </c>
      <c r="G8" s="673">
        <v>11081.4</v>
      </c>
      <c r="H8" s="78">
        <v>215758.99</v>
      </c>
      <c r="I8" s="78">
        <f t="shared" si="1"/>
        <v>226840.38999999998</v>
      </c>
      <c r="J8" s="78">
        <v>68779.06</v>
      </c>
      <c r="K8" s="78">
        <f t="shared" si="2"/>
        <v>414031.88999999996</v>
      </c>
      <c r="M8" s="786"/>
    </row>
    <row r="9" spans="1:13" ht="12.2" customHeight="1">
      <c r="A9" s="456" t="s">
        <v>241</v>
      </c>
      <c r="B9" s="674">
        <v>137011.5</v>
      </c>
      <c r="C9" s="432">
        <v>9.4</v>
      </c>
      <c r="D9" s="674">
        <v>2162.1</v>
      </c>
      <c r="E9" s="432">
        <v>2320.9</v>
      </c>
      <c r="F9" s="432">
        <f t="shared" si="0"/>
        <v>4483</v>
      </c>
      <c r="G9" s="674">
        <v>14837.8</v>
      </c>
      <c r="H9" s="432">
        <v>273618.90000000002</v>
      </c>
      <c r="I9" s="432">
        <f t="shared" si="1"/>
        <v>288456.7</v>
      </c>
      <c r="J9" s="432">
        <v>83570.100000000006</v>
      </c>
      <c r="K9" s="432">
        <f t="shared" si="2"/>
        <v>513530.69999999995</v>
      </c>
      <c r="M9" s="786"/>
    </row>
    <row r="10" spans="1:13" ht="12.2" customHeight="1">
      <c r="A10" s="212" t="s">
        <v>1142</v>
      </c>
      <c r="B10" s="673">
        <v>155823.70000000001</v>
      </c>
      <c r="C10" s="78">
        <v>5.8</v>
      </c>
      <c r="D10" s="673">
        <v>2533.9</v>
      </c>
      <c r="E10" s="78">
        <v>3231.1</v>
      </c>
      <c r="F10" s="78">
        <v>5765</v>
      </c>
      <c r="G10" s="673">
        <v>12790.5</v>
      </c>
      <c r="H10" s="78">
        <v>334233.59999999998</v>
      </c>
      <c r="I10" s="78">
        <v>347024.1</v>
      </c>
      <c r="J10" s="78">
        <v>92021.6</v>
      </c>
      <c r="K10" s="78">
        <v>600640.19999999995</v>
      </c>
      <c r="M10" s="786"/>
    </row>
    <row r="11" spans="1:13" s="539" customFormat="1" ht="12.2" customHeight="1">
      <c r="A11" s="593" t="s">
        <v>1333</v>
      </c>
      <c r="B11" s="674">
        <v>174978.3</v>
      </c>
      <c r="C11" s="427">
        <v>2.2999999999999998</v>
      </c>
      <c r="D11" s="674">
        <v>3450</v>
      </c>
      <c r="E11" s="427">
        <v>5171.6000000000004</v>
      </c>
      <c r="F11" s="427">
        <v>8621.6</v>
      </c>
      <c r="G11" s="674">
        <v>5968.1</v>
      </c>
      <c r="H11" s="427">
        <v>371817.6</v>
      </c>
      <c r="I11" s="432">
        <v>377785.69999999995</v>
      </c>
      <c r="J11" s="427">
        <v>100452.9</v>
      </c>
      <c r="K11" s="432">
        <v>661840.79999999993</v>
      </c>
      <c r="M11" s="786"/>
    </row>
    <row r="12" spans="1:13" s="536" customFormat="1" ht="12.2" customHeight="1">
      <c r="A12" s="579" t="s">
        <v>1664</v>
      </c>
      <c r="B12" s="673">
        <v>194106.4</v>
      </c>
      <c r="C12" s="673">
        <v>0</v>
      </c>
      <c r="D12" s="673">
        <v>5184.7</v>
      </c>
      <c r="E12" s="673">
        <v>5839.1</v>
      </c>
      <c r="F12" s="673">
        <v>11023.8</v>
      </c>
      <c r="G12" s="673">
        <v>7468.8</v>
      </c>
      <c r="H12" s="673">
        <v>419702.1</v>
      </c>
      <c r="I12" s="673">
        <v>427170.89999999997</v>
      </c>
      <c r="J12" s="673">
        <v>112230.3</v>
      </c>
      <c r="K12" s="673">
        <v>744531.4</v>
      </c>
      <c r="L12" s="539"/>
      <c r="M12" s="786"/>
    </row>
    <row r="13" spans="1:13" s="536" customFormat="1" ht="12.2" customHeight="1">
      <c r="A13" s="593" t="s">
        <v>1754</v>
      </c>
      <c r="B13" s="672">
        <v>215482.2</v>
      </c>
      <c r="C13" s="672">
        <v>0</v>
      </c>
      <c r="D13" s="672">
        <v>5215.7</v>
      </c>
      <c r="E13" s="672">
        <v>7348.3</v>
      </c>
      <c r="F13" s="672">
        <v>12564</v>
      </c>
      <c r="G13" s="672">
        <v>11313.3</v>
      </c>
      <c r="H13" s="672">
        <v>475125.2</v>
      </c>
      <c r="I13" s="672">
        <v>486438.5</v>
      </c>
      <c r="J13" s="672">
        <v>124669.9</v>
      </c>
      <c r="K13" s="672">
        <v>839154.6</v>
      </c>
      <c r="M13" s="793"/>
    </row>
    <row r="14" spans="1:13" s="536" customFormat="1" ht="12.2" customHeight="1">
      <c r="A14" s="738" t="s">
        <v>1954</v>
      </c>
      <c r="B14" s="820">
        <v>252862.6</v>
      </c>
      <c r="C14" s="820">
        <v>0</v>
      </c>
      <c r="D14" s="820">
        <v>6541.6</v>
      </c>
      <c r="E14" s="820">
        <v>9916</v>
      </c>
      <c r="F14" s="820">
        <v>16457.599999999999</v>
      </c>
      <c r="G14" s="820">
        <v>9139.7000000000007</v>
      </c>
      <c r="H14" s="820">
        <v>565645.19999999995</v>
      </c>
      <c r="I14" s="820">
        <v>574784.89999999991</v>
      </c>
      <c r="J14" s="820">
        <v>135861.70000000001</v>
      </c>
      <c r="K14" s="820">
        <v>979966.79999999981</v>
      </c>
      <c r="M14" s="793"/>
    </row>
    <row r="15" spans="1:13" s="536" customFormat="1" ht="12.2" customHeight="1">
      <c r="A15" s="1595" t="s">
        <v>2046</v>
      </c>
      <c r="B15" s="823">
        <f>B27</f>
        <v>288377.59999999998</v>
      </c>
      <c r="C15" s="823">
        <f t="shared" ref="C15:K15" si="3">C27</f>
        <v>0</v>
      </c>
      <c r="D15" s="823">
        <f t="shared" si="3"/>
        <v>7732.4</v>
      </c>
      <c r="E15" s="823">
        <f t="shared" si="3"/>
        <v>14235.7</v>
      </c>
      <c r="F15" s="823">
        <f t="shared" si="3"/>
        <v>21968.1</v>
      </c>
      <c r="G15" s="823">
        <f t="shared" si="3"/>
        <v>9154.4</v>
      </c>
      <c r="H15" s="823">
        <f t="shared" si="3"/>
        <v>651090.5</v>
      </c>
      <c r="I15" s="823">
        <f t="shared" si="3"/>
        <v>660244.9</v>
      </c>
      <c r="J15" s="823">
        <f t="shared" si="3"/>
        <v>159057.29999999999</v>
      </c>
      <c r="K15" s="823">
        <f t="shared" si="3"/>
        <v>1129647.8999999999</v>
      </c>
      <c r="M15" s="793"/>
    </row>
    <row r="16" spans="1:13" s="536" customFormat="1" ht="12.2" customHeight="1">
      <c r="A16" s="1051" t="s">
        <v>818</v>
      </c>
      <c r="B16" s="678">
        <v>258856.3</v>
      </c>
      <c r="C16" s="678">
        <v>0</v>
      </c>
      <c r="D16" s="678">
        <v>6653.7</v>
      </c>
      <c r="E16" s="678">
        <v>10663.7</v>
      </c>
      <c r="F16" s="343">
        <f t="shared" ref="F16:F51" si="4">D16+E16</f>
        <v>17317.400000000001</v>
      </c>
      <c r="G16" s="678">
        <v>8989.2999999999993</v>
      </c>
      <c r="H16" s="678">
        <v>558983.69999999995</v>
      </c>
      <c r="I16" s="343">
        <f t="shared" ref="I16:I51" si="5">G16+H16</f>
        <v>567973</v>
      </c>
      <c r="J16" s="678">
        <v>136409.5</v>
      </c>
      <c r="K16" s="343">
        <f t="shared" ref="K16:K39" si="6">B16+C16+F16+I16+J16</f>
        <v>980556.2</v>
      </c>
      <c r="M16" s="793"/>
    </row>
    <row r="17" spans="1:14" s="536" customFormat="1" ht="12.2" customHeight="1">
      <c r="A17" s="484" t="s">
        <v>819</v>
      </c>
      <c r="B17" s="672">
        <v>259794.4</v>
      </c>
      <c r="C17" s="672">
        <v>0</v>
      </c>
      <c r="D17" s="672">
        <v>6872.4</v>
      </c>
      <c r="E17" s="672">
        <v>10396.799999999999</v>
      </c>
      <c r="F17" s="427">
        <f t="shared" si="4"/>
        <v>17269.199999999997</v>
      </c>
      <c r="G17" s="672">
        <v>8879.2000000000007</v>
      </c>
      <c r="H17" s="672">
        <v>565938.69999999995</v>
      </c>
      <c r="I17" s="427">
        <f t="shared" si="5"/>
        <v>574817.89999999991</v>
      </c>
      <c r="J17" s="672">
        <v>136672.9</v>
      </c>
      <c r="K17" s="427">
        <f t="shared" si="6"/>
        <v>988554.39999999991</v>
      </c>
      <c r="M17" s="793"/>
    </row>
    <row r="18" spans="1:14" s="536" customFormat="1" ht="12.2" customHeight="1">
      <c r="A18" s="1051" t="s">
        <v>813</v>
      </c>
      <c r="B18" s="678">
        <v>263999.40000000002</v>
      </c>
      <c r="C18" s="678">
        <v>0</v>
      </c>
      <c r="D18" s="678">
        <v>6687</v>
      </c>
      <c r="E18" s="678">
        <v>10154.1</v>
      </c>
      <c r="F18" s="343">
        <f t="shared" si="4"/>
        <v>16841.099999999999</v>
      </c>
      <c r="G18" s="678">
        <v>8862.1</v>
      </c>
      <c r="H18" s="678">
        <v>572227.19999999995</v>
      </c>
      <c r="I18" s="343">
        <f t="shared" si="5"/>
        <v>581089.29999999993</v>
      </c>
      <c r="J18" s="678">
        <v>139332.6</v>
      </c>
      <c r="K18" s="343">
        <f t="shared" si="6"/>
        <v>1001262.3999999999</v>
      </c>
      <c r="M18" s="793"/>
    </row>
    <row r="19" spans="1:14" s="536" customFormat="1" ht="12.2" customHeight="1">
      <c r="A19" s="484" t="s">
        <v>820</v>
      </c>
      <c r="B19" s="672">
        <v>264588.79999999999</v>
      </c>
      <c r="C19" s="672">
        <v>0</v>
      </c>
      <c r="D19" s="672">
        <v>6514.7</v>
      </c>
      <c r="E19" s="672">
        <v>10154.799999999999</v>
      </c>
      <c r="F19" s="427">
        <f t="shared" si="4"/>
        <v>16669.5</v>
      </c>
      <c r="G19" s="672">
        <v>8540.6</v>
      </c>
      <c r="H19" s="672">
        <v>575676.6</v>
      </c>
      <c r="I19" s="427">
        <f t="shared" si="5"/>
        <v>584217.19999999995</v>
      </c>
      <c r="J19" s="672">
        <v>140848.5</v>
      </c>
      <c r="K19" s="427">
        <f t="shared" si="6"/>
        <v>1006324</v>
      </c>
      <c r="M19" s="793"/>
    </row>
    <row r="20" spans="1:14" s="536" customFormat="1" ht="12.2" customHeight="1">
      <c r="A20" s="1051" t="s">
        <v>821</v>
      </c>
      <c r="B20" s="678">
        <v>267623.5</v>
      </c>
      <c r="C20" s="678">
        <v>0</v>
      </c>
      <c r="D20" s="678">
        <v>6875.1</v>
      </c>
      <c r="E20" s="678">
        <v>10504.5</v>
      </c>
      <c r="F20" s="343">
        <f t="shared" si="4"/>
        <v>17379.599999999999</v>
      </c>
      <c r="G20" s="678">
        <v>8482.2000000000007</v>
      </c>
      <c r="H20" s="678">
        <v>583493.4</v>
      </c>
      <c r="I20" s="343">
        <f t="shared" si="5"/>
        <v>591975.6</v>
      </c>
      <c r="J20" s="678">
        <v>142776</v>
      </c>
      <c r="K20" s="343">
        <f t="shared" si="6"/>
        <v>1019754.7</v>
      </c>
      <c r="M20" s="793"/>
    </row>
    <row r="21" spans="1:14" s="536" customFormat="1" ht="12.2" customHeight="1">
      <c r="A21" s="484" t="s">
        <v>814</v>
      </c>
      <c r="B21" s="672">
        <v>260775.60000000003</v>
      </c>
      <c r="C21" s="672">
        <v>0</v>
      </c>
      <c r="D21" s="672">
        <v>7136.1</v>
      </c>
      <c r="E21" s="672">
        <v>12435.8</v>
      </c>
      <c r="F21" s="427">
        <f t="shared" si="4"/>
        <v>19571.900000000001</v>
      </c>
      <c r="G21" s="672">
        <v>8850.9</v>
      </c>
      <c r="H21" s="672">
        <v>601417.19999999995</v>
      </c>
      <c r="I21" s="672">
        <f t="shared" si="5"/>
        <v>610268.1</v>
      </c>
      <c r="J21" s="672">
        <v>146069.70000000001</v>
      </c>
      <c r="K21" s="427">
        <f t="shared" si="6"/>
        <v>1036685.3</v>
      </c>
      <c r="M21" s="793"/>
    </row>
    <row r="22" spans="1:14" s="536" customFormat="1" ht="12.2" customHeight="1">
      <c r="A22" s="1051" t="s">
        <v>822</v>
      </c>
      <c r="B22" s="678">
        <v>263924.5</v>
      </c>
      <c r="C22" s="678">
        <v>0</v>
      </c>
      <c r="D22" s="678">
        <v>7019.1</v>
      </c>
      <c r="E22" s="678">
        <v>12518.5</v>
      </c>
      <c r="F22" s="343">
        <f t="shared" si="4"/>
        <v>19537.599999999999</v>
      </c>
      <c r="G22" s="678">
        <v>8827.2999999999993</v>
      </c>
      <c r="H22" s="678">
        <v>602487.80000000005</v>
      </c>
      <c r="I22" s="678">
        <f t="shared" si="5"/>
        <v>611315.10000000009</v>
      </c>
      <c r="J22" s="678">
        <v>147438.20000000001</v>
      </c>
      <c r="K22" s="343">
        <f t="shared" si="6"/>
        <v>1042215.4000000001</v>
      </c>
      <c r="M22" s="793"/>
    </row>
    <row r="23" spans="1:14" s="536" customFormat="1" ht="12.2" customHeight="1">
      <c r="A23" s="484" t="s">
        <v>823</v>
      </c>
      <c r="B23" s="672">
        <v>265447.90000000002</v>
      </c>
      <c r="C23" s="672">
        <v>0</v>
      </c>
      <c r="D23" s="672">
        <v>7029.4</v>
      </c>
      <c r="E23" s="672">
        <v>12577.5</v>
      </c>
      <c r="F23" s="427">
        <f t="shared" si="4"/>
        <v>19606.900000000001</v>
      </c>
      <c r="G23" s="672">
        <v>8234.6</v>
      </c>
      <c r="H23" s="672">
        <v>609796.9</v>
      </c>
      <c r="I23" s="672">
        <f t="shared" si="5"/>
        <v>618031.5</v>
      </c>
      <c r="J23" s="426">
        <v>149253.79999999999</v>
      </c>
      <c r="K23" s="427">
        <f t="shared" si="6"/>
        <v>1052340.1000000001</v>
      </c>
      <c r="M23" s="793"/>
    </row>
    <row r="24" spans="1:14" s="536" customFormat="1" ht="12.2" customHeight="1">
      <c r="A24" s="1051" t="s">
        <v>815</v>
      </c>
      <c r="B24" s="678">
        <v>266620.5</v>
      </c>
      <c r="C24" s="678">
        <v>0</v>
      </c>
      <c r="D24" s="678">
        <v>7003.9</v>
      </c>
      <c r="E24" s="678">
        <v>12729.5</v>
      </c>
      <c r="F24" s="343">
        <f t="shared" si="4"/>
        <v>19733.400000000001</v>
      </c>
      <c r="G24" s="678">
        <v>8888.6</v>
      </c>
      <c r="H24" s="678">
        <v>619239</v>
      </c>
      <c r="I24" s="678">
        <f t="shared" si="5"/>
        <v>628127.6</v>
      </c>
      <c r="J24" s="342">
        <v>151373.9</v>
      </c>
      <c r="K24" s="343">
        <f t="shared" si="6"/>
        <v>1065855.3999999999</v>
      </c>
      <c r="M24" s="793"/>
    </row>
    <row r="25" spans="1:14" s="536" customFormat="1" ht="12.2" customHeight="1">
      <c r="A25" s="484" t="s">
        <v>824</v>
      </c>
      <c r="B25" s="672">
        <v>264924.90000000002</v>
      </c>
      <c r="C25" s="672">
        <v>0</v>
      </c>
      <c r="D25" s="672">
        <v>7402.6</v>
      </c>
      <c r="E25" s="672">
        <v>13784.7</v>
      </c>
      <c r="F25" s="427">
        <f t="shared" si="4"/>
        <v>21187.300000000003</v>
      </c>
      <c r="G25" s="672">
        <v>9067.2999999999993</v>
      </c>
      <c r="H25" s="672">
        <v>627434.6</v>
      </c>
      <c r="I25" s="672">
        <f t="shared" si="5"/>
        <v>636501.9</v>
      </c>
      <c r="J25" s="426">
        <v>153656.20000000001</v>
      </c>
      <c r="K25" s="427">
        <f t="shared" si="6"/>
        <v>1076270.3</v>
      </c>
      <c r="M25" s="793"/>
    </row>
    <row r="26" spans="1:14" s="536" customFormat="1" ht="12.2" customHeight="1">
      <c r="A26" s="1051" t="s">
        <v>825</v>
      </c>
      <c r="B26" s="678">
        <v>268213.69999999995</v>
      </c>
      <c r="C26" s="678">
        <v>0</v>
      </c>
      <c r="D26" s="678">
        <v>7798.7</v>
      </c>
      <c r="E26" s="678">
        <v>13368.2</v>
      </c>
      <c r="F26" s="343">
        <f t="shared" si="4"/>
        <v>21166.9</v>
      </c>
      <c r="G26" s="678">
        <v>9199</v>
      </c>
      <c r="H26" s="678">
        <v>637053</v>
      </c>
      <c r="I26" s="678">
        <f t="shared" si="5"/>
        <v>646252</v>
      </c>
      <c r="J26" s="342">
        <v>155482.70000000001</v>
      </c>
      <c r="K26" s="343">
        <f t="shared" si="6"/>
        <v>1091115.3</v>
      </c>
      <c r="M26" s="793"/>
    </row>
    <row r="27" spans="1:14" s="536" customFormat="1" ht="12.2" customHeight="1">
      <c r="A27" s="484" t="s">
        <v>816</v>
      </c>
      <c r="B27" s="672">
        <v>288377.59999999998</v>
      </c>
      <c r="C27" s="672">
        <v>0</v>
      </c>
      <c r="D27" s="672">
        <v>7732.4</v>
      </c>
      <c r="E27" s="672">
        <v>14235.7</v>
      </c>
      <c r="F27" s="427">
        <f t="shared" si="4"/>
        <v>21968.1</v>
      </c>
      <c r="G27" s="672">
        <v>9154.4</v>
      </c>
      <c r="H27" s="672">
        <v>651090.5</v>
      </c>
      <c r="I27" s="672">
        <f t="shared" si="5"/>
        <v>660244.9</v>
      </c>
      <c r="J27" s="426">
        <v>159057.29999999999</v>
      </c>
      <c r="K27" s="427">
        <f t="shared" si="6"/>
        <v>1129647.8999999999</v>
      </c>
      <c r="M27" s="793"/>
      <c r="N27" s="792"/>
    </row>
    <row r="28" spans="1:14" s="536" customFormat="1" ht="12.2" customHeight="1">
      <c r="A28" s="843" t="s">
        <v>2268</v>
      </c>
      <c r="B28" s="820">
        <f>B40</f>
        <v>329523</v>
      </c>
      <c r="C28" s="820">
        <f t="shared" ref="C28:J28" si="7">C40</f>
        <v>0</v>
      </c>
      <c r="D28" s="820">
        <f t="shared" si="7"/>
        <v>1415.9</v>
      </c>
      <c r="E28" s="820">
        <f t="shared" si="7"/>
        <v>20902.7</v>
      </c>
      <c r="F28" s="820">
        <f t="shared" si="7"/>
        <v>22318.600000000002</v>
      </c>
      <c r="G28" s="820">
        <f t="shared" si="7"/>
        <v>10709.7</v>
      </c>
      <c r="H28" s="820">
        <f t="shared" si="7"/>
        <v>766225.4</v>
      </c>
      <c r="I28" s="820">
        <f t="shared" si="7"/>
        <v>776935.1</v>
      </c>
      <c r="J28" s="820">
        <f t="shared" si="7"/>
        <v>183088.4</v>
      </c>
      <c r="K28" s="820">
        <f>K40</f>
        <v>1311865.0999999999</v>
      </c>
      <c r="M28" s="793"/>
      <c r="N28" s="792"/>
    </row>
    <row r="29" spans="1:14" s="536" customFormat="1" ht="12.2" customHeight="1">
      <c r="A29" s="484" t="s">
        <v>818</v>
      </c>
      <c r="B29" s="672">
        <v>287398.80000000005</v>
      </c>
      <c r="C29" s="672">
        <v>0</v>
      </c>
      <c r="D29" s="672">
        <v>5731</v>
      </c>
      <c r="E29" s="672">
        <v>22366.5</v>
      </c>
      <c r="F29" s="427">
        <f t="shared" si="4"/>
        <v>28097.5</v>
      </c>
      <c r="G29" s="672">
        <v>9740.2000000000007</v>
      </c>
      <c r="H29" s="672">
        <v>653699.19999999995</v>
      </c>
      <c r="I29" s="672">
        <f t="shared" si="5"/>
        <v>663439.39999999991</v>
      </c>
      <c r="J29" s="426">
        <v>159360.29999999999</v>
      </c>
      <c r="K29" s="427">
        <f t="shared" si="6"/>
        <v>1138296</v>
      </c>
      <c r="M29" s="793"/>
      <c r="N29" s="792"/>
    </row>
    <row r="30" spans="1:14" s="536" customFormat="1" ht="12.2" customHeight="1">
      <c r="A30" s="1051" t="s">
        <v>819</v>
      </c>
      <c r="B30" s="678">
        <v>297903.89999999997</v>
      </c>
      <c r="C30" s="678">
        <v>0</v>
      </c>
      <c r="D30" s="678">
        <v>3372.1</v>
      </c>
      <c r="E30" s="678">
        <v>23429.3</v>
      </c>
      <c r="F30" s="343">
        <f t="shared" si="4"/>
        <v>26801.399999999998</v>
      </c>
      <c r="G30" s="678">
        <v>9628</v>
      </c>
      <c r="H30" s="678">
        <v>665110.5</v>
      </c>
      <c r="I30" s="678">
        <f t="shared" si="5"/>
        <v>674738.5</v>
      </c>
      <c r="J30" s="342">
        <v>161237.9</v>
      </c>
      <c r="K30" s="343">
        <f t="shared" si="6"/>
        <v>1160681.7</v>
      </c>
      <c r="M30" s="793"/>
      <c r="N30" s="792"/>
    </row>
    <row r="31" spans="1:14" s="536" customFormat="1" ht="12.2" customHeight="1">
      <c r="A31" s="484" t="s">
        <v>813</v>
      </c>
      <c r="B31" s="672">
        <v>295026.40000000002</v>
      </c>
      <c r="C31" s="672">
        <v>0</v>
      </c>
      <c r="D31" s="672">
        <v>1611</v>
      </c>
      <c r="E31" s="672">
        <v>15995.4</v>
      </c>
      <c r="F31" s="672">
        <f t="shared" si="4"/>
        <v>17606.400000000001</v>
      </c>
      <c r="G31" s="672">
        <v>9680.4</v>
      </c>
      <c r="H31" s="672">
        <v>681442.3</v>
      </c>
      <c r="I31" s="672">
        <f t="shared" si="5"/>
        <v>691122.70000000007</v>
      </c>
      <c r="J31" s="426">
        <v>163216.70000000001</v>
      </c>
      <c r="K31" s="426">
        <f t="shared" si="6"/>
        <v>1166972.2000000002</v>
      </c>
      <c r="M31" s="793"/>
      <c r="N31" s="792"/>
    </row>
    <row r="32" spans="1:14" s="536" customFormat="1" ht="12.2" customHeight="1">
      <c r="A32" s="1051" t="s">
        <v>820</v>
      </c>
      <c r="B32" s="678">
        <v>297386.7</v>
      </c>
      <c r="C32" s="678">
        <v>0</v>
      </c>
      <c r="D32" s="678">
        <v>1272.8</v>
      </c>
      <c r="E32" s="678">
        <v>16128.7</v>
      </c>
      <c r="F32" s="678">
        <f t="shared" si="4"/>
        <v>17401.5</v>
      </c>
      <c r="G32" s="678">
        <v>9890.9</v>
      </c>
      <c r="H32" s="678">
        <v>690478.3</v>
      </c>
      <c r="I32" s="678">
        <f t="shared" si="5"/>
        <v>700369.20000000007</v>
      </c>
      <c r="J32" s="342">
        <v>166151.5</v>
      </c>
      <c r="K32" s="342">
        <f t="shared" si="6"/>
        <v>1181308.9000000001</v>
      </c>
      <c r="M32" s="793"/>
      <c r="N32" s="792"/>
    </row>
    <row r="33" spans="1:14" s="536" customFormat="1" ht="12.2" customHeight="1">
      <c r="A33" s="484" t="s">
        <v>821</v>
      </c>
      <c r="B33" s="672">
        <v>309438</v>
      </c>
      <c r="C33" s="672">
        <v>0</v>
      </c>
      <c r="D33" s="672">
        <v>1275.5999999999999</v>
      </c>
      <c r="E33" s="672">
        <v>16453.900000000001</v>
      </c>
      <c r="F33" s="672">
        <f t="shared" si="4"/>
        <v>17729.5</v>
      </c>
      <c r="G33" s="672">
        <v>10083.4</v>
      </c>
      <c r="H33" s="672">
        <v>702363.2</v>
      </c>
      <c r="I33" s="672">
        <f t="shared" si="5"/>
        <v>712446.6</v>
      </c>
      <c r="J33" s="426">
        <v>168754</v>
      </c>
      <c r="K33" s="426">
        <f t="shared" si="6"/>
        <v>1208368.1000000001</v>
      </c>
      <c r="M33" s="793"/>
      <c r="N33" s="792"/>
    </row>
    <row r="34" spans="1:14" s="536" customFormat="1" ht="12.2" customHeight="1">
      <c r="A34" s="1051" t="s">
        <v>814</v>
      </c>
      <c r="B34" s="678">
        <v>299184.5</v>
      </c>
      <c r="C34" s="678">
        <v>0</v>
      </c>
      <c r="D34" s="678">
        <v>1278</v>
      </c>
      <c r="E34" s="678">
        <v>17100.900000000001</v>
      </c>
      <c r="F34" s="678">
        <f t="shared" si="4"/>
        <v>18378.900000000001</v>
      </c>
      <c r="G34" s="678">
        <v>10454.4</v>
      </c>
      <c r="H34" s="678">
        <v>717200</v>
      </c>
      <c r="I34" s="678">
        <f t="shared" si="5"/>
        <v>727654.40000000002</v>
      </c>
      <c r="J34" s="342">
        <v>172922.5</v>
      </c>
      <c r="K34" s="342">
        <f t="shared" si="6"/>
        <v>1218140.3</v>
      </c>
      <c r="M34" s="793"/>
      <c r="N34" s="792"/>
    </row>
    <row r="35" spans="1:14" s="536" customFormat="1" ht="12.2" customHeight="1">
      <c r="A35" s="484" t="s">
        <v>822</v>
      </c>
      <c r="B35" s="672">
        <v>298083.09999999998</v>
      </c>
      <c r="C35" s="672">
        <v>0</v>
      </c>
      <c r="D35" s="672">
        <v>1270.0999999999999</v>
      </c>
      <c r="E35" s="672">
        <v>18066.8</v>
      </c>
      <c r="F35" s="672">
        <f t="shared" si="4"/>
        <v>19336.899999999998</v>
      </c>
      <c r="G35" s="672">
        <v>10157.700000000001</v>
      </c>
      <c r="H35" s="672">
        <v>720538.7</v>
      </c>
      <c r="I35" s="672">
        <f t="shared" si="5"/>
        <v>730696.39999999991</v>
      </c>
      <c r="J35" s="426">
        <v>175115</v>
      </c>
      <c r="K35" s="426">
        <f t="shared" si="6"/>
        <v>1223231.3999999999</v>
      </c>
      <c r="M35" s="793"/>
      <c r="N35" s="792"/>
    </row>
    <row r="36" spans="1:14" s="536" customFormat="1" ht="12.2" customHeight="1">
      <c r="A36" s="1051" t="s">
        <v>823</v>
      </c>
      <c r="B36" s="678">
        <v>296258.5</v>
      </c>
      <c r="C36" s="678">
        <v>0</v>
      </c>
      <c r="D36" s="678">
        <v>1420.6</v>
      </c>
      <c r="E36" s="678">
        <v>19898.3</v>
      </c>
      <c r="F36" s="678">
        <f t="shared" si="4"/>
        <v>21318.899999999998</v>
      </c>
      <c r="G36" s="678">
        <v>10328</v>
      </c>
      <c r="H36" s="678">
        <v>728423.7</v>
      </c>
      <c r="I36" s="678">
        <f t="shared" si="5"/>
        <v>738751.7</v>
      </c>
      <c r="J36" s="342">
        <v>177190.5</v>
      </c>
      <c r="K36" s="342">
        <f t="shared" si="6"/>
        <v>1233519.6000000001</v>
      </c>
      <c r="M36" s="793"/>
      <c r="N36" s="792"/>
    </row>
    <row r="37" spans="1:14" s="536" customFormat="1" ht="12.2" customHeight="1">
      <c r="A37" s="484" t="s">
        <v>815</v>
      </c>
      <c r="B37" s="672">
        <v>299363.90000000002</v>
      </c>
      <c r="C37" s="672">
        <v>0</v>
      </c>
      <c r="D37" s="672">
        <v>1419.5</v>
      </c>
      <c r="E37" s="672">
        <v>20563.5</v>
      </c>
      <c r="F37" s="672">
        <f t="shared" si="4"/>
        <v>21983</v>
      </c>
      <c r="G37" s="672">
        <v>10157.1</v>
      </c>
      <c r="H37" s="672">
        <v>736241.3</v>
      </c>
      <c r="I37" s="672">
        <f t="shared" si="5"/>
        <v>746398.4</v>
      </c>
      <c r="J37" s="426">
        <v>177931.5</v>
      </c>
      <c r="K37" s="426">
        <f t="shared" si="6"/>
        <v>1245676.8</v>
      </c>
      <c r="M37" s="793"/>
      <c r="N37" s="792"/>
    </row>
    <row r="38" spans="1:14" s="536" customFormat="1" ht="12.2" customHeight="1">
      <c r="A38" s="1051" t="s">
        <v>824</v>
      </c>
      <c r="B38" s="678">
        <v>299709.90000000002</v>
      </c>
      <c r="C38" s="678">
        <v>0</v>
      </c>
      <c r="D38" s="678">
        <v>1391.5</v>
      </c>
      <c r="E38" s="678">
        <v>20351.400000000001</v>
      </c>
      <c r="F38" s="678">
        <f t="shared" si="4"/>
        <v>21742.9</v>
      </c>
      <c r="G38" s="678">
        <v>11170.6</v>
      </c>
      <c r="H38" s="678">
        <v>744557.4</v>
      </c>
      <c r="I38" s="678">
        <f t="shared" si="5"/>
        <v>755728</v>
      </c>
      <c r="J38" s="342">
        <v>179205.5</v>
      </c>
      <c r="K38" s="342">
        <f t="shared" si="6"/>
        <v>1256386.3</v>
      </c>
      <c r="M38" s="793"/>
      <c r="N38" s="792"/>
    </row>
    <row r="39" spans="1:14" s="536" customFormat="1" ht="12.2" customHeight="1">
      <c r="A39" s="484" t="s">
        <v>825</v>
      </c>
      <c r="B39" s="672">
        <v>307264.59999999998</v>
      </c>
      <c r="C39" s="672">
        <v>0</v>
      </c>
      <c r="D39" s="672">
        <v>1394.7</v>
      </c>
      <c r="E39" s="672">
        <v>20577.900000000001</v>
      </c>
      <c r="F39" s="672">
        <f t="shared" si="4"/>
        <v>21972.600000000002</v>
      </c>
      <c r="G39" s="672">
        <v>11219.9</v>
      </c>
      <c r="H39" s="672">
        <v>754610.4</v>
      </c>
      <c r="I39" s="672">
        <f t="shared" si="5"/>
        <v>765830.3</v>
      </c>
      <c r="J39" s="426">
        <v>180183.69999999978</v>
      </c>
      <c r="K39" s="426">
        <f t="shared" si="6"/>
        <v>1275251.1999999997</v>
      </c>
      <c r="M39" s="793"/>
      <c r="N39" s="792"/>
    </row>
    <row r="40" spans="1:14" s="536" customFormat="1" ht="12.2" customHeight="1">
      <c r="A40" s="1051" t="s">
        <v>816</v>
      </c>
      <c r="B40" s="678">
        <v>329523</v>
      </c>
      <c r="C40" s="678">
        <v>0</v>
      </c>
      <c r="D40" s="678">
        <v>1415.9</v>
      </c>
      <c r="E40" s="678">
        <v>20902.7</v>
      </c>
      <c r="F40" s="678">
        <f t="shared" si="4"/>
        <v>22318.600000000002</v>
      </c>
      <c r="G40" s="678">
        <v>10709.7</v>
      </c>
      <c r="H40" s="678">
        <v>766225.4</v>
      </c>
      <c r="I40" s="678">
        <f t="shared" si="5"/>
        <v>776935.1</v>
      </c>
      <c r="J40" s="342">
        <v>183088.4</v>
      </c>
      <c r="K40" s="342">
        <f>B40+C40+F40+I40+J40</f>
        <v>1311865.0999999999</v>
      </c>
      <c r="M40" s="793"/>
      <c r="N40" s="792"/>
    </row>
    <row r="41" spans="1:14" s="268" customFormat="1" ht="12.2" customHeight="1">
      <c r="A41" s="1599" t="s">
        <v>2524</v>
      </c>
      <c r="B41" s="672"/>
      <c r="C41" s="672"/>
      <c r="D41" s="672"/>
      <c r="E41" s="672"/>
      <c r="F41" s="672"/>
      <c r="G41" s="672"/>
      <c r="H41" s="672"/>
      <c r="I41" s="672"/>
      <c r="J41" s="426"/>
      <c r="K41" s="426"/>
    </row>
    <row r="42" spans="1:14" s="333" customFormat="1" ht="12.2" customHeight="1">
      <c r="A42" s="1051" t="s">
        <v>818</v>
      </c>
      <c r="B42" s="678">
        <v>336817.9</v>
      </c>
      <c r="C42" s="678">
        <v>0</v>
      </c>
      <c r="D42" s="678">
        <v>1508.4</v>
      </c>
      <c r="E42" s="678">
        <v>20318.099999999999</v>
      </c>
      <c r="F42" s="678">
        <f t="shared" si="4"/>
        <v>21826.5</v>
      </c>
      <c r="G42" s="678">
        <v>10822.8</v>
      </c>
      <c r="H42" s="678">
        <v>761097.5</v>
      </c>
      <c r="I42" s="678">
        <f t="shared" si="5"/>
        <v>771920.3</v>
      </c>
      <c r="J42" s="342">
        <v>182126</v>
      </c>
      <c r="K42" s="342">
        <f t="shared" ref="K42:K51" si="8">B42+C42+F42+I42+J42</f>
        <v>1312690.7000000002</v>
      </c>
    </row>
    <row r="43" spans="1:14" ht="12.2" customHeight="1">
      <c r="A43" s="484" t="s">
        <v>819</v>
      </c>
      <c r="B43" s="672">
        <v>345237.7</v>
      </c>
      <c r="C43" s="672">
        <v>0</v>
      </c>
      <c r="D43" s="672">
        <v>1393</v>
      </c>
      <c r="E43" s="672">
        <v>20807.8</v>
      </c>
      <c r="F43" s="672">
        <f t="shared" si="4"/>
        <v>22200.799999999999</v>
      </c>
      <c r="G43" s="672">
        <v>10800.9</v>
      </c>
      <c r="H43" s="672">
        <v>770069</v>
      </c>
      <c r="I43" s="672">
        <f t="shared" si="5"/>
        <v>780869.9</v>
      </c>
      <c r="J43" s="426">
        <v>182078.6</v>
      </c>
      <c r="K43" s="426">
        <f t="shared" si="8"/>
        <v>1330387</v>
      </c>
      <c r="L43" s="786"/>
    </row>
    <row r="44" spans="1:14" ht="12.2" customHeight="1">
      <c r="A44" s="1051" t="s">
        <v>813</v>
      </c>
      <c r="B44" s="678">
        <v>343600.9</v>
      </c>
      <c r="C44" s="678">
        <v>0</v>
      </c>
      <c r="D44" s="678">
        <v>1393.8</v>
      </c>
      <c r="E44" s="678">
        <v>21309.4</v>
      </c>
      <c r="F44" s="678">
        <f t="shared" si="4"/>
        <v>22703.200000000001</v>
      </c>
      <c r="G44" s="678">
        <v>11029.2</v>
      </c>
      <c r="H44" s="678">
        <v>776926.9</v>
      </c>
      <c r="I44" s="678">
        <f t="shared" si="5"/>
        <v>787956.1</v>
      </c>
      <c r="J44" s="342">
        <v>183415.1</v>
      </c>
      <c r="K44" s="342">
        <f t="shared" si="8"/>
        <v>1337675.3</v>
      </c>
      <c r="L44" s="786"/>
    </row>
    <row r="45" spans="1:14" ht="12.2" customHeight="1">
      <c r="A45" s="484" t="s">
        <v>820</v>
      </c>
      <c r="B45" s="672">
        <v>348476.19999999995</v>
      </c>
      <c r="C45" s="672">
        <v>0</v>
      </c>
      <c r="D45" s="672">
        <v>1396.3</v>
      </c>
      <c r="E45" s="672">
        <v>21541.200000000001</v>
      </c>
      <c r="F45" s="672">
        <f t="shared" si="4"/>
        <v>22937.5</v>
      </c>
      <c r="G45" s="672">
        <v>11549.4</v>
      </c>
      <c r="H45" s="672">
        <v>788084.5</v>
      </c>
      <c r="I45" s="672">
        <f t="shared" si="5"/>
        <v>799633.9</v>
      </c>
      <c r="J45" s="426">
        <v>185777.7</v>
      </c>
      <c r="K45" s="426">
        <f t="shared" si="8"/>
        <v>1356825.3</v>
      </c>
      <c r="L45" s="786"/>
    </row>
    <row r="46" spans="1:14" ht="12.2" customHeight="1">
      <c r="A46" s="1051" t="s">
        <v>821</v>
      </c>
      <c r="B46" s="678">
        <v>354452.7</v>
      </c>
      <c r="C46" s="678">
        <v>0</v>
      </c>
      <c r="D46" s="678">
        <v>1512.6</v>
      </c>
      <c r="E46" s="678">
        <v>22381.599999999999</v>
      </c>
      <c r="F46" s="678">
        <f t="shared" si="4"/>
        <v>23894.199999999997</v>
      </c>
      <c r="G46" s="678">
        <v>12251.6</v>
      </c>
      <c r="H46" s="678">
        <v>796895.7</v>
      </c>
      <c r="I46" s="678">
        <f t="shared" si="5"/>
        <v>809147.29999999993</v>
      </c>
      <c r="J46" s="342">
        <v>187089</v>
      </c>
      <c r="K46" s="342">
        <f t="shared" si="8"/>
        <v>1374583.2</v>
      </c>
      <c r="L46" s="786"/>
    </row>
    <row r="47" spans="1:14" ht="12.2" customHeight="1">
      <c r="A47" s="484" t="s">
        <v>814</v>
      </c>
      <c r="B47" s="672">
        <v>358178.69999999995</v>
      </c>
      <c r="C47" s="672">
        <v>0</v>
      </c>
      <c r="D47" s="672">
        <v>1948.6</v>
      </c>
      <c r="E47" s="672">
        <v>24355.200000000001</v>
      </c>
      <c r="F47" s="672">
        <f t="shared" si="4"/>
        <v>26303.8</v>
      </c>
      <c r="G47" s="672">
        <v>13104.4</v>
      </c>
      <c r="H47" s="672">
        <v>808091.3</v>
      </c>
      <c r="I47" s="672">
        <f t="shared" si="5"/>
        <v>821195.70000000007</v>
      </c>
      <c r="J47" s="426">
        <v>191683.6</v>
      </c>
      <c r="K47" s="426">
        <f t="shared" si="8"/>
        <v>1397361.8</v>
      </c>
      <c r="L47" s="786"/>
    </row>
    <row r="48" spans="1:14" ht="12.2" customHeight="1">
      <c r="A48" s="1051" t="s">
        <v>822</v>
      </c>
      <c r="B48" s="678">
        <v>364951.6</v>
      </c>
      <c r="C48" s="678">
        <v>0</v>
      </c>
      <c r="D48" s="678">
        <v>1929.4</v>
      </c>
      <c r="E48" s="678">
        <v>24751.1</v>
      </c>
      <c r="F48" s="678">
        <f t="shared" si="4"/>
        <v>26680.5</v>
      </c>
      <c r="G48" s="678">
        <v>13910.6</v>
      </c>
      <c r="H48" s="678">
        <v>812359.7</v>
      </c>
      <c r="I48" s="678">
        <f t="shared" si="5"/>
        <v>826270.29999999993</v>
      </c>
      <c r="J48" s="342">
        <v>192693.1</v>
      </c>
      <c r="K48" s="342">
        <f t="shared" si="8"/>
        <v>1410595.5</v>
      </c>
      <c r="L48" s="786"/>
    </row>
    <row r="49" spans="1:13" ht="12.2" customHeight="1">
      <c r="A49" s="484" t="s">
        <v>823</v>
      </c>
      <c r="B49" s="672">
        <v>363563.3</v>
      </c>
      <c r="C49" s="672">
        <v>0</v>
      </c>
      <c r="D49" s="672">
        <v>1932.8</v>
      </c>
      <c r="E49" s="672">
        <v>25240.2</v>
      </c>
      <c r="F49" s="672">
        <f t="shared" si="4"/>
        <v>27173</v>
      </c>
      <c r="G49" s="672">
        <v>13777.6</v>
      </c>
      <c r="H49" s="672">
        <v>818468.8</v>
      </c>
      <c r="I49" s="672">
        <f t="shared" si="5"/>
        <v>832246.4</v>
      </c>
      <c r="J49" s="426">
        <v>194182.8</v>
      </c>
      <c r="K49" s="426">
        <f t="shared" si="8"/>
        <v>1417165.5</v>
      </c>
      <c r="L49" s="786"/>
    </row>
    <row r="50" spans="1:13" ht="12.2" customHeight="1">
      <c r="A50" s="1051" t="s">
        <v>815</v>
      </c>
      <c r="B50" s="678">
        <v>367293.9</v>
      </c>
      <c r="C50" s="678">
        <v>0</v>
      </c>
      <c r="D50" s="678">
        <v>1824.4</v>
      </c>
      <c r="E50" s="678">
        <v>25401</v>
      </c>
      <c r="F50" s="678">
        <f t="shared" si="4"/>
        <v>27225.4</v>
      </c>
      <c r="G50" s="678">
        <v>13897</v>
      </c>
      <c r="H50" s="678">
        <v>826658.5</v>
      </c>
      <c r="I50" s="678">
        <f t="shared" si="5"/>
        <v>840555.5</v>
      </c>
      <c r="J50" s="342">
        <v>196128.9</v>
      </c>
      <c r="K50" s="342">
        <f t="shared" si="8"/>
        <v>1431203.7</v>
      </c>
      <c r="L50" s="786"/>
    </row>
    <row r="51" spans="1:13" ht="12.2" customHeight="1" thickBot="1">
      <c r="A51" s="1721" t="s">
        <v>824</v>
      </c>
      <c r="B51" s="1686">
        <v>371868.9</v>
      </c>
      <c r="C51" s="1686">
        <v>0</v>
      </c>
      <c r="D51" s="1686">
        <v>1801.6</v>
      </c>
      <c r="E51" s="1686">
        <v>27764.799999999999</v>
      </c>
      <c r="F51" s="1686">
        <f t="shared" si="4"/>
        <v>29566.399999999998</v>
      </c>
      <c r="G51" s="1686">
        <v>13254.8</v>
      </c>
      <c r="H51" s="1686">
        <v>830169.2</v>
      </c>
      <c r="I51" s="1686">
        <f t="shared" si="5"/>
        <v>843424</v>
      </c>
      <c r="J51" s="1722">
        <v>198586.7</v>
      </c>
      <c r="K51" s="1722">
        <f t="shared" si="8"/>
        <v>1443446</v>
      </c>
      <c r="L51" s="786"/>
    </row>
    <row r="52" spans="1:13" s="710" customFormat="1">
      <c r="A52" s="787" t="s">
        <v>268</v>
      </c>
      <c r="B52" s="397" t="s">
        <v>2372</v>
      </c>
      <c r="C52" s="397"/>
      <c r="D52" s="397"/>
      <c r="E52" s="397"/>
      <c r="F52" s="397"/>
      <c r="G52" s="788" t="s">
        <v>2124</v>
      </c>
      <c r="H52" s="789"/>
      <c r="I52" s="789"/>
      <c r="J52" s="789"/>
      <c r="K52" s="789"/>
      <c r="L52" s="786"/>
    </row>
    <row r="53" spans="1:13" s="995" customFormat="1">
      <c r="A53" s="333"/>
      <c r="B53" s="398" t="s">
        <v>2339</v>
      </c>
      <c r="C53" s="398"/>
      <c r="D53" s="398"/>
      <c r="E53" s="398"/>
      <c r="F53" s="398"/>
      <c r="G53" s="398"/>
      <c r="H53" s="398"/>
      <c r="I53" s="398"/>
      <c r="J53" s="398"/>
      <c r="K53" s="398"/>
      <c r="L53" s="786"/>
      <c r="M53" s="1416"/>
    </row>
    <row r="54" spans="1:13" s="710" customFormat="1">
      <c r="A54" s="642"/>
      <c r="B54" s="642"/>
      <c r="C54" s="642"/>
      <c r="D54" s="642"/>
      <c r="E54" s="642"/>
      <c r="F54" s="642"/>
      <c r="G54" s="642"/>
      <c r="H54" s="642"/>
      <c r="I54" s="642"/>
      <c r="J54" s="786"/>
      <c r="K54" s="642"/>
      <c r="L54" s="786"/>
      <c r="M54" s="1416"/>
    </row>
    <row r="55" spans="1:13" s="710" customFormat="1">
      <c r="B55" s="642"/>
      <c r="C55" s="786"/>
      <c r="D55" s="642"/>
      <c r="E55" s="642"/>
      <c r="F55" s="642"/>
      <c r="G55" s="642"/>
      <c r="H55" s="642"/>
      <c r="I55" s="642"/>
      <c r="J55" s="642"/>
      <c r="K55" s="786"/>
      <c r="L55" s="786"/>
      <c r="M55" s="1421"/>
    </row>
    <row r="56" spans="1:13" s="710" customFormat="1">
      <c r="C56" s="786"/>
      <c r="K56" s="786"/>
      <c r="L56" s="786"/>
      <c r="M56" s="1421"/>
    </row>
    <row r="57" spans="1:13" s="710" customFormat="1">
      <c r="C57" s="786"/>
      <c r="D57" s="793"/>
      <c r="E57" s="793"/>
      <c r="F57" s="793"/>
      <c r="G57" s="793"/>
      <c r="H57" s="793"/>
      <c r="I57" s="793"/>
      <c r="J57" s="793"/>
      <c r="K57" s="786"/>
      <c r="L57" s="786"/>
      <c r="M57" s="1421"/>
    </row>
    <row r="58" spans="1:13" s="710" customFormat="1">
      <c r="C58" s="786"/>
      <c r="D58" s="793"/>
      <c r="E58" s="793"/>
      <c r="F58" s="793"/>
      <c r="G58" s="793"/>
      <c r="H58" s="793"/>
      <c r="I58" s="793"/>
      <c r="J58" s="793"/>
      <c r="K58" s="786"/>
      <c r="L58" s="786"/>
      <c r="M58" s="1421"/>
    </row>
    <row r="59" spans="1:13" s="710" customFormat="1">
      <c r="B59" s="793"/>
      <c r="C59" s="786"/>
      <c r="D59" s="793"/>
      <c r="E59" s="793"/>
      <c r="F59" s="793"/>
      <c r="G59" s="793"/>
      <c r="H59" s="793"/>
      <c r="I59" s="793"/>
      <c r="J59" s="793"/>
      <c r="K59" s="786"/>
      <c r="L59" s="786"/>
      <c r="M59" s="1421"/>
    </row>
    <row r="60" spans="1:13" s="710" customFormat="1">
      <c r="C60" s="786"/>
      <c r="D60" s="793"/>
      <c r="E60" s="793"/>
      <c r="F60" s="793"/>
      <c r="G60" s="793"/>
      <c r="H60" s="793"/>
      <c r="I60" s="793"/>
      <c r="K60" s="786"/>
      <c r="L60" s="793"/>
      <c r="M60" s="1416"/>
    </row>
    <row r="61" spans="1:13" s="710" customFormat="1">
      <c r="C61" s="786"/>
      <c r="D61" s="793"/>
      <c r="E61" s="793"/>
      <c r="F61" s="793"/>
      <c r="G61" s="793"/>
      <c r="H61" s="793"/>
      <c r="I61" s="793"/>
      <c r="K61" s="786"/>
      <c r="L61" s="793"/>
      <c r="M61" s="1416"/>
    </row>
    <row r="62" spans="1:13" s="710" customFormat="1">
      <c r="C62" s="786"/>
      <c r="D62" s="793"/>
      <c r="E62" s="793"/>
      <c r="F62" s="793"/>
      <c r="G62" s="793"/>
      <c r="H62" s="793"/>
      <c r="I62" s="793"/>
      <c r="K62" s="786"/>
      <c r="L62" s="793"/>
    </row>
    <row r="63" spans="1:13" s="710" customFormat="1">
      <c r="C63" s="786"/>
      <c r="D63" s="793"/>
      <c r="E63" s="793"/>
      <c r="F63" s="793"/>
      <c r="G63" s="793"/>
      <c r="H63" s="793"/>
      <c r="I63" s="793"/>
      <c r="K63" s="786"/>
      <c r="L63" s="793"/>
    </row>
    <row r="64" spans="1:13" s="710" customFormat="1">
      <c r="C64" s="793"/>
      <c r="D64" s="793"/>
      <c r="E64" s="793"/>
      <c r="F64" s="793"/>
      <c r="G64" s="793"/>
      <c r="H64" s="793"/>
      <c r="I64" s="793"/>
      <c r="K64" s="786"/>
      <c r="L64" s="793"/>
    </row>
    <row r="65" spans="1:12">
      <c r="A65" s="710"/>
      <c r="B65" s="710"/>
      <c r="C65" s="793"/>
      <c r="D65" s="793"/>
      <c r="E65" s="793"/>
      <c r="F65" s="793"/>
      <c r="G65" s="793"/>
      <c r="H65" s="793"/>
      <c r="I65" s="793"/>
      <c r="J65" s="793"/>
      <c r="K65" s="710"/>
      <c r="L65" s="793"/>
    </row>
    <row r="66" spans="1:12">
      <c r="A66" s="710"/>
      <c r="B66" s="710"/>
      <c r="C66" s="793"/>
      <c r="D66" s="793"/>
      <c r="E66" s="793"/>
      <c r="F66" s="793"/>
      <c r="G66" s="793"/>
      <c r="H66" s="793"/>
      <c r="I66" s="793"/>
      <c r="J66" s="793"/>
      <c r="K66" s="710"/>
      <c r="L66" s="793"/>
    </row>
    <row r="67" spans="1:12">
      <c r="A67" s="710"/>
      <c r="B67" s="710"/>
      <c r="C67" s="793"/>
      <c r="D67" s="793"/>
      <c r="E67" s="793"/>
      <c r="F67" s="793"/>
      <c r="G67" s="793"/>
      <c r="H67" s="793"/>
      <c r="I67" s="793"/>
      <c r="J67" s="793"/>
      <c r="K67" s="710"/>
      <c r="L67" s="793"/>
    </row>
    <row r="68" spans="1:12">
      <c r="C68" s="793"/>
      <c r="D68" s="793"/>
      <c r="E68" s="793"/>
      <c r="F68" s="786"/>
      <c r="G68" s="793"/>
      <c r="H68" s="793"/>
      <c r="I68" s="786"/>
      <c r="J68" s="793"/>
      <c r="L68" s="793"/>
    </row>
    <row r="69" spans="1:12">
      <c r="C69" s="793"/>
      <c r="D69" s="793"/>
      <c r="E69" s="793"/>
      <c r="F69" s="786"/>
      <c r="G69" s="793"/>
      <c r="H69" s="793"/>
      <c r="I69" s="786"/>
      <c r="J69" s="793"/>
      <c r="L69" s="793"/>
    </row>
    <row r="70" spans="1:12">
      <c r="C70" s="793"/>
      <c r="D70" s="793"/>
      <c r="E70" s="793"/>
      <c r="G70" s="793"/>
      <c r="H70" s="793"/>
      <c r="J70" s="793"/>
      <c r="L70" s="793"/>
    </row>
    <row r="71" spans="1:12">
      <c r="C71" s="793"/>
      <c r="D71" s="793"/>
      <c r="E71" s="793"/>
      <c r="G71" s="793"/>
      <c r="H71" s="793"/>
      <c r="J71" s="793"/>
      <c r="L71" s="793"/>
    </row>
    <row r="72" spans="1:12">
      <c r="C72" s="793"/>
      <c r="D72" s="793"/>
      <c r="E72" s="793"/>
      <c r="G72" s="793"/>
      <c r="H72" s="793"/>
      <c r="J72" s="793"/>
      <c r="L72" s="793"/>
    </row>
    <row r="73" spans="1:12">
      <c r="C73" s="793"/>
      <c r="D73" s="793"/>
      <c r="E73" s="793"/>
      <c r="G73" s="793"/>
      <c r="H73" s="793"/>
      <c r="J73" s="793"/>
      <c r="L73" s="793"/>
    </row>
    <row r="74" spans="1:12">
      <c r="C74" s="793"/>
      <c r="D74" s="793"/>
      <c r="E74" s="793"/>
      <c r="G74" s="793"/>
      <c r="H74" s="793"/>
      <c r="J74" s="793"/>
      <c r="L74" s="793"/>
    </row>
    <row r="75" spans="1:12">
      <c r="C75" s="793"/>
      <c r="D75" s="793"/>
      <c r="E75" s="793"/>
      <c r="G75" s="793"/>
      <c r="H75" s="793"/>
      <c r="J75" s="793"/>
      <c r="L75" s="793"/>
    </row>
    <row r="76" spans="1:12">
      <c r="C76" s="793"/>
      <c r="D76" s="793"/>
      <c r="E76" s="793"/>
      <c r="G76" s="793"/>
      <c r="H76" s="793"/>
      <c r="J76" s="793"/>
    </row>
    <row r="77" spans="1:12">
      <c r="C77" s="793"/>
      <c r="D77" s="793"/>
      <c r="E77" s="793"/>
      <c r="G77" s="793"/>
      <c r="H77" s="793"/>
    </row>
    <row r="78" spans="1:12">
      <c r="B78" s="786"/>
      <c r="C78" s="786"/>
      <c r="D78" s="786"/>
      <c r="E78" s="786"/>
      <c r="F78" s="786"/>
      <c r="G78" s="786"/>
      <c r="H78" s="786"/>
      <c r="I78" s="786"/>
      <c r="J78" s="786"/>
      <c r="K78" s="786"/>
    </row>
    <row r="79" spans="1:12">
      <c r="B79" s="786"/>
      <c r="C79" s="786"/>
      <c r="D79" s="786"/>
      <c r="E79" s="786"/>
      <c r="F79" s="786"/>
      <c r="G79" s="786"/>
      <c r="H79" s="786"/>
      <c r="I79" s="786"/>
      <c r="J79" s="786"/>
      <c r="K79" s="786"/>
    </row>
    <row r="80" spans="1:12">
      <c r="B80" s="786"/>
      <c r="C80" s="786"/>
      <c r="D80" s="786"/>
      <c r="E80" s="786"/>
      <c r="F80" s="786"/>
      <c r="G80" s="786"/>
      <c r="H80" s="786"/>
      <c r="I80" s="786"/>
      <c r="J80" s="786"/>
      <c r="K80" s="786"/>
    </row>
    <row r="81" spans="2:11">
      <c r="B81" s="786"/>
      <c r="C81" s="786"/>
      <c r="D81" s="786"/>
      <c r="E81" s="786"/>
      <c r="F81" s="786"/>
      <c r="G81" s="786"/>
      <c r="H81" s="786"/>
      <c r="I81" s="786"/>
      <c r="J81" s="786"/>
      <c r="K81" s="786"/>
    </row>
    <row r="82" spans="2:11">
      <c r="B82" s="786"/>
      <c r="C82" s="786"/>
      <c r="D82" s="786"/>
      <c r="E82" s="786"/>
      <c r="F82" s="786"/>
      <c r="G82" s="786"/>
      <c r="H82" s="786"/>
      <c r="I82" s="786"/>
      <c r="J82" s="786"/>
      <c r="K82" s="786"/>
    </row>
    <row r="83" spans="2:11">
      <c r="B83" s="786"/>
      <c r="C83" s="786"/>
      <c r="D83" s="786"/>
      <c r="E83" s="786"/>
      <c r="F83" s="786"/>
      <c r="G83" s="786"/>
      <c r="H83" s="786"/>
      <c r="I83" s="786"/>
      <c r="J83" s="786"/>
      <c r="K83" s="786"/>
    </row>
    <row r="84" spans="2:11">
      <c r="B84" s="786"/>
      <c r="C84" s="786"/>
      <c r="D84" s="786"/>
      <c r="E84" s="786"/>
      <c r="F84" s="786"/>
      <c r="G84" s="786"/>
      <c r="H84" s="786"/>
      <c r="I84" s="786"/>
      <c r="J84" s="786"/>
      <c r="K84" s="786"/>
    </row>
    <row r="85" spans="2:11">
      <c r="B85" s="786"/>
      <c r="C85" s="786"/>
      <c r="D85" s="786"/>
      <c r="E85" s="786"/>
      <c r="F85" s="786"/>
      <c r="G85" s="786"/>
      <c r="H85" s="786"/>
      <c r="I85" s="786"/>
      <c r="J85" s="786"/>
      <c r="K85" s="786"/>
    </row>
    <row r="86" spans="2:11">
      <c r="B86" s="786"/>
      <c r="C86" s="786"/>
      <c r="D86" s="786"/>
      <c r="E86" s="786"/>
      <c r="F86" s="786"/>
      <c r="G86" s="786"/>
      <c r="H86" s="786"/>
      <c r="I86" s="786"/>
      <c r="J86" s="786"/>
      <c r="K86" s="786"/>
    </row>
    <row r="87" spans="2:11">
      <c r="B87" s="786"/>
      <c r="C87" s="786"/>
      <c r="D87" s="786"/>
      <c r="E87" s="786"/>
      <c r="F87" s="786"/>
      <c r="G87" s="786"/>
      <c r="H87" s="786"/>
      <c r="I87" s="786"/>
      <c r="J87" s="786"/>
      <c r="K87" s="786"/>
    </row>
    <row r="88" spans="2:11">
      <c r="B88" s="786"/>
      <c r="C88" s="786"/>
      <c r="D88" s="786"/>
      <c r="E88" s="786"/>
      <c r="F88" s="786"/>
      <c r="G88" s="786"/>
      <c r="H88" s="786"/>
      <c r="I88" s="786"/>
      <c r="J88" s="786"/>
      <c r="K88" s="786"/>
    </row>
  </sheetData>
  <mergeCells count="9">
    <mergeCell ref="K3:K4"/>
    <mergeCell ref="G3:I3"/>
    <mergeCell ref="B3:B4"/>
    <mergeCell ref="A3:A5"/>
    <mergeCell ref="G1:I1"/>
    <mergeCell ref="J3:J4"/>
    <mergeCell ref="D1:F1"/>
    <mergeCell ref="C3:C4"/>
    <mergeCell ref="D3:F3"/>
  </mergeCells>
  <phoneticPr fontId="4" type="noConversion"/>
  <conditionalFormatting sqref="A28 B6:K12 A6:A15">
    <cfRule type="expression" dxfId="1" priority="20" stopIfTrue="1">
      <formula>MOD(ROW(),2)=1</formula>
    </cfRule>
  </conditionalFormatting>
  <conditionalFormatting sqref="A28 A15">
    <cfRule type="expression" dxfId="0" priority="15" stopIfTrue="1">
      <formula>MOD(ROW(),2)=1</formula>
    </cfRule>
    <cfRule type="expression" priority="16" stopIfTrue="1">
      <formula>MOD(ROW(),2)=1</formula>
    </cfRule>
  </conditionalFormatting>
  <conditionalFormatting sqref="A28 A15">
    <cfRule type="expression" priority="14" stopIfTrue="1">
      <formula>MOD(row,0)=0</formula>
    </cfRule>
  </conditionalFormatting>
  <conditionalFormatting sqref="A28 A15">
    <cfRule type="expression" priority="13" stopIfTrue="1">
      <formula>MOD((((#REF!))),0)=0</formula>
    </cfRule>
  </conditionalFormatting>
  <pageMargins left="0.62992125984252001" right="0.511811023622047" top="0.511811023622047" bottom="0.31496062992126" header="0" footer="0.31496062992126"/>
  <pageSetup paperSize="448" firstPageNumber="20" orientation="portrait" useFirstPageNumber="1" r:id="rId1"/>
  <headerFooter alignWithMargins="0">
    <oddFooter>&amp;C&amp;"Times New Roman,Regular"&amp;8&amp;P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12"/>
  <dimension ref="A1:BV52"/>
  <sheetViews>
    <sheetView zoomScale="110" zoomScaleNormal="110" workbookViewId="0">
      <pane xSplit="2" ySplit="8" topLeftCell="C45" activePane="bottomRight" state="frozen"/>
      <selection pane="topRight" activeCell="C1" sqref="C1"/>
      <selection pane="bottomLeft" activeCell="A9" sqref="A9"/>
      <selection pane="bottomRight" activeCell="I52" sqref="I52"/>
    </sheetView>
  </sheetViews>
  <sheetFormatPr defaultColWidth="9.140625" defaultRowHeight="12.75"/>
  <cols>
    <col min="1" max="1" width="2.140625" style="865" customWidth="1"/>
    <col min="2" max="2" width="5" style="865" customWidth="1"/>
    <col min="3" max="4" width="7.7109375" style="865" customWidth="1"/>
    <col min="5" max="5" width="6.140625" style="865" customWidth="1"/>
    <col min="6" max="6" width="5.5703125" style="865" customWidth="1"/>
    <col min="7" max="7" width="7.42578125" style="865" customWidth="1"/>
    <col min="8" max="8" width="7.85546875" style="865" customWidth="1"/>
    <col min="9" max="9" width="7.42578125" style="865" customWidth="1"/>
    <col min="10" max="10" width="7.28515625" style="865" customWidth="1"/>
    <col min="11" max="11" width="6.7109375" style="865" customWidth="1"/>
    <col min="12" max="12" width="6.42578125" style="865" customWidth="1"/>
    <col min="13" max="13" width="5.85546875" style="865" customWidth="1"/>
    <col min="14" max="14" width="5.42578125" style="865" customWidth="1"/>
    <col min="15" max="15" width="7.140625" style="865" customWidth="1"/>
    <col min="16" max="16" width="5.42578125" style="865" customWidth="1"/>
    <col min="17" max="17" width="6.7109375" style="865" customWidth="1"/>
    <col min="18" max="18" width="5.5703125" style="865" customWidth="1"/>
    <col min="19" max="19" width="6.28515625" style="865" customWidth="1"/>
    <col min="20" max="20" width="5.42578125" style="865" customWidth="1"/>
    <col min="21" max="21" width="6" style="865" customWidth="1"/>
    <col min="22" max="22" width="5.140625" style="865" customWidth="1"/>
    <col min="23" max="23" width="7.42578125" style="865" customWidth="1"/>
    <col min="24" max="24" width="5.42578125" style="865" customWidth="1"/>
    <col min="25" max="25" width="7.7109375" style="865" customWidth="1"/>
    <col min="26" max="26" width="2.140625" style="927" customWidth="1"/>
    <col min="27" max="27" width="5" style="865" customWidth="1"/>
    <col min="28" max="28" width="8.42578125" style="865" customWidth="1"/>
    <col min="29" max="29" width="6.85546875" style="865" customWidth="1"/>
    <col min="30" max="30" width="5" style="865" customWidth="1"/>
    <col min="31" max="31" width="4.85546875" style="865" customWidth="1"/>
    <col min="32" max="32" width="6.85546875" style="865" customWidth="1"/>
    <col min="33" max="33" width="5.7109375" style="865" customWidth="1"/>
    <col min="34" max="34" width="6.42578125" style="865" customWidth="1"/>
    <col min="35" max="35" width="5" style="865" customWidth="1"/>
    <col min="36" max="36" width="6.7109375" style="865" customWidth="1"/>
    <col min="37" max="37" width="4.140625" style="865" customWidth="1"/>
    <col min="38" max="38" width="6.5703125" style="865" customWidth="1"/>
    <col min="39" max="39" width="6.140625" style="865" customWidth="1"/>
    <col min="40" max="40" width="9.140625" style="865" customWidth="1"/>
    <col min="41" max="41" width="8.140625" style="865" customWidth="1"/>
    <col min="42" max="42" width="8.5703125" style="865" customWidth="1"/>
    <col min="43" max="43" width="7.140625" style="865" customWidth="1"/>
    <col min="44" max="44" width="7.85546875" style="865" customWidth="1"/>
    <col min="45" max="45" width="6.5703125" style="865" customWidth="1"/>
    <col min="46" max="47" width="7.7109375" style="865" customWidth="1"/>
    <col min="48" max="48" width="8.5703125" style="865" customWidth="1"/>
    <col min="49" max="49" width="8.28515625" style="865" customWidth="1"/>
    <col min="50" max="50" width="2.140625" style="927" customWidth="1"/>
    <col min="51" max="51" width="4.28515625" style="865" customWidth="1"/>
    <col min="52" max="52" width="6.42578125" style="865" customWidth="1"/>
    <col min="53" max="53" width="4.7109375" style="865" customWidth="1"/>
    <col min="54" max="54" width="6.85546875" style="865" customWidth="1"/>
    <col min="55" max="55" width="6.140625" style="865" customWidth="1"/>
    <col min="56" max="56" width="7.5703125" style="865" customWidth="1"/>
    <col min="57" max="57" width="6.5703125" style="865" customWidth="1"/>
    <col min="58" max="58" width="6.85546875" style="865" customWidth="1"/>
    <col min="59" max="59" width="7.5703125" style="865" customWidth="1"/>
    <col min="60" max="60" width="6.85546875" style="865" customWidth="1"/>
    <col min="61" max="61" width="7.42578125" style="865" customWidth="1"/>
    <col min="62" max="62" width="7.5703125" style="865" customWidth="1"/>
    <col min="63" max="63" width="7.140625" style="865" customWidth="1"/>
    <col min="64" max="64" width="6.28515625" style="865" customWidth="1"/>
    <col min="65" max="65" width="6.5703125" style="865" customWidth="1"/>
    <col min="66" max="66" width="8.140625" style="865" customWidth="1"/>
    <col min="67" max="67" width="6.85546875" style="865" customWidth="1"/>
    <col min="68" max="68" width="7.7109375" style="865" customWidth="1"/>
    <col min="69" max="69" width="4.85546875" style="865" customWidth="1"/>
    <col min="70" max="70" width="7.140625" style="865" customWidth="1"/>
    <col min="71" max="71" width="6.140625" style="865" customWidth="1"/>
    <col min="72" max="72" width="6.7109375" style="865" customWidth="1"/>
    <col min="73" max="73" width="6" style="865" customWidth="1"/>
    <col min="74" max="74" width="5.85546875" style="865" customWidth="1"/>
    <col min="75" max="16384" width="9.140625" style="865"/>
  </cols>
  <sheetData>
    <row r="1" spans="1:74" s="848" customFormat="1" ht="33" customHeight="1">
      <c r="H1" s="1959" t="s">
        <v>1827</v>
      </c>
      <c r="I1" s="1959"/>
      <c r="J1" s="1959"/>
      <c r="K1" s="1959"/>
      <c r="L1" s="1959"/>
      <c r="M1" s="1959"/>
      <c r="N1" s="1959"/>
      <c r="O1" s="1959"/>
      <c r="P1" s="1959"/>
      <c r="Q1" s="1959"/>
      <c r="R1" s="1959"/>
      <c r="S1" s="1959"/>
      <c r="V1" s="1957" t="s">
        <v>1878</v>
      </c>
      <c r="W1" s="1957"/>
      <c r="X1" s="1957"/>
      <c r="Y1" s="1957"/>
      <c r="Z1" s="928"/>
      <c r="AH1" s="1959" t="s">
        <v>2521</v>
      </c>
      <c r="AI1" s="1959"/>
      <c r="AJ1" s="1959"/>
      <c r="AK1" s="1959"/>
      <c r="AL1" s="1959"/>
      <c r="AM1" s="1959"/>
      <c r="AN1" s="1959"/>
      <c r="AO1" s="1959"/>
      <c r="AP1" s="1959"/>
      <c r="AQ1" s="1959"/>
      <c r="AR1" s="1959"/>
      <c r="AT1" s="1957" t="s">
        <v>1878</v>
      </c>
      <c r="AU1" s="1957"/>
      <c r="AV1" s="1957"/>
      <c r="AW1" s="1957"/>
      <c r="AX1" s="928"/>
      <c r="BD1" s="849"/>
      <c r="BE1" s="849"/>
      <c r="BF1" s="849"/>
      <c r="BG1" s="1959" t="s">
        <v>1873</v>
      </c>
      <c r="BH1" s="1959"/>
      <c r="BI1" s="1959"/>
      <c r="BJ1" s="1959"/>
      <c r="BK1" s="1959"/>
      <c r="BL1" s="1959"/>
      <c r="BM1" s="1959"/>
      <c r="BN1" s="1959"/>
      <c r="BO1" s="1959"/>
      <c r="BP1" s="849"/>
      <c r="BQ1" s="849"/>
      <c r="BS1" s="1957" t="s">
        <v>1882</v>
      </c>
      <c r="BT1" s="1957"/>
      <c r="BU1" s="1957"/>
      <c r="BV1" s="1957"/>
    </row>
    <row r="2" spans="1:74" s="850" customFormat="1" ht="11.25" customHeight="1">
      <c r="J2" s="851"/>
      <c r="K2" s="852"/>
      <c r="L2" s="852"/>
      <c r="M2" s="852"/>
      <c r="N2" s="852"/>
      <c r="O2" s="852"/>
      <c r="P2" s="852"/>
      <c r="Q2" s="852"/>
      <c r="R2" s="852"/>
      <c r="S2" s="852"/>
      <c r="T2" s="853"/>
      <c r="U2" s="853"/>
      <c r="V2" s="854"/>
      <c r="W2" s="854"/>
      <c r="X2" s="854"/>
      <c r="Y2" s="854"/>
      <c r="Z2" s="929"/>
      <c r="AH2" s="852"/>
      <c r="AI2" s="852"/>
      <c r="AJ2" s="852"/>
      <c r="AK2" s="852"/>
      <c r="AL2" s="852"/>
      <c r="AM2" s="852"/>
      <c r="AN2" s="852"/>
      <c r="AO2" s="852"/>
      <c r="AP2" s="853"/>
      <c r="AQ2" s="853"/>
      <c r="AR2" s="853"/>
      <c r="AS2" s="853"/>
      <c r="AT2" s="854"/>
      <c r="AU2" s="854"/>
      <c r="AV2" s="854"/>
      <c r="AW2" s="854"/>
      <c r="AX2" s="929"/>
      <c r="BC2" s="852"/>
      <c r="BD2" s="852"/>
      <c r="BE2" s="852"/>
      <c r="BF2" s="852"/>
      <c r="BG2" s="852"/>
      <c r="BH2" s="852"/>
      <c r="BI2" s="852"/>
      <c r="BM2" s="851"/>
      <c r="BN2" s="851"/>
      <c r="BO2" s="851"/>
      <c r="BP2" s="851"/>
      <c r="BQ2" s="851"/>
      <c r="BR2" s="848"/>
      <c r="BT2" s="855"/>
      <c r="BU2" s="854"/>
      <c r="BV2" s="854"/>
    </row>
    <row r="3" spans="1:74" s="856" customFormat="1" ht="12.75" customHeight="1">
      <c r="A3" s="1932" t="s">
        <v>1828</v>
      </c>
      <c r="B3" s="1933"/>
      <c r="C3" s="1938" t="s">
        <v>1829</v>
      </c>
      <c r="D3" s="1938"/>
      <c r="E3" s="1938"/>
      <c r="F3" s="1938"/>
      <c r="G3" s="1938"/>
      <c r="H3" s="1938"/>
      <c r="I3" s="1939" t="s">
        <v>1830</v>
      </c>
      <c r="J3" s="1939"/>
      <c r="K3" s="1940" t="s">
        <v>1884</v>
      </c>
      <c r="L3" s="1941"/>
      <c r="M3" s="1941"/>
      <c r="N3" s="1941"/>
      <c r="O3" s="1941"/>
      <c r="P3" s="1941"/>
      <c r="Q3" s="1941"/>
      <c r="R3" s="1941"/>
      <c r="S3" s="1941"/>
      <c r="T3" s="1941"/>
      <c r="U3" s="1941"/>
      <c r="V3" s="1941"/>
      <c r="W3" s="1941"/>
      <c r="X3" s="1941"/>
      <c r="Y3" s="1942"/>
      <c r="Z3" s="1932" t="s">
        <v>1828</v>
      </c>
      <c r="AA3" s="1933"/>
      <c r="AB3" s="1938" t="s">
        <v>1879</v>
      </c>
      <c r="AC3" s="1938"/>
      <c r="AD3" s="1938"/>
      <c r="AE3" s="1938"/>
      <c r="AF3" s="1938"/>
      <c r="AG3" s="1938"/>
      <c r="AH3" s="1938"/>
      <c r="AI3" s="1938"/>
      <c r="AJ3" s="1938"/>
      <c r="AK3" s="1938"/>
      <c r="AL3" s="1938"/>
      <c r="AM3" s="1938"/>
      <c r="AN3" s="1938"/>
      <c r="AO3" s="1938"/>
      <c r="AP3" s="1938"/>
      <c r="AQ3" s="1938"/>
      <c r="AR3" s="1938"/>
      <c r="AS3" s="1938"/>
      <c r="AT3" s="1938"/>
      <c r="AU3" s="1938"/>
      <c r="AV3" s="1938"/>
      <c r="AW3" s="1938"/>
      <c r="AX3" s="1932" t="s">
        <v>1828</v>
      </c>
      <c r="AY3" s="1933"/>
      <c r="AZ3" s="1938" t="s">
        <v>1831</v>
      </c>
      <c r="BA3" s="1938"/>
      <c r="BB3" s="1938"/>
      <c r="BC3" s="1938"/>
      <c r="BD3" s="1938"/>
      <c r="BE3" s="1938"/>
      <c r="BF3" s="1938" t="s">
        <v>1951</v>
      </c>
      <c r="BG3" s="1938"/>
      <c r="BH3" s="1938"/>
      <c r="BI3" s="1938"/>
      <c r="BJ3" s="1962" t="s">
        <v>1880</v>
      </c>
      <c r="BK3" s="1963"/>
      <c r="BL3" s="1964"/>
      <c r="BM3" s="1938" t="s">
        <v>1832</v>
      </c>
      <c r="BN3" s="1938"/>
      <c r="BO3" s="1938"/>
      <c r="BP3" s="1938"/>
      <c r="BQ3" s="1938" t="s">
        <v>1833</v>
      </c>
      <c r="BR3" s="1938"/>
      <c r="BS3" s="1938"/>
      <c r="BT3" s="1938"/>
      <c r="BU3" s="1961" t="s">
        <v>1883</v>
      </c>
      <c r="BV3" s="1954" t="s">
        <v>1881</v>
      </c>
    </row>
    <row r="4" spans="1:74" s="856" customFormat="1" ht="15.75" customHeight="1">
      <c r="A4" s="1934"/>
      <c r="B4" s="1935"/>
      <c r="C4" s="1938"/>
      <c r="D4" s="1938"/>
      <c r="E4" s="1938"/>
      <c r="F4" s="1938"/>
      <c r="G4" s="1938"/>
      <c r="H4" s="1938"/>
      <c r="I4" s="1939"/>
      <c r="J4" s="1939"/>
      <c r="K4" s="1938" t="s">
        <v>1834</v>
      </c>
      <c r="L4" s="1938"/>
      <c r="M4" s="1938"/>
      <c r="N4" s="1938"/>
      <c r="O4" s="1938"/>
      <c r="P4" s="1938"/>
      <c r="Q4" s="1938"/>
      <c r="R4" s="1938"/>
      <c r="S4" s="1938"/>
      <c r="T4" s="1938"/>
      <c r="U4" s="1938"/>
      <c r="V4" s="1938"/>
      <c r="W4" s="1938"/>
      <c r="X4" s="1938"/>
      <c r="Y4" s="1938"/>
      <c r="Z4" s="1934"/>
      <c r="AA4" s="1935"/>
      <c r="AB4" s="1938" t="s">
        <v>1835</v>
      </c>
      <c r="AC4" s="1938"/>
      <c r="AD4" s="1938"/>
      <c r="AE4" s="1938"/>
      <c r="AF4" s="1938"/>
      <c r="AG4" s="1938"/>
      <c r="AH4" s="1938"/>
      <c r="AI4" s="1938"/>
      <c r="AJ4" s="1938"/>
      <c r="AK4" s="1938"/>
      <c r="AL4" s="1938"/>
      <c r="AM4" s="1938"/>
      <c r="AN4" s="1938"/>
      <c r="AO4" s="1938"/>
      <c r="AP4" s="1960" t="s">
        <v>1836</v>
      </c>
      <c r="AQ4" s="1960"/>
      <c r="AR4" s="1960"/>
      <c r="AS4" s="1960"/>
      <c r="AT4" s="1950" t="s">
        <v>1837</v>
      </c>
      <c r="AU4" s="1950"/>
      <c r="AV4" s="1950"/>
      <c r="AW4" s="1950"/>
      <c r="AX4" s="1934"/>
      <c r="AY4" s="1935"/>
      <c r="AZ4" s="1950" t="s">
        <v>1838</v>
      </c>
      <c r="BA4" s="1950"/>
      <c r="BB4" s="1950"/>
      <c r="BC4" s="1950"/>
      <c r="BD4" s="1938" t="s">
        <v>735</v>
      </c>
      <c r="BE4" s="1938"/>
      <c r="BF4" s="1938"/>
      <c r="BG4" s="1938"/>
      <c r="BH4" s="1938"/>
      <c r="BI4" s="1938"/>
      <c r="BJ4" s="1965"/>
      <c r="BK4" s="1966"/>
      <c r="BL4" s="1967"/>
      <c r="BM4" s="1938"/>
      <c r="BN4" s="1938"/>
      <c r="BO4" s="1938"/>
      <c r="BP4" s="1938"/>
      <c r="BQ4" s="1938"/>
      <c r="BR4" s="1938"/>
      <c r="BS4" s="1938"/>
      <c r="BT4" s="1938"/>
      <c r="BU4" s="1961"/>
      <c r="BV4" s="1954"/>
    </row>
    <row r="5" spans="1:74" s="857" customFormat="1" ht="12" customHeight="1">
      <c r="A5" s="1934"/>
      <c r="B5" s="1935"/>
      <c r="C5" s="1939" t="s">
        <v>1839</v>
      </c>
      <c r="D5" s="1939"/>
      <c r="E5" s="1939" t="s">
        <v>1840</v>
      </c>
      <c r="F5" s="1939"/>
      <c r="G5" s="1939" t="s">
        <v>735</v>
      </c>
      <c r="H5" s="1939"/>
      <c r="I5" s="1939"/>
      <c r="J5" s="1939"/>
      <c r="K5" s="1944" t="s">
        <v>1872</v>
      </c>
      <c r="L5" s="1945"/>
      <c r="M5" s="1945"/>
      <c r="N5" s="1946"/>
      <c r="O5" s="1947" t="s">
        <v>1841</v>
      </c>
      <c r="P5" s="1947"/>
      <c r="Q5" s="1947"/>
      <c r="R5" s="1947"/>
      <c r="S5" s="1947" t="s">
        <v>1842</v>
      </c>
      <c r="T5" s="1947"/>
      <c r="U5" s="1947"/>
      <c r="V5" s="1947"/>
      <c r="W5" s="1947" t="s">
        <v>735</v>
      </c>
      <c r="X5" s="1947"/>
      <c r="Y5" s="1958" t="s">
        <v>1843</v>
      </c>
      <c r="Z5" s="1934"/>
      <c r="AA5" s="1935"/>
      <c r="AB5" s="1947" t="s">
        <v>1844</v>
      </c>
      <c r="AC5" s="1947"/>
      <c r="AD5" s="1947"/>
      <c r="AE5" s="1947"/>
      <c r="AF5" s="1947" t="s">
        <v>1841</v>
      </c>
      <c r="AG5" s="1947"/>
      <c r="AH5" s="1947"/>
      <c r="AI5" s="1947"/>
      <c r="AJ5" s="1947" t="s">
        <v>1845</v>
      </c>
      <c r="AK5" s="1947"/>
      <c r="AL5" s="1947"/>
      <c r="AM5" s="1947"/>
      <c r="AN5" s="1939" t="s">
        <v>735</v>
      </c>
      <c r="AO5" s="1939"/>
      <c r="AP5" s="1960"/>
      <c r="AQ5" s="1960"/>
      <c r="AR5" s="1960"/>
      <c r="AS5" s="1960"/>
      <c r="AT5" s="1950"/>
      <c r="AU5" s="1950"/>
      <c r="AV5" s="1950"/>
      <c r="AW5" s="1950"/>
      <c r="AX5" s="1934"/>
      <c r="AY5" s="1935"/>
      <c r="AZ5" s="1950"/>
      <c r="BA5" s="1950"/>
      <c r="BB5" s="1950"/>
      <c r="BC5" s="1950"/>
      <c r="BD5" s="1938"/>
      <c r="BE5" s="1938"/>
      <c r="BF5" s="1954" t="s">
        <v>1834</v>
      </c>
      <c r="BG5" s="1954" t="s">
        <v>1835</v>
      </c>
      <c r="BH5" s="1954" t="s">
        <v>1846</v>
      </c>
      <c r="BI5" s="1955" t="s">
        <v>735</v>
      </c>
      <c r="BJ5" s="1954" t="s">
        <v>1847</v>
      </c>
      <c r="BK5" s="1939" t="s">
        <v>1848</v>
      </c>
      <c r="BL5" s="1939"/>
      <c r="BM5" s="1954" t="s">
        <v>1849</v>
      </c>
      <c r="BN5" s="1954" t="s">
        <v>1850</v>
      </c>
      <c r="BO5" s="1954"/>
      <c r="BP5" s="1953" t="s">
        <v>1851</v>
      </c>
      <c r="BQ5" s="1953" t="s">
        <v>1852</v>
      </c>
      <c r="BR5" s="1954" t="s">
        <v>1853</v>
      </c>
      <c r="BS5" s="1954"/>
      <c r="BT5" s="1961" t="s">
        <v>1854</v>
      </c>
      <c r="BU5" s="1961"/>
      <c r="BV5" s="1954"/>
    </row>
    <row r="6" spans="1:74" s="858" customFormat="1" ht="50.25" customHeight="1">
      <c r="A6" s="1934"/>
      <c r="B6" s="1935"/>
      <c r="C6" s="1939"/>
      <c r="D6" s="1939"/>
      <c r="E6" s="1939"/>
      <c r="F6" s="1939"/>
      <c r="G6" s="1939"/>
      <c r="H6" s="1939"/>
      <c r="I6" s="1939"/>
      <c r="J6" s="1939"/>
      <c r="K6" s="1943" t="s">
        <v>1855</v>
      </c>
      <c r="L6" s="1943"/>
      <c r="M6" s="1943" t="s">
        <v>1859</v>
      </c>
      <c r="N6" s="1943"/>
      <c r="O6" s="1943" t="s">
        <v>1857</v>
      </c>
      <c r="P6" s="1943"/>
      <c r="Q6" s="1943" t="s">
        <v>1856</v>
      </c>
      <c r="R6" s="1943"/>
      <c r="S6" s="1943" t="s">
        <v>1858</v>
      </c>
      <c r="T6" s="1943"/>
      <c r="U6" s="1943" t="s">
        <v>1856</v>
      </c>
      <c r="V6" s="1943"/>
      <c r="W6" s="1947"/>
      <c r="X6" s="1947"/>
      <c r="Y6" s="1958"/>
      <c r="Z6" s="1934"/>
      <c r="AA6" s="1935"/>
      <c r="AB6" s="1943" t="s">
        <v>1858</v>
      </c>
      <c r="AC6" s="1943"/>
      <c r="AD6" s="1943" t="s">
        <v>1856</v>
      </c>
      <c r="AE6" s="1943"/>
      <c r="AF6" s="1943" t="s">
        <v>1858</v>
      </c>
      <c r="AG6" s="1943"/>
      <c r="AH6" s="1943" t="s">
        <v>1856</v>
      </c>
      <c r="AI6" s="1943"/>
      <c r="AJ6" s="1943" t="s">
        <v>1858</v>
      </c>
      <c r="AK6" s="1943"/>
      <c r="AL6" s="1943" t="s">
        <v>1859</v>
      </c>
      <c r="AM6" s="1943"/>
      <c r="AN6" s="1939"/>
      <c r="AO6" s="1939"/>
      <c r="AP6" s="1943" t="s">
        <v>1858</v>
      </c>
      <c r="AQ6" s="1943"/>
      <c r="AR6" s="1943" t="s">
        <v>1856</v>
      </c>
      <c r="AS6" s="1943"/>
      <c r="AT6" s="1939" t="s">
        <v>1860</v>
      </c>
      <c r="AU6" s="1939"/>
      <c r="AV6" s="1939" t="s">
        <v>1861</v>
      </c>
      <c r="AW6" s="1939"/>
      <c r="AX6" s="1934"/>
      <c r="AY6" s="1935"/>
      <c r="AZ6" s="1939" t="s">
        <v>1862</v>
      </c>
      <c r="BA6" s="1939"/>
      <c r="BB6" s="1939" t="s">
        <v>735</v>
      </c>
      <c r="BC6" s="1939"/>
      <c r="BD6" s="1938"/>
      <c r="BE6" s="1938"/>
      <c r="BF6" s="1954"/>
      <c r="BG6" s="1954"/>
      <c r="BH6" s="1954"/>
      <c r="BI6" s="1956"/>
      <c r="BJ6" s="1954"/>
      <c r="BK6" s="1939"/>
      <c r="BL6" s="1939"/>
      <c r="BM6" s="1954"/>
      <c r="BN6" s="1954"/>
      <c r="BO6" s="1954"/>
      <c r="BP6" s="1953"/>
      <c r="BQ6" s="1953"/>
      <c r="BR6" s="1954"/>
      <c r="BS6" s="1954"/>
      <c r="BT6" s="1961"/>
      <c r="BU6" s="1961"/>
      <c r="BV6" s="1954"/>
    </row>
    <row r="7" spans="1:74" s="861" customFormat="1" ht="42" customHeight="1">
      <c r="A7" s="1934"/>
      <c r="B7" s="1935"/>
      <c r="C7" s="859" t="s">
        <v>1863</v>
      </c>
      <c r="D7" s="859" t="s">
        <v>2292</v>
      </c>
      <c r="E7" s="859" t="s">
        <v>1864</v>
      </c>
      <c r="F7" s="859" t="s">
        <v>2293</v>
      </c>
      <c r="G7" s="859" t="s">
        <v>1865</v>
      </c>
      <c r="H7" s="859" t="s">
        <v>2293</v>
      </c>
      <c r="I7" s="859" t="s">
        <v>1865</v>
      </c>
      <c r="J7" s="859" t="s">
        <v>2293</v>
      </c>
      <c r="K7" s="859" t="s">
        <v>1864</v>
      </c>
      <c r="L7" s="859" t="s">
        <v>2293</v>
      </c>
      <c r="M7" s="859" t="s">
        <v>1865</v>
      </c>
      <c r="N7" s="860" t="s">
        <v>2293</v>
      </c>
      <c r="O7" s="859" t="s">
        <v>1864</v>
      </c>
      <c r="P7" s="860" t="s">
        <v>2293</v>
      </c>
      <c r="Q7" s="859" t="s">
        <v>1864</v>
      </c>
      <c r="R7" s="860" t="s">
        <v>2293</v>
      </c>
      <c r="S7" s="859" t="s">
        <v>1864</v>
      </c>
      <c r="T7" s="860" t="s">
        <v>2293</v>
      </c>
      <c r="U7" s="859" t="s">
        <v>1864</v>
      </c>
      <c r="V7" s="860" t="s">
        <v>2293</v>
      </c>
      <c r="W7" s="859" t="s">
        <v>1865</v>
      </c>
      <c r="X7" s="860" t="s">
        <v>2293</v>
      </c>
      <c r="Y7" s="859" t="s">
        <v>2293</v>
      </c>
      <c r="Z7" s="1934"/>
      <c r="AA7" s="1935"/>
      <c r="AB7" s="859" t="s">
        <v>1864</v>
      </c>
      <c r="AC7" s="859" t="s">
        <v>2293</v>
      </c>
      <c r="AD7" s="859" t="s">
        <v>1887</v>
      </c>
      <c r="AE7" s="860" t="s">
        <v>2293</v>
      </c>
      <c r="AF7" s="859" t="s">
        <v>1864</v>
      </c>
      <c r="AG7" s="860" t="s">
        <v>2293</v>
      </c>
      <c r="AH7" s="859" t="s">
        <v>1864</v>
      </c>
      <c r="AI7" s="860" t="s">
        <v>2293</v>
      </c>
      <c r="AJ7" s="859" t="s">
        <v>1864</v>
      </c>
      <c r="AK7" s="860" t="s">
        <v>2293</v>
      </c>
      <c r="AL7" s="859" t="s">
        <v>1864</v>
      </c>
      <c r="AM7" s="859" t="s">
        <v>2293</v>
      </c>
      <c r="AN7" s="859" t="s">
        <v>1864</v>
      </c>
      <c r="AO7" s="859" t="s">
        <v>2293</v>
      </c>
      <c r="AP7" s="859" t="s">
        <v>1865</v>
      </c>
      <c r="AQ7" s="859" t="s">
        <v>2293</v>
      </c>
      <c r="AR7" s="859" t="s">
        <v>1864</v>
      </c>
      <c r="AS7" s="859" t="s">
        <v>2293</v>
      </c>
      <c r="AT7" s="859" t="s">
        <v>1864</v>
      </c>
      <c r="AU7" s="859" t="s">
        <v>2293</v>
      </c>
      <c r="AV7" s="859" t="s">
        <v>1864</v>
      </c>
      <c r="AW7" s="859" t="s">
        <v>2293</v>
      </c>
      <c r="AX7" s="1934"/>
      <c r="AY7" s="1935"/>
      <c r="AZ7" s="859" t="s">
        <v>1865</v>
      </c>
      <c r="BA7" s="860" t="s">
        <v>2293</v>
      </c>
      <c r="BB7" s="859" t="s">
        <v>1864</v>
      </c>
      <c r="BC7" s="860" t="s">
        <v>2293</v>
      </c>
      <c r="BD7" s="859" t="s">
        <v>1864</v>
      </c>
      <c r="BE7" s="859" t="s">
        <v>2293</v>
      </c>
      <c r="BF7" s="859" t="s">
        <v>1950</v>
      </c>
      <c r="BG7" s="859" t="s">
        <v>1950</v>
      </c>
      <c r="BH7" s="859" t="s">
        <v>1866</v>
      </c>
      <c r="BI7" s="859" t="s">
        <v>1866</v>
      </c>
      <c r="BJ7" s="859" t="s">
        <v>1866</v>
      </c>
      <c r="BK7" s="859" t="s">
        <v>1888</v>
      </c>
      <c r="BL7" s="859" t="s">
        <v>2293</v>
      </c>
      <c r="BM7" s="859" t="s">
        <v>1866</v>
      </c>
      <c r="BN7" s="859" t="s">
        <v>1865</v>
      </c>
      <c r="BO7" s="859" t="s">
        <v>2293</v>
      </c>
      <c r="BP7" s="859" t="s">
        <v>1866</v>
      </c>
      <c r="BQ7" s="859" t="s">
        <v>1866</v>
      </c>
      <c r="BR7" s="859" t="s">
        <v>1865</v>
      </c>
      <c r="BS7" s="859" t="s">
        <v>2293</v>
      </c>
      <c r="BT7" s="859" t="s">
        <v>1866</v>
      </c>
      <c r="BU7" s="859" t="s">
        <v>1866</v>
      </c>
      <c r="BV7" s="859" t="s">
        <v>1866</v>
      </c>
    </row>
    <row r="8" spans="1:74" s="864" customFormat="1" ht="15" customHeight="1">
      <c r="A8" s="1936"/>
      <c r="B8" s="1937"/>
      <c r="C8" s="1931">
        <v>1</v>
      </c>
      <c r="D8" s="1931"/>
      <c r="E8" s="1931">
        <v>2</v>
      </c>
      <c r="F8" s="1931"/>
      <c r="G8" s="999" t="s">
        <v>1867</v>
      </c>
      <c r="H8" s="999"/>
      <c r="I8" s="1931">
        <v>4</v>
      </c>
      <c r="J8" s="1931"/>
      <c r="K8" s="1931">
        <v>5</v>
      </c>
      <c r="L8" s="1931"/>
      <c r="M8" s="1931">
        <v>6</v>
      </c>
      <c r="N8" s="1931"/>
      <c r="O8" s="1931">
        <v>7</v>
      </c>
      <c r="P8" s="1931"/>
      <c r="Q8" s="1931">
        <v>8</v>
      </c>
      <c r="R8" s="1931"/>
      <c r="S8" s="1931">
        <v>9</v>
      </c>
      <c r="T8" s="1931"/>
      <c r="U8" s="1931">
        <v>10</v>
      </c>
      <c r="V8" s="1931"/>
      <c r="W8" s="1931" t="s">
        <v>1868</v>
      </c>
      <c r="X8" s="1931"/>
      <c r="Y8" s="862">
        <v>12</v>
      </c>
      <c r="Z8" s="1936"/>
      <c r="AA8" s="1937"/>
      <c r="AB8" s="1931">
        <v>13</v>
      </c>
      <c r="AC8" s="1931"/>
      <c r="AD8" s="1931">
        <v>14</v>
      </c>
      <c r="AE8" s="1931"/>
      <c r="AF8" s="1948">
        <v>15</v>
      </c>
      <c r="AG8" s="1949"/>
      <c r="AH8" s="1931">
        <v>16</v>
      </c>
      <c r="AI8" s="1931"/>
      <c r="AJ8" s="1948">
        <v>17</v>
      </c>
      <c r="AK8" s="1949"/>
      <c r="AL8" s="1931">
        <v>18</v>
      </c>
      <c r="AM8" s="1931"/>
      <c r="AN8" s="1931" t="s">
        <v>1869</v>
      </c>
      <c r="AO8" s="1931"/>
      <c r="AP8" s="1931">
        <v>20</v>
      </c>
      <c r="AQ8" s="1931"/>
      <c r="AR8" s="1931">
        <v>21</v>
      </c>
      <c r="AS8" s="1931"/>
      <c r="AT8" s="1931">
        <v>22</v>
      </c>
      <c r="AU8" s="1931"/>
      <c r="AV8" s="1931">
        <v>23</v>
      </c>
      <c r="AW8" s="1931"/>
      <c r="AX8" s="1936"/>
      <c r="AY8" s="1937"/>
      <c r="AZ8" s="1931">
        <v>24</v>
      </c>
      <c r="BA8" s="1931"/>
      <c r="BB8" s="1951" t="s">
        <v>1870</v>
      </c>
      <c r="BC8" s="1952"/>
      <c r="BD8" s="1951" t="s">
        <v>1871</v>
      </c>
      <c r="BE8" s="1952"/>
      <c r="BF8" s="862">
        <v>27</v>
      </c>
      <c r="BG8" s="862">
        <v>28</v>
      </c>
      <c r="BH8" s="913">
        <v>29</v>
      </c>
      <c r="BI8" s="863" t="s">
        <v>1949</v>
      </c>
      <c r="BJ8" s="862">
        <v>31</v>
      </c>
      <c r="BK8" s="862">
        <v>32</v>
      </c>
      <c r="BL8" s="862">
        <v>33</v>
      </c>
      <c r="BM8" s="862">
        <v>34</v>
      </c>
      <c r="BN8" s="1931">
        <v>35</v>
      </c>
      <c r="BO8" s="1931"/>
      <c r="BP8" s="862">
        <v>36</v>
      </c>
      <c r="BQ8" s="862">
        <v>37</v>
      </c>
      <c r="BR8" s="1931">
        <v>38</v>
      </c>
      <c r="BS8" s="1931"/>
      <c r="BT8" s="862">
        <v>39</v>
      </c>
      <c r="BU8" s="862">
        <v>40</v>
      </c>
      <c r="BV8" s="1268">
        <v>41</v>
      </c>
    </row>
    <row r="9" spans="1:74" s="871" customFormat="1" ht="9.75" customHeight="1">
      <c r="A9" s="1927" t="s">
        <v>2268</v>
      </c>
      <c r="B9" s="1928"/>
      <c r="C9" s="890"/>
      <c r="D9" s="891"/>
      <c r="E9" s="890"/>
      <c r="F9" s="891"/>
      <c r="G9" s="890"/>
      <c r="H9" s="891"/>
      <c r="I9" s="890"/>
      <c r="J9" s="891"/>
      <c r="K9" s="890"/>
      <c r="L9" s="891"/>
      <c r="M9" s="890"/>
      <c r="N9" s="891"/>
      <c r="O9" s="890"/>
      <c r="P9" s="891"/>
      <c r="Q9" s="890"/>
      <c r="R9" s="891"/>
      <c r="S9" s="890"/>
      <c r="T9" s="891"/>
      <c r="U9" s="890"/>
      <c r="V9" s="891"/>
      <c r="W9" s="890"/>
      <c r="X9" s="891"/>
      <c r="Y9" s="891"/>
      <c r="Z9" s="1927" t="s">
        <v>2268</v>
      </c>
      <c r="AA9" s="1928"/>
      <c r="AB9" s="890"/>
      <c r="AC9" s="891"/>
      <c r="AD9" s="890"/>
      <c r="AE9" s="891"/>
      <c r="AF9" s="890"/>
      <c r="AG9" s="891"/>
      <c r="AH9" s="890"/>
      <c r="AI9" s="891"/>
      <c r="AJ9" s="890"/>
      <c r="AK9" s="891"/>
      <c r="AL9" s="890"/>
      <c r="AM9" s="891"/>
      <c r="AN9" s="890"/>
      <c r="AO9" s="891"/>
      <c r="AP9" s="890"/>
      <c r="AQ9" s="914"/>
      <c r="AR9" s="890"/>
      <c r="AS9" s="891"/>
      <c r="AT9" s="890"/>
      <c r="AU9" s="891"/>
      <c r="AV9" s="890"/>
      <c r="AW9" s="891"/>
      <c r="AX9" s="1927" t="s">
        <v>2268</v>
      </c>
      <c r="AY9" s="1928"/>
      <c r="AZ9" s="890"/>
      <c r="BA9" s="891"/>
      <c r="BB9" s="890"/>
      <c r="BC9" s="891"/>
      <c r="BD9" s="890"/>
      <c r="BE9" s="891"/>
      <c r="BF9" s="890"/>
      <c r="BG9" s="890"/>
      <c r="BH9" s="890"/>
      <c r="BI9" s="890"/>
      <c r="BJ9" s="890"/>
      <c r="BK9" s="890"/>
      <c r="BL9" s="891"/>
      <c r="BM9" s="890"/>
      <c r="BN9" s="890"/>
      <c r="BO9" s="891"/>
      <c r="BP9" s="890"/>
      <c r="BQ9" s="890"/>
      <c r="BR9" s="890"/>
      <c r="BS9" s="891"/>
      <c r="BT9" s="890"/>
      <c r="BU9" s="890"/>
      <c r="BV9" s="1267"/>
    </row>
    <row r="10" spans="1:74" s="871" customFormat="1" ht="9.75" customHeight="1">
      <c r="A10" s="1922" t="s">
        <v>1994</v>
      </c>
      <c r="B10" s="866" t="s">
        <v>1875</v>
      </c>
      <c r="C10" s="943">
        <v>1137748</v>
      </c>
      <c r="D10" s="944">
        <v>142136.18</v>
      </c>
      <c r="E10" s="943">
        <v>0</v>
      </c>
      <c r="F10" s="944">
        <v>0</v>
      </c>
      <c r="G10" s="943">
        <v>1137748</v>
      </c>
      <c r="H10" s="944">
        <v>142136.18</v>
      </c>
      <c r="I10" s="943">
        <v>78415</v>
      </c>
      <c r="J10" s="944">
        <v>1525.71</v>
      </c>
      <c r="K10" s="943">
        <v>9544</v>
      </c>
      <c r="L10" s="944">
        <v>8.4</v>
      </c>
      <c r="M10" s="943">
        <v>1</v>
      </c>
      <c r="N10" s="944">
        <v>0</v>
      </c>
      <c r="O10" s="943">
        <v>7430</v>
      </c>
      <c r="P10" s="944">
        <v>2.77</v>
      </c>
      <c r="Q10" s="943">
        <v>92</v>
      </c>
      <c r="R10" s="944">
        <v>0.05</v>
      </c>
      <c r="S10" s="943">
        <v>565</v>
      </c>
      <c r="T10" s="944">
        <v>0.03</v>
      </c>
      <c r="U10" s="943">
        <v>0</v>
      </c>
      <c r="V10" s="944">
        <v>0</v>
      </c>
      <c r="W10" s="943">
        <v>17632</v>
      </c>
      <c r="X10" s="944">
        <v>11.26</v>
      </c>
      <c r="Y10" s="944">
        <v>13.12</v>
      </c>
      <c r="Z10" s="1922" t="s">
        <v>1994</v>
      </c>
      <c r="AA10" s="866" t="s">
        <v>1875</v>
      </c>
      <c r="AB10" s="945">
        <v>665072</v>
      </c>
      <c r="AC10" s="946">
        <v>586.95000000000005</v>
      </c>
      <c r="AD10" s="945">
        <v>0</v>
      </c>
      <c r="AE10" s="946">
        <v>0</v>
      </c>
      <c r="AF10" s="945">
        <v>37350</v>
      </c>
      <c r="AG10" s="946">
        <v>11.8</v>
      </c>
      <c r="AH10" s="945">
        <v>0</v>
      </c>
      <c r="AI10" s="946">
        <v>0</v>
      </c>
      <c r="AJ10" s="945">
        <v>1806</v>
      </c>
      <c r="AK10" s="946">
        <v>0.05</v>
      </c>
      <c r="AL10" s="945">
        <v>0</v>
      </c>
      <c r="AM10" s="946">
        <v>0</v>
      </c>
      <c r="AN10" s="945">
        <v>704228</v>
      </c>
      <c r="AO10" s="946">
        <v>598.84</v>
      </c>
      <c r="AP10" s="945">
        <v>23</v>
      </c>
      <c r="AQ10" s="947">
        <v>0.01</v>
      </c>
      <c r="AR10" s="945">
        <v>0</v>
      </c>
      <c r="AS10" s="946">
        <v>0</v>
      </c>
      <c r="AT10" s="945">
        <v>0</v>
      </c>
      <c r="AU10" s="946">
        <v>0</v>
      </c>
      <c r="AV10" s="945">
        <v>0</v>
      </c>
      <c r="AW10" s="946">
        <v>0</v>
      </c>
      <c r="AX10" s="1922" t="s">
        <v>1994</v>
      </c>
      <c r="AY10" s="866" t="s">
        <v>1875</v>
      </c>
      <c r="AZ10" s="943">
        <v>0</v>
      </c>
      <c r="BA10" s="944">
        <v>0</v>
      </c>
      <c r="BB10" s="943">
        <v>0</v>
      </c>
      <c r="BC10" s="944">
        <v>0</v>
      </c>
      <c r="BD10" s="943">
        <v>721883</v>
      </c>
      <c r="BE10" s="944">
        <v>610.11</v>
      </c>
      <c r="BF10" s="943">
        <v>3613</v>
      </c>
      <c r="BG10" s="943">
        <v>260269</v>
      </c>
      <c r="BH10" s="943">
        <v>7065</v>
      </c>
      <c r="BI10" s="943">
        <v>270947</v>
      </c>
      <c r="BJ10" s="943">
        <v>0</v>
      </c>
      <c r="BK10" s="943">
        <v>0</v>
      </c>
      <c r="BL10" s="944">
        <v>0</v>
      </c>
      <c r="BM10" s="943">
        <v>118340</v>
      </c>
      <c r="BN10" s="943">
        <v>10905787</v>
      </c>
      <c r="BO10" s="944">
        <v>881.33999999999992</v>
      </c>
      <c r="BP10" s="943">
        <v>12282399</v>
      </c>
      <c r="BQ10" s="943">
        <v>200</v>
      </c>
      <c r="BR10" s="943">
        <v>189938</v>
      </c>
      <c r="BS10" s="944">
        <v>255.43999999999997</v>
      </c>
      <c r="BT10" s="943">
        <v>34358</v>
      </c>
      <c r="BU10" s="943">
        <v>218</v>
      </c>
      <c r="BV10" s="958">
        <v>0</v>
      </c>
    </row>
    <row r="11" spans="1:74" s="253" customFormat="1" ht="9.75" customHeight="1">
      <c r="A11" s="1923"/>
      <c r="B11" s="868" t="s">
        <v>1876</v>
      </c>
      <c r="C11" s="948">
        <v>43632</v>
      </c>
      <c r="D11" s="949">
        <v>4040.6000000000004</v>
      </c>
      <c r="E11" s="948">
        <v>1597</v>
      </c>
      <c r="F11" s="949">
        <v>22.54</v>
      </c>
      <c r="G11" s="948">
        <v>45229</v>
      </c>
      <c r="H11" s="949">
        <v>4063.14</v>
      </c>
      <c r="I11" s="948">
        <v>381</v>
      </c>
      <c r="J11" s="949">
        <v>154.29</v>
      </c>
      <c r="K11" s="948">
        <v>0</v>
      </c>
      <c r="L11" s="949">
        <v>0</v>
      </c>
      <c r="M11" s="948">
        <v>0</v>
      </c>
      <c r="N11" s="949">
        <v>0</v>
      </c>
      <c r="O11" s="948">
        <v>0</v>
      </c>
      <c r="P11" s="949">
        <v>0</v>
      </c>
      <c r="Q11" s="948">
        <v>0</v>
      </c>
      <c r="R11" s="949">
        <v>0</v>
      </c>
      <c r="S11" s="948">
        <v>0</v>
      </c>
      <c r="T11" s="949">
        <v>0</v>
      </c>
      <c r="U11" s="948">
        <v>0</v>
      </c>
      <c r="V11" s="949">
        <v>0</v>
      </c>
      <c r="W11" s="948">
        <v>0</v>
      </c>
      <c r="X11" s="949">
        <v>0</v>
      </c>
      <c r="Y11" s="949">
        <v>0</v>
      </c>
      <c r="Z11" s="1923"/>
      <c r="AA11" s="868" t="s">
        <v>1876</v>
      </c>
      <c r="AB11" s="538">
        <v>14667</v>
      </c>
      <c r="AC11" s="950">
        <v>11.67</v>
      </c>
      <c r="AD11" s="538">
        <v>0</v>
      </c>
      <c r="AE11" s="950">
        <v>0</v>
      </c>
      <c r="AF11" s="538">
        <v>578</v>
      </c>
      <c r="AG11" s="950">
        <v>0.15000000000000002</v>
      </c>
      <c r="AH11" s="538">
        <v>0</v>
      </c>
      <c r="AI11" s="950">
        <v>0</v>
      </c>
      <c r="AJ11" s="538">
        <v>0</v>
      </c>
      <c r="AK11" s="950">
        <v>0</v>
      </c>
      <c r="AL11" s="538">
        <v>0</v>
      </c>
      <c r="AM11" s="950">
        <v>0</v>
      </c>
      <c r="AN11" s="538">
        <v>15245</v>
      </c>
      <c r="AO11" s="950">
        <v>11.81</v>
      </c>
      <c r="AP11" s="538">
        <v>0</v>
      </c>
      <c r="AQ11" s="951">
        <v>0</v>
      </c>
      <c r="AR11" s="538">
        <v>0</v>
      </c>
      <c r="AS11" s="950">
        <v>0</v>
      </c>
      <c r="AT11" s="538">
        <v>0</v>
      </c>
      <c r="AU11" s="950">
        <v>0</v>
      </c>
      <c r="AV11" s="538">
        <v>0</v>
      </c>
      <c r="AW11" s="950">
        <v>0</v>
      </c>
      <c r="AX11" s="1923"/>
      <c r="AY11" s="868" t="s">
        <v>1876</v>
      </c>
      <c r="AZ11" s="948">
        <v>0</v>
      </c>
      <c r="BA11" s="949">
        <v>0</v>
      </c>
      <c r="BB11" s="948">
        <v>0</v>
      </c>
      <c r="BC11" s="949">
        <v>0</v>
      </c>
      <c r="BD11" s="948">
        <v>15245</v>
      </c>
      <c r="BE11" s="949">
        <v>1</v>
      </c>
      <c r="BF11" s="948">
        <v>0</v>
      </c>
      <c r="BG11" s="948">
        <v>4553</v>
      </c>
      <c r="BH11" s="948">
        <v>0</v>
      </c>
      <c r="BI11" s="948">
        <v>4553</v>
      </c>
      <c r="BJ11" s="948">
        <v>0</v>
      </c>
      <c r="BK11" s="948">
        <v>0</v>
      </c>
      <c r="BL11" s="949">
        <v>0</v>
      </c>
      <c r="BM11" s="948">
        <v>0</v>
      </c>
      <c r="BN11" s="948">
        <v>0</v>
      </c>
      <c r="BO11" s="949">
        <v>0</v>
      </c>
      <c r="BP11" s="948">
        <v>0</v>
      </c>
      <c r="BQ11" s="948">
        <v>0</v>
      </c>
      <c r="BR11" s="948">
        <v>0</v>
      </c>
      <c r="BS11" s="949">
        <v>0</v>
      </c>
      <c r="BT11" s="948">
        <v>0</v>
      </c>
      <c r="BU11" s="948">
        <v>6</v>
      </c>
      <c r="BV11" s="952">
        <v>0</v>
      </c>
    </row>
    <row r="12" spans="1:74" s="871" customFormat="1" ht="9.75" customHeight="1">
      <c r="A12" s="1923"/>
      <c r="B12" s="869" t="s">
        <v>1877</v>
      </c>
      <c r="C12" s="953">
        <v>4130179</v>
      </c>
      <c r="D12" s="954">
        <v>399433.9</v>
      </c>
      <c r="E12" s="953">
        <v>3576</v>
      </c>
      <c r="F12" s="954">
        <v>234.76</v>
      </c>
      <c r="G12" s="953">
        <v>4133755</v>
      </c>
      <c r="H12" s="954">
        <v>399668.63000000006</v>
      </c>
      <c r="I12" s="953">
        <v>3766140</v>
      </c>
      <c r="J12" s="954">
        <v>29473.759999999998</v>
      </c>
      <c r="K12" s="953">
        <v>365641</v>
      </c>
      <c r="L12" s="954">
        <v>256.09999999999997</v>
      </c>
      <c r="M12" s="953">
        <v>11259</v>
      </c>
      <c r="N12" s="954">
        <v>20.459999999999994</v>
      </c>
      <c r="O12" s="953">
        <v>2857501</v>
      </c>
      <c r="P12" s="954">
        <v>1666.3600000000001</v>
      </c>
      <c r="Q12" s="953">
        <v>404054</v>
      </c>
      <c r="R12" s="954">
        <v>390.55000000000007</v>
      </c>
      <c r="S12" s="953">
        <v>461780</v>
      </c>
      <c r="T12" s="954">
        <v>71.27</v>
      </c>
      <c r="U12" s="953">
        <v>154687</v>
      </c>
      <c r="V12" s="954">
        <v>197.36</v>
      </c>
      <c r="W12" s="953">
        <v>4254922</v>
      </c>
      <c r="X12" s="954">
        <v>2602.1000000000004</v>
      </c>
      <c r="Y12" s="954">
        <v>3570.5800000000008</v>
      </c>
      <c r="Z12" s="1923"/>
      <c r="AA12" s="869" t="s">
        <v>1877</v>
      </c>
      <c r="AB12" s="955">
        <v>40982009</v>
      </c>
      <c r="AC12" s="956">
        <v>31232.609999999993</v>
      </c>
      <c r="AD12" s="955">
        <v>1062</v>
      </c>
      <c r="AE12" s="956">
        <v>2.95</v>
      </c>
      <c r="AF12" s="955">
        <v>2279982</v>
      </c>
      <c r="AG12" s="956">
        <v>1335.4899999999998</v>
      </c>
      <c r="AH12" s="955">
        <v>6673</v>
      </c>
      <c r="AI12" s="956">
        <v>19.68</v>
      </c>
      <c r="AJ12" s="955">
        <v>1387553</v>
      </c>
      <c r="AK12" s="956">
        <v>72.850000000000009</v>
      </c>
      <c r="AL12" s="955">
        <v>2334</v>
      </c>
      <c r="AM12" s="956">
        <v>2.85</v>
      </c>
      <c r="AN12" s="955">
        <v>44659613</v>
      </c>
      <c r="AO12" s="956">
        <v>32666.479999999985</v>
      </c>
      <c r="AP12" s="955">
        <v>253520</v>
      </c>
      <c r="AQ12" s="957">
        <v>175.46000000000004</v>
      </c>
      <c r="AR12" s="955">
        <v>79510</v>
      </c>
      <c r="AS12" s="956">
        <v>33.42</v>
      </c>
      <c r="AT12" s="955">
        <v>86014</v>
      </c>
      <c r="AU12" s="956">
        <v>330.75</v>
      </c>
      <c r="AV12" s="955">
        <v>374993</v>
      </c>
      <c r="AW12" s="956">
        <v>358.28000000000003</v>
      </c>
      <c r="AX12" s="1923"/>
      <c r="AY12" s="869" t="s">
        <v>1877</v>
      </c>
      <c r="AZ12" s="953">
        <v>231812</v>
      </c>
      <c r="BA12" s="954">
        <v>46.24</v>
      </c>
      <c r="BB12" s="953">
        <v>692819</v>
      </c>
      <c r="BC12" s="954">
        <v>735.29</v>
      </c>
      <c r="BD12" s="953">
        <v>49933711</v>
      </c>
      <c r="BE12" s="954">
        <v>36193.079999999994</v>
      </c>
      <c r="BF12" s="953">
        <v>882066</v>
      </c>
      <c r="BG12" s="953">
        <v>12005422</v>
      </c>
      <c r="BH12" s="953">
        <v>103227</v>
      </c>
      <c r="BI12" s="953">
        <v>12990715</v>
      </c>
      <c r="BJ12" s="953">
        <v>1694637</v>
      </c>
      <c r="BK12" s="953">
        <v>1623545</v>
      </c>
      <c r="BL12" s="954">
        <v>2556.9400000000005</v>
      </c>
      <c r="BM12" s="953">
        <v>711443</v>
      </c>
      <c r="BN12" s="953">
        <v>545592015</v>
      </c>
      <c r="BO12" s="954">
        <v>96353.1</v>
      </c>
      <c r="BP12" s="953">
        <v>49580583</v>
      </c>
      <c r="BQ12" s="953">
        <v>3398</v>
      </c>
      <c r="BR12" s="953">
        <v>5104026</v>
      </c>
      <c r="BS12" s="954">
        <v>11637.029999999999</v>
      </c>
      <c r="BT12" s="953">
        <v>1748798</v>
      </c>
      <c r="BU12" s="953">
        <v>9356</v>
      </c>
      <c r="BV12" s="958">
        <v>41130</v>
      </c>
    </row>
    <row r="13" spans="1:74" s="871" customFormat="1" ht="9.75" customHeight="1">
      <c r="A13" s="1923"/>
      <c r="B13" s="870" t="s">
        <v>1897</v>
      </c>
      <c r="C13" s="959">
        <v>427680</v>
      </c>
      <c r="D13" s="960">
        <v>45310.399999999994</v>
      </c>
      <c r="E13" s="959">
        <v>0</v>
      </c>
      <c r="F13" s="960">
        <v>0</v>
      </c>
      <c r="G13" s="959">
        <v>427680</v>
      </c>
      <c r="H13" s="960">
        <v>45310.399999999994</v>
      </c>
      <c r="I13" s="959">
        <v>1257757</v>
      </c>
      <c r="J13" s="960">
        <v>11355.7</v>
      </c>
      <c r="K13" s="959">
        <v>27569</v>
      </c>
      <c r="L13" s="960">
        <v>24.8</v>
      </c>
      <c r="M13" s="959">
        <v>498</v>
      </c>
      <c r="N13" s="960">
        <v>0.65</v>
      </c>
      <c r="O13" s="959">
        <v>812257</v>
      </c>
      <c r="P13" s="960">
        <v>372.9</v>
      </c>
      <c r="Q13" s="959">
        <v>29072</v>
      </c>
      <c r="R13" s="960">
        <v>25.91</v>
      </c>
      <c r="S13" s="959">
        <v>138430</v>
      </c>
      <c r="T13" s="960">
        <v>32.19</v>
      </c>
      <c r="U13" s="959">
        <v>15530</v>
      </c>
      <c r="V13" s="960">
        <v>7.67</v>
      </c>
      <c r="W13" s="959">
        <v>1023356</v>
      </c>
      <c r="X13" s="960">
        <v>464.14</v>
      </c>
      <c r="Y13" s="960">
        <v>674.25</v>
      </c>
      <c r="Z13" s="1923"/>
      <c r="AA13" s="870" t="s">
        <v>1897</v>
      </c>
      <c r="AB13" s="961">
        <v>1857921</v>
      </c>
      <c r="AC13" s="962">
        <v>2241.42</v>
      </c>
      <c r="AD13" s="961">
        <v>3516</v>
      </c>
      <c r="AE13" s="962">
        <v>9.4600000000000009</v>
      </c>
      <c r="AF13" s="961">
        <v>365814</v>
      </c>
      <c r="AG13" s="962">
        <v>122.86999999999999</v>
      </c>
      <c r="AH13" s="961">
        <v>8635</v>
      </c>
      <c r="AI13" s="962">
        <v>12.129999999999999</v>
      </c>
      <c r="AJ13" s="961">
        <v>80025</v>
      </c>
      <c r="AK13" s="962">
        <v>7.08</v>
      </c>
      <c r="AL13" s="961">
        <v>6929</v>
      </c>
      <c r="AM13" s="962">
        <v>7.58</v>
      </c>
      <c r="AN13" s="961">
        <v>2322840</v>
      </c>
      <c r="AO13" s="962">
        <v>2400.5499999999997</v>
      </c>
      <c r="AP13" s="961">
        <v>0</v>
      </c>
      <c r="AQ13" s="963">
        <v>0</v>
      </c>
      <c r="AR13" s="961">
        <v>12937</v>
      </c>
      <c r="AS13" s="962">
        <v>5.15</v>
      </c>
      <c r="AT13" s="961">
        <v>30352</v>
      </c>
      <c r="AU13" s="962">
        <v>72.680000000000007</v>
      </c>
      <c r="AV13" s="961">
        <v>0</v>
      </c>
      <c r="AW13" s="962">
        <v>0</v>
      </c>
      <c r="AX13" s="1923"/>
      <c r="AY13" s="870" t="s">
        <v>1897</v>
      </c>
      <c r="AZ13" s="959">
        <v>0</v>
      </c>
      <c r="BA13" s="960">
        <v>0</v>
      </c>
      <c r="BB13" s="959">
        <v>30352</v>
      </c>
      <c r="BC13" s="960">
        <v>72.680000000000007</v>
      </c>
      <c r="BD13" s="959">
        <v>3380850</v>
      </c>
      <c r="BE13" s="960">
        <v>2930.41</v>
      </c>
      <c r="BF13" s="959">
        <v>114795</v>
      </c>
      <c r="BG13" s="959">
        <v>305361</v>
      </c>
      <c r="BH13" s="959">
        <v>48234</v>
      </c>
      <c r="BI13" s="959">
        <v>468390</v>
      </c>
      <c r="BJ13" s="959">
        <v>162229</v>
      </c>
      <c r="BK13" s="959">
        <v>716940</v>
      </c>
      <c r="BL13" s="960">
        <v>5512.59</v>
      </c>
      <c r="BM13" s="959">
        <v>0</v>
      </c>
      <c r="BN13" s="959">
        <v>0</v>
      </c>
      <c r="BO13" s="960">
        <v>0</v>
      </c>
      <c r="BP13" s="959">
        <v>0</v>
      </c>
      <c r="BQ13" s="959">
        <v>0</v>
      </c>
      <c r="BR13" s="959">
        <v>0</v>
      </c>
      <c r="BS13" s="960">
        <v>0</v>
      </c>
      <c r="BT13" s="959">
        <v>0</v>
      </c>
      <c r="BU13" s="959">
        <v>167</v>
      </c>
      <c r="BV13" s="964">
        <v>0</v>
      </c>
    </row>
    <row r="14" spans="1:74" s="873" customFormat="1" ht="9.75" customHeight="1">
      <c r="A14" s="1924"/>
      <c r="B14" s="872" t="s">
        <v>735</v>
      </c>
      <c r="C14" s="892">
        <v>5739239</v>
      </c>
      <c r="D14" s="893">
        <v>590921.08000000007</v>
      </c>
      <c r="E14" s="892">
        <v>5173</v>
      </c>
      <c r="F14" s="893">
        <v>257.3</v>
      </c>
      <c r="G14" s="892">
        <v>5744412</v>
      </c>
      <c r="H14" s="893">
        <v>591178.35000000009</v>
      </c>
      <c r="I14" s="892">
        <v>5102693</v>
      </c>
      <c r="J14" s="893">
        <v>42509.46</v>
      </c>
      <c r="K14" s="892">
        <v>402754</v>
      </c>
      <c r="L14" s="893">
        <v>289.29999999999995</v>
      </c>
      <c r="M14" s="892">
        <v>11758</v>
      </c>
      <c r="N14" s="893">
        <v>21.109999999999992</v>
      </c>
      <c r="O14" s="892">
        <v>3677188</v>
      </c>
      <c r="P14" s="893">
        <v>2042.0300000000002</v>
      </c>
      <c r="Q14" s="892">
        <v>433218</v>
      </c>
      <c r="R14" s="893">
        <v>416.5100000000001</v>
      </c>
      <c r="S14" s="892">
        <v>600775</v>
      </c>
      <c r="T14" s="893">
        <v>103.49</v>
      </c>
      <c r="U14" s="892">
        <v>170217</v>
      </c>
      <c r="V14" s="893">
        <v>205.03</v>
      </c>
      <c r="W14" s="892">
        <v>5295910</v>
      </c>
      <c r="X14" s="893">
        <v>3077.5000000000005</v>
      </c>
      <c r="Y14" s="893">
        <v>4257.9500000000007</v>
      </c>
      <c r="Z14" s="1924"/>
      <c r="AA14" s="872" t="s">
        <v>735</v>
      </c>
      <c r="AB14" s="892">
        <v>43519669</v>
      </c>
      <c r="AC14" s="893">
        <v>34072.649999999994</v>
      </c>
      <c r="AD14" s="892">
        <v>4578</v>
      </c>
      <c r="AE14" s="893">
        <v>12.41</v>
      </c>
      <c r="AF14" s="892">
        <v>2683724</v>
      </c>
      <c r="AG14" s="893">
        <v>1470.3099999999997</v>
      </c>
      <c r="AH14" s="892">
        <v>15308</v>
      </c>
      <c r="AI14" s="893">
        <v>31.81</v>
      </c>
      <c r="AJ14" s="892">
        <v>1469384</v>
      </c>
      <c r="AK14" s="893">
        <v>79.98</v>
      </c>
      <c r="AL14" s="892">
        <v>9263</v>
      </c>
      <c r="AM14" s="893">
        <v>10.43</v>
      </c>
      <c r="AN14" s="892">
        <v>47701926</v>
      </c>
      <c r="AO14" s="893">
        <v>35677.679999999986</v>
      </c>
      <c r="AP14" s="892">
        <v>253543</v>
      </c>
      <c r="AQ14" s="915">
        <v>175.47000000000003</v>
      </c>
      <c r="AR14" s="892">
        <v>92447</v>
      </c>
      <c r="AS14" s="893">
        <v>38.57</v>
      </c>
      <c r="AT14" s="892">
        <v>116366</v>
      </c>
      <c r="AU14" s="893">
        <v>403.43</v>
      </c>
      <c r="AV14" s="892">
        <v>374993</v>
      </c>
      <c r="AW14" s="893">
        <v>358.28000000000003</v>
      </c>
      <c r="AX14" s="1924"/>
      <c r="AY14" s="872" t="s">
        <v>735</v>
      </c>
      <c r="AZ14" s="1394">
        <v>231812</v>
      </c>
      <c r="BA14" s="893">
        <v>46.24</v>
      </c>
      <c r="BB14" s="892">
        <v>723171</v>
      </c>
      <c r="BC14" s="893">
        <v>807.97</v>
      </c>
      <c r="BD14" s="892">
        <v>54051689</v>
      </c>
      <c r="BE14" s="893">
        <v>39734.599999999991</v>
      </c>
      <c r="BF14" s="892">
        <v>1000474</v>
      </c>
      <c r="BG14" s="892">
        <v>12575605</v>
      </c>
      <c r="BH14" s="892">
        <v>158526</v>
      </c>
      <c r="BI14" s="892">
        <v>13734605</v>
      </c>
      <c r="BJ14" s="892">
        <v>1856866</v>
      </c>
      <c r="BK14" s="892">
        <v>2340485</v>
      </c>
      <c r="BL14" s="893">
        <v>8069.5300000000007</v>
      </c>
      <c r="BM14" s="892">
        <v>829783</v>
      </c>
      <c r="BN14" s="892">
        <v>556497802</v>
      </c>
      <c r="BO14" s="893">
        <v>97234.44</v>
      </c>
      <c r="BP14" s="892">
        <v>61862982</v>
      </c>
      <c r="BQ14" s="892">
        <v>3598</v>
      </c>
      <c r="BR14" s="892">
        <v>5293964</v>
      </c>
      <c r="BS14" s="893">
        <v>11892.47</v>
      </c>
      <c r="BT14" s="892">
        <v>1783156</v>
      </c>
      <c r="BU14" s="892">
        <v>9747</v>
      </c>
      <c r="BV14" s="894">
        <v>41130</v>
      </c>
    </row>
    <row r="15" spans="1:74" s="871" customFormat="1" ht="9.75" customHeight="1">
      <c r="A15" s="1927" t="s">
        <v>2524</v>
      </c>
      <c r="B15" s="1928"/>
      <c r="C15" s="890"/>
      <c r="D15" s="891"/>
      <c r="E15" s="890"/>
      <c r="F15" s="891"/>
      <c r="G15" s="890"/>
      <c r="H15" s="891"/>
      <c r="I15" s="890"/>
      <c r="J15" s="891"/>
      <c r="K15" s="890"/>
      <c r="L15" s="891"/>
      <c r="M15" s="890"/>
      <c r="N15" s="891"/>
      <c r="O15" s="890"/>
      <c r="P15" s="891"/>
      <c r="Q15" s="890"/>
      <c r="R15" s="891"/>
      <c r="S15" s="890"/>
      <c r="T15" s="891"/>
      <c r="U15" s="890"/>
      <c r="V15" s="891"/>
      <c r="W15" s="890"/>
      <c r="X15" s="891"/>
      <c r="Y15" s="891"/>
      <c r="Z15" s="1927" t="s">
        <v>2524</v>
      </c>
      <c r="AA15" s="1929"/>
      <c r="AB15" s="890"/>
      <c r="AC15" s="891"/>
      <c r="AD15" s="890"/>
      <c r="AE15" s="891"/>
      <c r="AF15" s="890"/>
      <c r="AG15" s="891"/>
      <c r="AH15" s="890"/>
      <c r="AI15" s="891"/>
      <c r="AJ15" s="890"/>
      <c r="AK15" s="891"/>
      <c r="AL15" s="890"/>
      <c r="AM15" s="891"/>
      <c r="AN15" s="890"/>
      <c r="AO15" s="891"/>
      <c r="AP15" s="890"/>
      <c r="AQ15" s="914"/>
      <c r="AR15" s="890"/>
      <c r="AS15" s="891"/>
      <c r="AT15" s="890"/>
      <c r="AU15" s="891"/>
      <c r="AV15" s="890"/>
      <c r="AW15" s="891"/>
      <c r="AX15" s="1927" t="s">
        <v>2524</v>
      </c>
      <c r="AY15" s="1930"/>
      <c r="AZ15" s="890"/>
      <c r="BA15" s="891"/>
      <c r="BB15" s="890"/>
      <c r="BC15" s="891"/>
      <c r="BD15" s="890"/>
      <c r="BE15" s="891"/>
      <c r="BF15" s="890"/>
      <c r="BG15" s="890"/>
      <c r="BH15" s="890"/>
      <c r="BI15" s="890"/>
      <c r="BJ15" s="890"/>
      <c r="BK15" s="890"/>
      <c r="BL15" s="891"/>
      <c r="BM15" s="890"/>
      <c r="BN15" s="890"/>
      <c r="BO15" s="891"/>
      <c r="BP15" s="890"/>
      <c r="BQ15" s="890"/>
      <c r="BR15" s="890"/>
      <c r="BS15" s="891"/>
      <c r="BT15" s="890"/>
      <c r="BU15" s="890"/>
      <c r="BV15" s="953"/>
    </row>
    <row r="16" spans="1:74" s="873" customFormat="1" ht="9.75" customHeight="1">
      <c r="A16" s="1923" t="s">
        <v>1995</v>
      </c>
      <c r="B16" s="1558" t="s">
        <v>1875</v>
      </c>
      <c r="C16" s="939">
        <v>1083143</v>
      </c>
      <c r="D16" s="940">
        <v>131911.32999999999</v>
      </c>
      <c r="E16" s="939">
        <v>15397</v>
      </c>
      <c r="F16" s="940">
        <v>610.84</v>
      </c>
      <c r="G16" s="939">
        <v>1098540</v>
      </c>
      <c r="H16" s="940">
        <v>132522.21</v>
      </c>
      <c r="I16" s="939">
        <v>90015</v>
      </c>
      <c r="J16" s="940">
        <v>1754.87</v>
      </c>
      <c r="K16" s="939">
        <v>9789</v>
      </c>
      <c r="L16" s="940">
        <v>8.73</v>
      </c>
      <c r="M16" s="939">
        <v>12</v>
      </c>
      <c r="N16" s="940">
        <v>0.02</v>
      </c>
      <c r="O16" s="939">
        <v>7407</v>
      </c>
      <c r="P16" s="940">
        <v>2.99</v>
      </c>
      <c r="Q16" s="939">
        <v>219</v>
      </c>
      <c r="R16" s="940">
        <v>0.16999999999999998</v>
      </c>
      <c r="S16" s="939">
        <v>828</v>
      </c>
      <c r="T16" s="940">
        <v>0.04</v>
      </c>
      <c r="U16" s="939">
        <v>0</v>
      </c>
      <c r="V16" s="940">
        <v>0</v>
      </c>
      <c r="W16" s="939">
        <v>18255</v>
      </c>
      <c r="X16" s="940">
        <v>11.94</v>
      </c>
      <c r="Y16" s="940">
        <v>13.33</v>
      </c>
      <c r="Z16" s="1923" t="s">
        <v>1995</v>
      </c>
      <c r="AA16" s="1042" t="s">
        <v>1875</v>
      </c>
      <c r="AB16" s="939">
        <v>735520</v>
      </c>
      <c r="AC16" s="940">
        <v>672.69</v>
      </c>
      <c r="AD16" s="939">
        <v>0</v>
      </c>
      <c r="AE16" s="940">
        <v>0</v>
      </c>
      <c r="AF16" s="939">
        <v>47234</v>
      </c>
      <c r="AG16" s="940">
        <v>15.809999999999999</v>
      </c>
      <c r="AH16" s="939">
        <v>0</v>
      </c>
      <c r="AI16" s="940">
        <v>0</v>
      </c>
      <c r="AJ16" s="939">
        <v>2886</v>
      </c>
      <c r="AK16" s="940">
        <v>0.15</v>
      </c>
      <c r="AL16" s="939">
        <v>0</v>
      </c>
      <c r="AM16" s="940">
        <v>0</v>
      </c>
      <c r="AN16" s="939">
        <v>785640</v>
      </c>
      <c r="AO16" s="940">
        <v>688.6400000000001</v>
      </c>
      <c r="AP16" s="939">
        <v>53</v>
      </c>
      <c r="AQ16" s="942">
        <v>0.01</v>
      </c>
      <c r="AR16" s="939">
        <v>0</v>
      </c>
      <c r="AS16" s="940">
        <v>0</v>
      </c>
      <c r="AT16" s="939">
        <v>0</v>
      </c>
      <c r="AU16" s="940">
        <v>0</v>
      </c>
      <c r="AV16" s="939">
        <v>0</v>
      </c>
      <c r="AW16" s="940">
        <v>0</v>
      </c>
      <c r="AX16" s="1923" t="s">
        <v>1995</v>
      </c>
      <c r="AY16" s="1042" t="s">
        <v>1875</v>
      </c>
      <c r="AZ16" s="939">
        <v>0</v>
      </c>
      <c r="BA16" s="940">
        <v>0</v>
      </c>
      <c r="BB16" s="939">
        <v>0</v>
      </c>
      <c r="BC16" s="940">
        <v>0</v>
      </c>
      <c r="BD16" s="939">
        <v>803948</v>
      </c>
      <c r="BE16" s="940">
        <v>700.59</v>
      </c>
      <c r="BF16" s="939">
        <v>3725</v>
      </c>
      <c r="BG16" s="939">
        <v>284338</v>
      </c>
      <c r="BH16" s="939">
        <v>9468</v>
      </c>
      <c r="BI16" s="939">
        <v>297531</v>
      </c>
      <c r="BJ16" s="939">
        <v>0</v>
      </c>
      <c r="BK16" s="939">
        <v>0</v>
      </c>
      <c r="BL16" s="940">
        <v>0</v>
      </c>
      <c r="BM16" s="939">
        <v>121905</v>
      </c>
      <c r="BN16" s="939">
        <v>27317394</v>
      </c>
      <c r="BO16" s="940">
        <v>2059.06</v>
      </c>
      <c r="BP16" s="939">
        <v>15674264</v>
      </c>
      <c r="BQ16" s="939">
        <v>200</v>
      </c>
      <c r="BR16" s="939">
        <v>256070</v>
      </c>
      <c r="BS16" s="940">
        <v>356.82</v>
      </c>
      <c r="BT16" s="939">
        <v>48693</v>
      </c>
      <c r="BU16" s="939">
        <v>231</v>
      </c>
      <c r="BV16" s="1668">
        <v>0</v>
      </c>
    </row>
    <row r="17" spans="1:74" s="873" customFormat="1" ht="9.75" customHeight="1">
      <c r="A17" s="1923"/>
      <c r="B17" s="867" t="s">
        <v>1876</v>
      </c>
      <c r="C17" s="918">
        <v>43602</v>
      </c>
      <c r="D17" s="919">
        <v>4291.93</v>
      </c>
      <c r="E17" s="918">
        <v>1427</v>
      </c>
      <c r="F17" s="919">
        <v>19.39</v>
      </c>
      <c r="G17" s="918">
        <v>45029</v>
      </c>
      <c r="H17" s="919">
        <v>4311.32</v>
      </c>
      <c r="I17" s="918">
        <v>465</v>
      </c>
      <c r="J17" s="919">
        <v>219.96</v>
      </c>
      <c r="K17" s="918">
        <v>0</v>
      </c>
      <c r="L17" s="919">
        <v>0</v>
      </c>
      <c r="M17" s="918">
        <v>0</v>
      </c>
      <c r="N17" s="919">
        <v>0</v>
      </c>
      <c r="O17" s="918">
        <v>0</v>
      </c>
      <c r="P17" s="919">
        <v>0</v>
      </c>
      <c r="Q17" s="918">
        <v>0</v>
      </c>
      <c r="R17" s="919">
        <v>0</v>
      </c>
      <c r="S17" s="918">
        <v>0</v>
      </c>
      <c r="T17" s="919">
        <v>0</v>
      </c>
      <c r="U17" s="918">
        <v>0</v>
      </c>
      <c r="V17" s="919">
        <v>0</v>
      </c>
      <c r="W17" s="918">
        <v>0</v>
      </c>
      <c r="X17" s="919">
        <v>0</v>
      </c>
      <c r="Y17" s="919">
        <v>0</v>
      </c>
      <c r="Z17" s="1923"/>
      <c r="AA17" s="867" t="s">
        <v>1876</v>
      </c>
      <c r="AB17" s="918">
        <v>14846</v>
      </c>
      <c r="AC17" s="919">
        <v>11.97</v>
      </c>
      <c r="AD17" s="918">
        <v>0</v>
      </c>
      <c r="AE17" s="919">
        <v>0</v>
      </c>
      <c r="AF17" s="918">
        <v>543</v>
      </c>
      <c r="AG17" s="919">
        <v>0.2</v>
      </c>
      <c r="AH17" s="918">
        <v>0</v>
      </c>
      <c r="AI17" s="919">
        <v>0</v>
      </c>
      <c r="AJ17" s="918">
        <v>0</v>
      </c>
      <c r="AK17" s="919">
        <v>0</v>
      </c>
      <c r="AL17" s="918">
        <v>0</v>
      </c>
      <c r="AM17" s="919">
        <v>0</v>
      </c>
      <c r="AN17" s="918">
        <v>15389</v>
      </c>
      <c r="AO17" s="919">
        <v>12.17</v>
      </c>
      <c r="AP17" s="918">
        <v>0</v>
      </c>
      <c r="AQ17" s="920">
        <v>0</v>
      </c>
      <c r="AR17" s="918">
        <v>0</v>
      </c>
      <c r="AS17" s="919">
        <v>0</v>
      </c>
      <c r="AT17" s="918">
        <v>0</v>
      </c>
      <c r="AU17" s="919">
        <v>0</v>
      </c>
      <c r="AV17" s="918">
        <v>0</v>
      </c>
      <c r="AW17" s="919">
        <v>0</v>
      </c>
      <c r="AX17" s="1923"/>
      <c r="AY17" s="867" t="s">
        <v>1876</v>
      </c>
      <c r="AZ17" s="918">
        <v>0</v>
      </c>
      <c r="BA17" s="919">
        <v>0</v>
      </c>
      <c r="BB17" s="918">
        <v>0</v>
      </c>
      <c r="BC17" s="919">
        <v>0</v>
      </c>
      <c r="BD17" s="918">
        <v>15389</v>
      </c>
      <c r="BE17" s="919">
        <v>1</v>
      </c>
      <c r="BF17" s="918">
        <v>0</v>
      </c>
      <c r="BG17" s="918">
        <v>4918</v>
      </c>
      <c r="BH17" s="918">
        <v>0</v>
      </c>
      <c r="BI17" s="918">
        <v>4918</v>
      </c>
      <c r="BJ17" s="918">
        <v>0</v>
      </c>
      <c r="BK17" s="918">
        <v>0</v>
      </c>
      <c r="BL17" s="919">
        <v>0</v>
      </c>
      <c r="BM17" s="918">
        <v>0</v>
      </c>
      <c r="BN17" s="918">
        <v>0</v>
      </c>
      <c r="BO17" s="919">
        <v>0</v>
      </c>
      <c r="BP17" s="918">
        <v>0</v>
      </c>
      <c r="BQ17" s="918">
        <v>0</v>
      </c>
      <c r="BR17" s="918">
        <v>0</v>
      </c>
      <c r="BS17" s="919">
        <v>0</v>
      </c>
      <c r="BT17" s="918">
        <v>0</v>
      </c>
      <c r="BU17" s="918">
        <v>6</v>
      </c>
      <c r="BV17" s="931">
        <v>0</v>
      </c>
    </row>
    <row r="18" spans="1:74" s="873" customFormat="1" ht="9.75" customHeight="1">
      <c r="A18" s="1923"/>
      <c r="B18" s="926" t="s">
        <v>1877</v>
      </c>
      <c r="C18" s="923">
        <v>4003470</v>
      </c>
      <c r="D18" s="924">
        <v>379524.05</v>
      </c>
      <c r="E18" s="923">
        <v>2568</v>
      </c>
      <c r="F18" s="924">
        <v>258.33</v>
      </c>
      <c r="G18" s="923">
        <v>4006038</v>
      </c>
      <c r="H18" s="924">
        <v>379782.35999999993</v>
      </c>
      <c r="I18" s="923">
        <v>3869492</v>
      </c>
      <c r="J18" s="924">
        <v>27828.630000000005</v>
      </c>
      <c r="K18" s="923">
        <v>384127</v>
      </c>
      <c r="L18" s="924">
        <v>264.91999999999996</v>
      </c>
      <c r="M18" s="923">
        <v>12612</v>
      </c>
      <c r="N18" s="924">
        <v>32.389999999999993</v>
      </c>
      <c r="O18" s="923">
        <v>2592852</v>
      </c>
      <c r="P18" s="924">
        <v>1550.92</v>
      </c>
      <c r="Q18" s="923">
        <v>422921</v>
      </c>
      <c r="R18" s="924">
        <v>404.80999999999995</v>
      </c>
      <c r="S18" s="923">
        <v>503207</v>
      </c>
      <c r="T18" s="924">
        <v>101.27000000000004</v>
      </c>
      <c r="U18" s="923">
        <v>188149</v>
      </c>
      <c r="V18" s="924">
        <v>228.28000000000003</v>
      </c>
      <c r="W18" s="923">
        <v>4103868</v>
      </c>
      <c r="X18" s="924">
        <v>2582.5299999999997</v>
      </c>
      <c r="Y18" s="924">
        <v>3683.8900000000003</v>
      </c>
      <c r="Z18" s="1923"/>
      <c r="AA18" s="926" t="s">
        <v>1877</v>
      </c>
      <c r="AB18" s="923">
        <v>43217240</v>
      </c>
      <c r="AC18" s="924">
        <v>32286.899999999998</v>
      </c>
      <c r="AD18" s="923">
        <v>1050</v>
      </c>
      <c r="AE18" s="924">
        <v>2.76</v>
      </c>
      <c r="AF18" s="923">
        <v>2374130</v>
      </c>
      <c r="AG18" s="924">
        <v>1285.49</v>
      </c>
      <c r="AH18" s="923">
        <v>7822</v>
      </c>
      <c r="AI18" s="924">
        <v>23.72</v>
      </c>
      <c r="AJ18" s="923">
        <v>2356427</v>
      </c>
      <c r="AK18" s="924">
        <v>109.64000000000004</v>
      </c>
      <c r="AL18" s="923">
        <v>3321</v>
      </c>
      <c r="AM18" s="924">
        <v>3.53</v>
      </c>
      <c r="AN18" s="923">
        <v>47959990</v>
      </c>
      <c r="AO18" s="924">
        <v>33712.050000000003</v>
      </c>
      <c r="AP18" s="923">
        <v>295306</v>
      </c>
      <c r="AQ18" s="925">
        <v>196.02</v>
      </c>
      <c r="AR18" s="923">
        <v>110805</v>
      </c>
      <c r="AS18" s="924">
        <v>78.97</v>
      </c>
      <c r="AT18" s="923">
        <v>98321</v>
      </c>
      <c r="AU18" s="924">
        <v>348.27</v>
      </c>
      <c r="AV18" s="923">
        <v>431685</v>
      </c>
      <c r="AW18" s="924">
        <v>389.26</v>
      </c>
      <c r="AX18" s="1923"/>
      <c r="AY18" s="926" t="s">
        <v>1877</v>
      </c>
      <c r="AZ18" s="923">
        <v>282228</v>
      </c>
      <c r="BA18" s="924">
        <v>53.14</v>
      </c>
      <c r="BB18" s="923">
        <v>812234</v>
      </c>
      <c r="BC18" s="924">
        <v>790.66</v>
      </c>
      <c r="BD18" s="923">
        <v>53274381</v>
      </c>
      <c r="BE18" s="924">
        <v>37336.559999999998</v>
      </c>
      <c r="BF18" s="923">
        <v>920071</v>
      </c>
      <c r="BG18" s="923">
        <v>12674895</v>
      </c>
      <c r="BH18" s="923">
        <v>120566</v>
      </c>
      <c r="BI18" s="923">
        <v>13715532</v>
      </c>
      <c r="BJ18" s="923">
        <v>1762308</v>
      </c>
      <c r="BK18" s="923">
        <v>1705362</v>
      </c>
      <c r="BL18" s="924">
        <v>2783.95</v>
      </c>
      <c r="BM18" s="923">
        <v>740197</v>
      </c>
      <c r="BN18" s="923">
        <v>566459521</v>
      </c>
      <c r="BO18" s="924">
        <v>93305.42</v>
      </c>
      <c r="BP18" s="923">
        <v>51068179</v>
      </c>
      <c r="BQ18" s="923">
        <v>3712</v>
      </c>
      <c r="BR18" s="923">
        <v>5729822</v>
      </c>
      <c r="BS18" s="924">
        <v>13806.660000000002</v>
      </c>
      <c r="BT18" s="923">
        <v>1983651</v>
      </c>
      <c r="BU18" s="923">
        <v>9549</v>
      </c>
      <c r="BV18" s="932">
        <v>43162</v>
      </c>
    </row>
    <row r="19" spans="1:74" s="873" customFormat="1" ht="9.75" customHeight="1">
      <c r="A19" s="1923"/>
      <c r="B19" s="867" t="s">
        <v>1897</v>
      </c>
      <c r="C19" s="918">
        <v>434910</v>
      </c>
      <c r="D19" s="919">
        <v>43254.82</v>
      </c>
      <c r="E19" s="918">
        <v>0</v>
      </c>
      <c r="F19" s="919">
        <v>0</v>
      </c>
      <c r="G19" s="918">
        <v>434910</v>
      </c>
      <c r="H19" s="919">
        <v>43254.82</v>
      </c>
      <c r="I19" s="918">
        <v>1174045</v>
      </c>
      <c r="J19" s="919">
        <v>10204.200000000001</v>
      </c>
      <c r="K19" s="918">
        <v>28422</v>
      </c>
      <c r="L19" s="919">
        <v>25.39</v>
      </c>
      <c r="M19" s="918">
        <v>569</v>
      </c>
      <c r="N19" s="919">
        <v>0.89</v>
      </c>
      <c r="O19" s="918">
        <v>769156</v>
      </c>
      <c r="P19" s="919">
        <v>345.22</v>
      </c>
      <c r="Q19" s="918">
        <v>29694</v>
      </c>
      <c r="R19" s="919">
        <v>24.8</v>
      </c>
      <c r="S19" s="918">
        <v>156129</v>
      </c>
      <c r="T19" s="919">
        <v>37.25</v>
      </c>
      <c r="U19" s="918">
        <v>19270</v>
      </c>
      <c r="V19" s="919">
        <v>8.36</v>
      </c>
      <c r="W19" s="918">
        <v>1003240</v>
      </c>
      <c r="X19" s="919">
        <v>441.95000000000005</v>
      </c>
      <c r="Y19" s="919">
        <v>679.20999999999992</v>
      </c>
      <c r="Z19" s="1923"/>
      <c r="AA19" s="867" t="s">
        <v>1897</v>
      </c>
      <c r="AB19" s="918">
        <v>1893818</v>
      </c>
      <c r="AC19" s="919">
        <v>2163.59</v>
      </c>
      <c r="AD19" s="918">
        <v>3946</v>
      </c>
      <c r="AE19" s="919">
        <v>10.82</v>
      </c>
      <c r="AF19" s="918">
        <v>357938</v>
      </c>
      <c r="AG19" s="919">
        <v>111.80000000000001</v>
      </c>
      <c r="AH19" s="918">
        <v>9055</v>
      </c>
      <c r="AI19" s="919">
        <v>11.629999999999999</v>
      </c>
      <c r="AJ19" s="918">
        <v>96695</v>
      </c>
      <c r="AK19" s="919">
        <v>10.050000000000001</v>
      </c>
      <c r="AL19" s="918">
        <v>7557</v>
      </c>
      <c r="AM19" s="919">
        <v>7.82</v>
      </c>
      <c r="AN19" s="918">
        <v>2369009</v>
      </c>
      <c r="AO19" s="919">
        <v>2315.6999999999998</v>
      </c>
      <c r="AP19" s="918">
        <v>0</v>
      </c>
      <c r="AQ19" s="920">
        <v>0</v>
      </c>
      <c r="AR19" s="918">
        <v>12060</v>
      </c>
      <c r="AS19" s="919">
        <v>5.0599999999999996</v>
      </c>
      <c r="AT19" s="918">
        <v>31471</v>
      </c>
      <c r="AU19" s="919">
        <v>73.2</v>
      </c>
      <c r="AV19" s="918">
        <v>0</v>
      </c>
      <c r="AW19" s="919">
        <v>0</v>
      </c>
      <c r="AX19" s="1923"/>
      <c r="AY19" s="867" t="s">
        <v>1897</v>
      </c>
      <c r="AZ19" s="918">
        <v>0</v>
      </c>
      <c r="BA19" s="919">
        <v>0</v>
      </c>
      <c r="BB19" s="918">
        <v>31471</v>
      </c>
      <c r="BC19" s="919">
        <v>73.2</v>
      </c>
      <c r="BD19" s="918">
        <v>3406725</v>
      </c>
      <c r="BE19" s="919">
        <v>2824.2799999999997</v>
      </c>
      <c r="BF19" s="918">
        <v>122678</v>
      </c>
      <c r="BG19" s="918">
        <v>316848</v>
      </c>
      <c r="BH19" s="918">
        <v>50794</v>
      </c>
      <c r="BI19" s="918">
        <v>490320</v>
      </c>
      <c r="BJ19" s="918">
        <v>166980</v>
      </c>
      <c r="BK19" s="918">
        <v>739281</v>
      </c>
      <c r="BL19" s="919">
        <v>6169.41</v>
      </c>
      <c r="BM19" s="918">
        <v>0</v>
      </c>
      <c r="BN19" s="918">
        <v>0</v>
      </c>
      <c r="BO19" s="919">
        <v>0</v>
      </c>
      <c r="BP19" s="918">
        <v>0</v>
      </c>
      <c r="BQ19" s="918">
        <v>0</v>
      </c>
      <c r="BR19" s="918">
        <v>0</v>
      </c>
      <c r="BS19" s="919">
        <v>0</v>
      </c>
      <c r="BT19" s="918">
        <v>0</v>
      </c>
      <c r="BU19" s="918">
        <v>168</v>
      </c>
      <c r="BV19" s="931">
        <v>0</v>
      </c>
    </row>
    <row r="20" spans="1:74" s="873" customFormat="1" ht="9.75" customHeight="1">
      <c r="A20" s="1924"/>
      <c r="B20" s="997" t="s">
        <v>735</v>
      </c>
      <c r="C20" s="921">
        <v>5565125</v>
      </c>
      <c r="D20" s="922">
        <v>558982.12999999989</v>
      </c>
      <c r="E20" s="921">
        <v>19392</v>
      </c>
      <c r="F20" s="922">
        <v>888.56</v>
      </c>
      <c r="G20" s="921">
        <v>5584517</v>
      </c>
      <c r="H20" s="922">
        <v>559870.70999999985</v>
      </c>
      <c r="I20" s="921">
        <v>5134017</v>
      </c>
      <c r="J20" s="922">
        <v>40007.660000000003</v>
      </c>
      <c r="K20" s="921">
        <v>422338</v>
      </c>
      <c r="L20" s="922">
        <v>299.03999999999996</v>
      </c>
      <c r="M20" s="921">
        <v>13193</v>
      </c>
      <c r="N20" s="922">
        <v>33.299999999999997</v>
      </c>
      <c r="O20" s="921">
        <v>3369415</v>
      </c>
      <c r="P20" s="922">
        <v>1899.13</v>
      </c>
      <c r="Q20" s="921">
        <v>452834</v>
      </c>
      <c r="R20" s="922">
        <v>429.78</v>
      </c>
      <c r="S20" s="921">
        <v>660164</v>
      </c>
      <c r="T20" s="922">
        <v>138.56000000000006</v>
      </c>
      <c r="U20" s="921">
        <v>207419</v>
      </c>
      <c r="V20" s="922">
        <v>236.64000000000004</v>
      </c>
      <c r="W20" s="921">
        <v>5125363</v>
      </c>
      <c r="X20" s="922">
        <v>3036.42</v>
      </c>
      <c r="Y20" s="1628">
        <v>4376.43</v>
      </c>
      <c r="Z20" s="1924"/>
      <c r="AA20" s="997" t="s">
        <v>735</v>
      </c>
      <c r="AB20" s="921">
        <v>45861424</v>
      </c>
      <c r="AC20" s="922">
        <v>35135.149999999994</v>
      </c>
      <c r="AD20" s="921">
        <v>4996</v>
      </c>
      <c r="AE20" s="922">
        <v>13.58</v>
      </c>
      <c r="AF20" s="921">
        <v>2779845</v>
      </c>
      <c r="AG20" s="922">
        <v>1413.3</v>
      </c>
      <c r="AH20" s="921">
        <v>16877</v>
      </c>
      <c r="AI20" s="922">
        <v>35.349999999999994</v>
      </c>
      <c r="AJ20" s="921">
        <v>2456008</v>
      </c>
      <c r="AK20" s="922">
        <v>119.84000000000005</v>
      </c>
      <c r="AL20" s="921">
        <v>10878</v>
      </c>
      <c r="AM20" s="922">
        <v>11.35</v>
      </c>
      <c r="AN20" s="921">
        <v>51130028</v>
      </c>
      <c r="AO20" s="922">
        <v>36728.559999999998</v>
      </c>
      <c r="AP20" s="921">
        <v>295359</v>
      </c>
      <c r="AQ20" s="934">
        <v>196.03</v>
      </c>
      <c r="AR20" s="921">
        <v>122865</v>
      </c>
      <c r="AS20" s="922">
        <v>84.03</v>
      </c>
      <c r="AT20" s="921">
        <v>129792</v>
      </c>
      <c r="AU20" s="922">
        <v>421.46999999999997</v>
      </c>
      <c r="AV20" s="921">
        <v>431685</v>
      </c>
      <c r="AW20" s="1628">
        <v>389.26</v>
      </c>
      <c r="AX20" s="1924"/>
      <c r="AY20" s="997" t="s">
        <v>735</v>
      </c>
      <c r="AZ20" s="1389">
        <v>282228</v>
      </c>
      <c r="BA20" s="922">
        <v>53.14</v>
      </c>
      <c r="BB20" s="921">
        <v>843705</v>
      </c>
      <c r="BC20" s="922">
        <v>863.86</v>
      </c>
      <c r="BD20" s="921">
        <v>57500443</v>
      </c>
      <c r="BE20" s="922">
        <v>40862.429999999993</v>
      </c>
      <c r="BF20" s="921">
        <v>1046474</v>
      </c>
      <c r="BG20" s="921">
        <v>13280999</v>
      </c>
      <c r="BH20" s="921">
        <v>180828</v>
      </c>
      <c r="BI20" s="921">
        <v>14508301</v>
      </c>
      <c r="BJ20" s="921">
        <v>1929288</v>
      </c>
      <c r="BK20" s="921">
        <v>2444643</v>
      </c>
      <c r="BL20" s="922">
        <v>8953.36</v>
      </c>
      <c r="BM20" s="921">
        <v>862102</v>
      </c>
      <c r="BN20" s="921">
        <v>593776915</v>
      </c>
      <c r="BO20" s="922">
        <v>95364.479999999996</v>
      </c>
      <c r="BP20" s="921">
        <v>66742443</v>
      </c>
      <c r="BQ20" s="921">
        <v>3912</v>
      </c>
      <c r="BR20" s="1389">
        <v>5985892</v>
      </c>
      <c r="BS20" s="922">
        <v>14163.480000000001</v>
      </c>
      <c r="BT20" s="921">
        <v>2032344</v>
      </c>
      <c r="BU20" s="921">
        <v>9954</v>
      </c>
      <c r="BV20" s="933">
        <v>43162</v>
      </c>
    </row>
    <row r="21" spans="1:74" s="873" customFormat="1" ht="9.75" customHeight="1">
      <c r="A21" s="1926" t="s">
        <v>2213</v>
      </c>
      <c r="B21" s="1020" t="s">
        <v>1875</v>
      </c>
      <c r="C21" s="1550">
        <v>1079183</v>
      </c>
      <c r="D21" s="1551">
        <v>130053.54999999999</v>
      </c>
      <c r="E21" s="1550">
        <v>30421</v>
      </c>
      <c r="F21" s="1551">
        <v>1324.6</v>
      </c>
      <c r="G21" s="1550">
        <v>1109604</v>
      </c>
      <c r="H21" s="1551">
        <v>131378.15</v>
      </c>
      <c r="I21" s="1550">
        <v>90477</v>
      </c>
      <c r="J21" s="1551">
        <v>1855.2199999999998</v>
      </c>
      <c r="K21" s="1550">
        <v>11620</v>
      </c>
      <c r="L21" s="1551">
        <v>10.16</v>
      </c>
      <c r="M21" s="1550">
        <v>0</v>
      </c>
      <c r="N21" s="1551">
        <v>0</v>
      </c>
      <c r="O21" s="1550">
        <v>6868</v>
      </c>
      <c r="P21" s="1551">
        <v>2.6</v>
      </c>
      <c r="Q21" s="1550">
        <v>379</v>
      </c>
      <c r="R21" s="1551">
        <v>0.38</v>
      </c>
      <c r="S21" s="1550">
        <v>1006</v>
      </c>
      <c r="T21" s="1551">
        <v>0.13</v>
      </c>
      <c r="U21" s="1550">
        <v>0</v>
      </c>
      <c r="V21" s="1551">
        <v>0</v>
      </c>
      <c r="W21" s="1550">
        <v>19873</v>
      </c>
      <c r="X21" s="1551">
        <v>13.27</v>
      </c>
      <c r="Y21" s="1551">
        <v>15.26</v>
      </c>
      <c r="Z21" s="1926" t="s">
        <v>2213</v>
      </c>
      <c r="AA21" s="1554" t="s">
        <v>1875</v>
      </c>
      <c r="AB21" s="1550">
        <v>753902</v>
      </c>
      <c r="AC21" s="1551">
        <v>644.27</v>
      </c>
      <c r="AD21" s="1550">
        <v>0</v>
      </c>
      <c r="AE21" s="1551">
        <v>0</v>
      </c>
      <c r="AF21" s="1550">
        <v>44903</v>
      </c>
      <c r="AG21" s="1551">
        <v>12.57</v>
      </c>
      <c r="AH21" s="1550">
        <v>0</v>
      </c>
      <c r="AI21" s="1551">
        <v>0</v>
      </c>
      <c r="AJ21" s="1550">
        <v>5965</v>
      </c>
      <c r="AK21" s="1551">
        <v>0.33</v>
      </c>
      <c r="AL21" s="1550">
        <v>0</v>
      </c>
      <c r="AM21" s="1551">
        <v>0</v>
      </c>
      <c r="AN21" s="1550">
        <v>804770</v>
      </c>
      <c r="AO21" s="1551">
        <v>657.15</v>
      </c>
      <c r="AP21" s="1550">
        <v>5541</v>
      </c>
      <c r="AQ21" s="1555">
        <v>5.77</v>
      </c>
      <c r="AR21" s="1550">
        <v>0</v>
      </c>
      <c r="AS21" s="1551">
        <v>0</v>
      </c>
      <c r="AT21" s="1550">
        <v>0</v>
      </c>
      <c r="AU21" s="1551">
        <v>0</v>
      </c>
      <c r="AV21" s="1550">
        <v>0</v>
      </c>
      <c r="AW21" s="1551">
        <v>0</v>
      </c>
      <c r="AX21" s="1926" t="s">
        <v>2213</v>
      </c>
      <c r="AY21" s="1020" t="s">
        <v>1875</v>
      </c>
      <c r="AZ21" s="1550">
        <v>0</v>
      </c>
      <c r="BA21" s="1551">
        <v>0</v>
      </c>
      <c r="BB21" s="1550">
        <v>0</v>
      </c>
      <c r="BC21" s="1551">
        <v>0</v>
      </c>
      <c r="BD21" s="1550">
        <v>830184</v>
      </c>
      <c r="BE21" s="1551">
        <v>676.18999999999994</v>
      </c>
      <c r="BF21" s="1550">
        <v>3841</v>
      </c>
      <c r="BG21" s="1550">
        <v>309744</v>
      </c>
      <c r="BH21" s="1550">
        <v>13947</v>
      </c>
      <c r="BI21" s="1550">
        <v>327532</v>
      </c>
      <c r="BJ21" s="1550">
        <v>0</v>
      </c>
      <c r="BK21" s="1550">
        <v>0</v>
      </c>
      <c r="BL21" s="1551">
        <v>0</v>
      </c>
      <c r="BM21" s="1550">
        <v>125184</v>
      </c>
      <c r="BN21" s="1550">
        <v>19986042</v>
      </c>
      <c r="BO21" s="1551">
        <v>1433.46</v>
      </c>
      <c r="BP21" s="1550">
        <v>15921409</v>
      </c>
      <c r="BQ21" s="1550">
        <v>200</v>
      </c>
      <c r="BR21" s="1626">
        <v>333404</v>
      </c>
      <c r="BS21" s="1551">
        <v>419.77000000000004</v>
      </c>
      <c r="BT21" s="1550">
        <v>65956</v>
      </c>
      <c r="BU21" s="1550">
        <v>235</v>
      </c>
      <c r="BV21" s="1627">
        <v>0</v>
      </c>
    </row>
    <row r="22" spans="1:74" s="873" customFormat="1" ht="9.75" customHeight="1">
      <c r="A22" s="1926"/>
      <c r="B22" s="926" t="s">
        <v>1876</v>
      </c>
      <c r="C22" s="923">
        <v>45724</v>
      </c>
      <c r="D22" s="924">
        <v>4452.0000000000009</v>
      </c>
      <c r="E22" s="923">
        <v>6261</v>
      </c>
      <c r="F22" s="924">
        <v>52.54</v>
      </c>
      <c r="G22" s="923">
        <v>51985</v>
      </c>
      <c r="H22" s="924">
        <v>4504.54</v>
      </c>
      <c r="I22" s="923">
        <v>634</v>
      </c>
      <c r="J22" s="924">
        <v>143.66999999999999</v>
      </c>
      <c r="K22" s="923">
        <v>0</v>
      </c>
      <c r="L22" s="924">
        <v>0</v>
      </c>
      <c r="M22" s="923">
        <v>0</v>
      </c>
      <c r="N22" s="924">
        <v>0</v>
      </c>
      <c r="O22" s="923">
        <v>0</v>
      </c>
      <c r="P22" s="924">
        <v>0</v>
      </c>
      <c r="Q22" s="923">
        <v>0</v>
      </c>
      <c r="R22" s="924">
        <v>0</v>
      </c>
      <c r="S22" s="923">
        <v>0</v>
      </c>
      <c r="T22" s="924">
        <v>0</v>
      </c>
      <c r="U22" s="923">
        <v>0</v>
      </c>
      <c r="V22" s="924">
        <v>0</v>
      </c>
      <c r="W22" s="923">
        <v>0</v>
      </c>
      <c r="X22" s="924">
        <v>0</v>
      </c>
      <c r="Y22" s="924">
        <v>0</v>
      </c>
      <c r="Z22" s="1926"/>
      <c r="AA22" s="926" t="s">
        <v>1876</v>
      </c>
      <c r="AB22" s="923">
        <v>15365</v>
      </c>
      <c r="AC22" s="924">
        <v>11.7</v>
      </c>
      <c r="AD22" s="923">
        <v>0</v>
      </c>
      <c r="AE22" s="924">
        <v>0</v>
      </c>
      <c r="AF22" s="923">
        <v>537</v>
      </c>
      <c r="AG22" s="924">
        <v>0.16</v>
      </c>
      <c r="AH22" s="923">
        <v>0</v>
      </c>
      <c r="AI22" s="924">
        <v>0</v>
      </c>
      <c r="AJ22" s="923">
        <v>0</v>
      </c>
      <c r="AK22" s="924">
        <v>0</v>
      </c>
      <c r="AL22" s="923">
        <v>0</v>
      </c>
      <c r="AM22" s="924">
        <v>0</v>
      </c>
      <c r="AN22" s="923">
        <v>15902</v>
      </c>
      <c r="AO22" s="924">
        <v>11.86</v>
      </c>
      <c r="AP22" s="923">
        <v>0</v>
      </c>
      <c r="AQ22" s="925">
        <v>0</v>
      </c>
      <c r="AR22" s="923">
        <v>0</v>
      </c>
      <c r="AS22" s="924">
        <v>0</v>
      </c>
      <c r="AT22" s="923">
        <v>0</v>
      </c>
      <c r="AU22" s="924">
        <v>0</v>
      </c>
      <c r="AV22" s="923">
        <v>0</v>
      </c>
      <c r="AW22" s="924">
        <v>0</v>
      </c>
      <c r="AX22" s="1926"/>
      <c r="AY22" s="1165" t="s">
        <v>1876</v>
      </c>
      <c r="AZ22" s="923">
        <v>0</v>
      </c>
      <c r="BA22" s="924">
        <v>0</v>
      </c>
      <c r="BB22" s="923">
        <v>0</v>
      </c>
      <c r="BC22" s="924">
        <v>0</v>
      </c>
      <c r="BD22" s="923">
        <v>15902</v>
      </c>
      <c r="BE22" s="924">
        <v>1</v>
      </c>
      <c r="BF22" s="923">
        <v>0</v>
      </c>
      <c r="BG22" s="923">
        <v>5577</v>
      </c>
      <c r="BH22" s="923">
        <v>0</v>
      </c>
      <c r="BI22" s="923">
        <v>5577</v>
      </c>
      <c r="BJ22" s="923">
        <v>0</v>
      </c>
      <c r="BK22" s="923">
        <v>0</v>
      </c>
      <c r="BL22" s="924">
        <v>0</v>
      </c>
      <c r="BM22" s="923">
        <v>0</v>
      </c>
      <c r="BN22" s="923">
        <v>0</v>
      </c>
      <c r="BO22" s="924">
        <v>0</v>
      </c>
      <c r="BP22" s="923">
        <v>0</v>
      </c>
      <c r="BQ22" s="923">
        <v>0</v>
      </c>
      <c r="BR22" s="1137">
        <v>0</v>
      </c>
      <c r="BS22" s="924">
        <v>0</v>
      </c>
      <c r="BT22" s="923">
        <v>0</v>
      </c>
      <c r="BU22" s="923">
        <v>6</v>
      </c>
      <c r="BV22" s="932">
        <v>0</v>
      </c>
    </row>
    <row r="23" spans="1:74" s="873" customFormat="1" ht="9.75" customHeight="1">
      <c r="A23" s="1926"/>
      <c r="B23" s="867" t="s">
        <v>1877</v>
      </c>
      <c r="C23" s="918">
        <v>4018895</v>
      </c>
      <c r="D23" s="919">
        <v>385244.47</v>
      </c>
      <c r="E23" s="918">
        <v>2380</v>
      </c>
      <c r="F23" s="919">
        <v>164.72000000000003</v>
      </c>
      <c r="G23" s="918">
        <v>4021275</v>
      </c>
      <c r="H23" s="919">
        <v>385409.18999999994</v>
      </c>
      <c r="I23" s="918">
        <v>3791983</v>
      </c>
      <c r="J23" s="919">
        <v>27672.870000000003</v>
      </c>
      <c r="K23" s="918">
        <v>436534</v>
      </c>
      <c r="L23" s="919">
        <v>297.55</v>
      </c>
      <c r="M23" s="918">
        <v>11684</v>
      </c>
      <c r="N23" s="919">
        <v>19.769999999999996</v>
      </c>
      <c r="O23" s="918">
        <v>2762048</v>
      </c>
      <c r="P23" s="919">
        <v>1616.2599999999995</v>
      </c>
      <c r="Q23" s="918">
        <v>428887</v>
      </c>
      <c r="R23" s="919">
        <v>364.78</v>
      </c>
      <c r="S23" s="918">
        <v>732869</v>
      </c>
      <c r="T23" s="919">
        <v>137.30000000000001</v>
      </c>
      <c r="U23" s="918">
        <v>228660</v>
      </c>
      <c r="V23" s="919">
        <v>260.44</v>
      </c>
      <c r="W23" s="918">
        <v>4600682</v>
      </c>
      <c r="X23" s="919">
        <v>2695.95</v>
      </c>
      <c r="Y23" s="919">
        <v>3827.0000000000009</v>
      </c>
      <c r="Z23" s="1926"/>
      <c r="AA23" s="867" t="s">
        <v>1877</v>
      </c>
      <c r="AB23" s="918">
        <v>42756833</v>
      </c>
      <c r="AC23" s="919">
        <v>32400.75</v>
      </c>
      <c r="AD23" s="918">
        <v>1156</v>
      </c>
      <c r="AE23" s="919">
        <v>3.48</v>
      </c>
      <c r="AF23" s="918">
        <v>2516693</v>
      </c>
      <c r="AG23" s="919">
        <v>1292.51</v>
      </c>
      <c r="AH23" s="918">
        <v>6941</v>
      </c>
      <c r="AI23" s="919">
        <v>23.47</v>
      </c>
      <c r="AJ23" s="918">
        <v>3826118</v>
      </c>
      <c r="AK23" s="919">
        <v>130.28000000000003</v>
      </c>
      <c r="AL23" s="918">
        <v>3369</v>
      </c>
      <c r="AM23" s="919">
        <v>3.5199999999999996</v>
      </c>
      <c r="AN23" s="918">
        <v>49111110</v>
      </c>
      <c r="AO23" s="919">
        <v>33853.9</v>
      </c>
      <c r="AP23" s="918">
        <v>325186</v>
      </c>
      <c r="AQ23" s="920">
        <v>200.21999999999997</v>
      </c>
      <c r="AR23" s="918">
        <v>151895</v>
      </c>
      <c r="AS23" s="919">
        <v>48.370000000000005</v>
      </c>
      <c r="AT23" s="918">
        <v>131684</v>
      </c>
      <c r="AU23" s="919">
        <v>259.24</v>
      </c>
      <c r="AV23" s="918">
        <v>324482</v>
      </c>
      <c r="AW23" s="919">
        <v>356.80999999999995</v>
      </c>
      <c r="AX23" s="1926"/>
      <c r="AY23" s="1166" t="s">
        <v>1877</v>
      </c>
      <c r="AZ23" s="918">
        <v>208630</v>
      </c>
      <c r="BA23" s="919">
        <v>47.28</v>
      </c>
      <c r="BB23" s="918">
        <v>764503</v>
      </c>
      <c r="BC23" s="919">
        <v>688.95</v>
      </c>
      <c r="BD23" s="918">
        <v>54946435</v>
      </c>
      <c r="BE23" s="919">
        <v>37464.03</v>
      </c>
      <c r="BF23" s="918">
        <v>980178</v>
      </c>
      <c r="BG23" s="918">
        <v>13458642</v>
      </c>
      <c r="BH23" s="918">
        <v>144416</v>
      </c>
      <c r="BI23" s="918">
        <v>14583236</v>
      </c>
      <c r="BJ23" s="918">
        <v>1867895</v>
      </c>
      <c r="BK23" s="918">
        <v>1903388</v>
      </c>
      <c r="BL23" s="919">
        <v>3236.3199999999993</v>
      </c>
      <c r="BM23" s="918">
        <v>761289</v>
      </c>
      <c r="BN23" s="918">
        <v>588119780</v>
      </c>
      <c r="BO23" s="919">
        <v>94673.12</v>
      </c>
      <c r="BP23" s="918">
        <v>51598236</v>
      </c>
      <c r="BQ23" s="918">
        <v>4306</v>
      </c>
      <c r="BR23" s="1138">
        <v>6750392</v>
      </c>
      <c r="BS23" s="919">
        <v>17514.399999999998</v>
      </c>
      <c r="BT23" s="918">
        <v>2390809</v>
      </c>
      <c r="BU23" s="918">
        <v>9948</v>
      </c>
      <c r="BV23" s="931">
        <v>45896</v>
      </c>
    </row>
    <row r="24" spans="1:74" s="873" customFormat="1" ht="9.75" customHeight="1">
      <c r="A24" s="1926"/>
      <c r="B24" s="926" t="s">
        <v>1897</v>
      </c>
      <c r="C24" s="923">
        <v>432412</v>
      </c>
      <c r="D24" s="924">
        <v>41165.919999999998</v>
      </c>
      <c r="E24" s="923">
        <v>3</v>
      </c>
      <c r="F24" s="924">
        <v>0.01</v>
      </c>
      <c r="G24" s="923">
        <v>432415</v>
      </c>
      <c r="H24" s="924">
        <v>41165.919999999998</v>
      </c>
      <c r="I24" s="923">
        <v>1113355</v>
      </c>
      <c r="J24" s="924">
        <v>10936.059999999998</v>
      </c>
      <c r="K24" s="923">
        <v>32560</v>
      </c>
      <c r="L24" s="924">
        <v>28.22</v>
      </c>
      <c r="M24" s="923">
        <v>878</v>
      </c>
      <c r="N24" s="924">
        <v>0.85000000000000009</v>
      </c>
      <c r="O24" s="923">
        <v>803472</v>
      </c>
      <c r="P24" s="924">
        <v>352.6</v>
      </c>
      <c r="Q24" s="923">
        <v>30645</v>
      </c>
      <c r="R24" s="924">
        <v>26.060000000000002</v>
      </c>
      <c r="S24" s="923">
        <v>185152</v>
      </c>
      <c r="T24" s="924">
        <v>45.290000000000006</v>
      </c>
      <c r="U24" s="923">
        <v>23504</v>
      </c>
      <c r="V24" s="924">
        <v>9.7000000000000011</v>
      </c>
      <c r="W24" s="923">
        <v>1076211</v>
      </c>
      <c r="X24" s="924">
        <v>462.70000000000005</v>
      </c>
      <c r="Y24" s="924">
        <v>693.81999999999994</v>
      </c>
      <c r="Z24" s="1926"/>
      <c r="AA24" s="926" t="s">
        <v>1897</v>
      </c>
      <c r="AB24" s="923">
        <v>1829988</v>
      </c>
      <c r="AC24" s="924">
        <v>2007.0200000000002</v>
      </c>
      <c r="AD24" s="923">
        <v>3511</v>
      </c>
      <c r="AE24" s="924">
        <v>9.98</v>
      </c>
      <c r="AF24" s="923">
        <v>319255</v>
      </c>
      <c r="AG24" s="924">
        <v>101.63000000000001</v>
      </c>
      <c r="AH24" s="923">
        <v>7569</v>
      </c>
      <c r="AI24" s="924">
        <v>9.98</v>
      </c>
      <c r="AJ24" s="923">
        <v>141482</v>
      </c>
      <c r="AK24" s="924">
        <v>13.07</v>
      </c>
      <c r="AL24" s="923">
        <v>8400</v>
      </c>
      <c r="AM24" s="924">
        <v>8.82</v>
      </c>
      <c r="AN24" s="923">
        <v>2310205</v>
      </c>
      <c r="AO24" s="924">
        <v>2150.5300000000002</v>
      </c>
      <c r="AP24" s="923">
        <v>0</v>
      </c>
      <c r="AQ24" s="925">
        <v>0</v>
      </c>
      <c r="AR24" s="923">
        <v>8281</v>
      </c>
      <c r="AS24" s="924">
        <v>3.43</v>
      </c>
      <c r="AT24" s="923">
        <v>29708</v>
      </c>
      <c r="AU24" s="924">
        <v>70.539999999999992</v>
      </c>
      <c r="AV24" s="923">
        <v>0</v>
      </c>
      <c r="AW24" s="924">
        <v>0</v>
      </c>
      <c r="AX24" s="1926"/>
      <c r="AY24" s="1165" t="s">
        <v>1897</v>
      </c>
      <c r="AZ24" s="923">
        <v>0</v>
      </c>
      <c r="BA24" s="924">
        <v>0</v>
      </c>
      <c r="BB24" s="923">
        <v>29708</v>
      </c>
      <c r="BC24" s="924">
        <v>70.539999999999992</v>
      </c>
      <c r="BD24" s="923">
        <v>3416836</v>
      </c>
      <c r="BE24" s="924">
        <v>2677.23</v>
      </c>
      <c r="BF24" s="923">
        <v>124447</v>
      </c>
      <c r="BG24" s="923">
        <v>313787</v>
      </c>
      <c r="BH24" s="923">
        <v>51995</v>
      </c>
      <c r="BI24" s="923">
        <v>490229</v>
      </c>
      <c r="BJ24" s="923">
        <v>172523</v>
      </c>
      <c r="BK24" s="923">
        <v>687089</v>
      </c>
      <c r="BL24" s="924">
        <v>4833.76</v>
      </c>
      <c r="BM24" s="923">
        <v>0</v>
      </c>
      <c r="BN24" s="923">
        <v>0</v>
      </c>
      <c r="BO24" s="924">
        <v>0</v>
      </c>
      <c r="BP24" s="923">
        <v>0</v>
      </c>
      <c r="BQ24" s="923">
        <v>0</v>
      </c>
      <c r="BR24" s="1137">
        <v>0</v>
      </c>
      <c r="BS24" s="924">
        <v>0</v>
      </c>
      <c r="BT24" s="923">
        <v>0</v>
      </c>
      <c r="BU24" s="923">
        <v>166</v>
      </c>
      <c r="BV24" s="932">
        <v>0</v>
      </c>
    </row>
    <row r="25" spans="1:74" s="873" customFormat="1" ht="9.75" customHeight="1">
      <c r="A25" s="1922"/>
      <c r="B25" s="1390" t="s">
        <v>735</v>
      </c>
      <c r="C25" s="1552">
        <v>5576214</v>
      </c>
      <c r="D25" s="1553">
        <v>560915.93999999994</v>
      </c>
      <c r="E25" s="1552">
        <v>39065</v>
      </c>
      <c r="F25" s="1553">
        <v>1541.87</v>
      </c>
      <c r="G25" s="1552">
        <v>5615279</v>
      </c>
      <c r="H25" s="1553">
        <v>562457.79999999993</v>
      </c>
      <c r="I25" s="1552">
        <v>4996449</v>
      </c>
      <c r="J25" s="1553">
        <v>40607.82</v>
      </c>
      <c r="K25" s="1552">
        <v>480714</v>
      </c>
      <c r="L25" s="1553">
        <v>335.93000000000006</v>
      </c>
      <c r="M25" s="1552">
        <v>12562</v>
      </c>
      <c r="N25" s="1553">
        <v>20.619999999999997</v>
      </c>
      <c r="O25" s="1552">
        <v>3572388</v>
      </c>
      <c r="P25" s="1553">
        <v>1971.4599999999996</v>
      </c>
      <c r="Q25" s="1552">
        <v>459911</v>
      </c>
      <c r="R25" s="1553">
        <v>391.21999999999997</v>
      </c>
      <c r="S25" s="1552">
        <v>919027</v>
      </c>
      <c r="T25" s="1553">
        <v>182.72000000000003</v>
      </c>
      <c r="U25" s="1552">
        <v>252164</v>
      </c>
      <c r="V25" s="1553">
        <v>270.14</v>
      </c>
      <c r="W25" s="1552">
        <v>5696766</v>
      </c>
      <c r="X25" s="1553">
        <v>3171.92</v>
      </c>
      <c r="Y25" s="1553">
        <v>4536.0800000000008</v>
      </c>
      <c r="Z25" s="1922"/>
      <c r="AA25" s="1556" t="s">
        <v>735</v>
      </c>
      <c r="AB25" s="1552">
        <v>45356088</v>
      </c>
      <c r="AC25" s="1553">
        <v>35063.74</v>
      </c>
      <c r="AD25" s="1552">
        <v>4667</v>
      </c>
      <c r="AE25" s="1553">
        <v>13.46</v>
      </c>
      <c r="AF25" s="1552">
        <v>2881388</v>
      </c>
      <c r="AG25" s="1553">
        <v>1406.8700000000001</v>
      </c>
      <c r="AH25" s="1552">
        <v>14510</v>
      </c>
      <c r="AI25" s="1553">
        <v>33.450000000000003</v>
      </c>
      <c r="AJ25" s="1552">
        <v>3973565</v>
      </c>
      <c r="AK25" s="1553">
        <v>143.68000000000004</v>
      </c>
      <c r="AL25" s="1552">
        <v>11769</v>
      </c>
      <c r="AM25" s="1553">
        <v>12.34</v>
      </c>
      <c r="AN25" s="1552">
        <v>52241987</v>
      </c>
      <c r="AO25" s="1553">
        <v>36673.440000000002</v>
      </c>
      <c r="AP25" s="1552">
        <v>330727</v>
      </c>
      <c r="AQ25" s="1557">
        <v>205.98999999999998</v>
      </c>
      <c r="AR25" s="1552">
        <v>160176</v>
      </c>
      <c r="AS25" s="1553">
        <v>51.800000000000004</v>
      </c>
      <c r="AT25" s="1552">
        <v>161392</v>
      </c>
      <c r="AU25" s="1553">
        <v>329.78</v>
      </c>
      <c r="AV25" s="1552">
        <v>324482</v>
      </c>
      <c r="AW25" s="1553">
        <v>356.80999999999995</v>
      </c>
      <c r="AX25" s="1922"/>
      <c r="AY25" s="872" t="s">
        <v>735</v>
      </c>
      <c r="AZ25" s="1622">
        <v>208630</v>
      </c>
      <c r="BA25" s="1553">
        <v>47.28</v>
      </c>
      <c r="BB25" s="1552">
        <v>794211</v>
      </c>
      <c r="BC25" s="1553">
        <v>759.49</v>
      </c>
      <c r="BD25" s="1552">
        <v>59209357</v>
      </c>
      <c r="BE25" s="1553">
        <v>40818.450000000004</v>
      </c>
      <c r="BF25" s="1552">
        <v>1108466</v>
      </c>
      <c r="BG25" s="1552">
        <v>14087750</v>
      </c>
      <c r="BH25" s="1552">
        <v>210358</v>
      </c>
      <c r="BI25" s="1552">
        <v>15406574</v>
      </c>
      <c r="BJ25" s="1552">
        <v>2040418</v>
      </c>
      <c r="BK25" s="1552">
        <v>2590477</v>
      </c>
      <c r="BL25" s="1553">
        <v>8070.08</v>
      </c>
      <c r="BM25" s="1552">
        <v>886473</v>
      </c>
      <c r="BN25" s="1552">
        <v>608105822</v>
      </c>
      <c r="BO25" s="1553">
        <v>96106.58</v>
      </c>
      <c r="BP25" s="1552">
        <v>67519645</v>
      </c>
      <c r="BQ25" s="1552">
        <v>4506</v>
      </c>
      <c r="BR25" s="1622">
        <v>7083796</v>
      </c>
      <c r="BS25" s="1553">
        <v>17934.169999999998</v>
      </c>
      <c r="BT25" s="1552">
        <v>2456765</v>
      </c>
      <c r="BU25" s="1552">
        <v>10355</v>
      </c>
      <c r="BV25" s="1629">
        <v>45896</v>
      </c>
    </row>
    <row r="26" spans="1:74" s="873" customFormat="1" ht="9.75" customHeight="1">
      <c r="A26" s="1922" t="s">
        <v>1993</v>
      </c>
      <c r="B26" s="938" t="s">
        <v>1875</v>
      </c>
      <c r="C26" s="939">
        <v>1141748</v>
      </c>
      <c r="D26" s="940">
        <v>132213.09</v>
      </c>
      <c r="E26" s="939">
        <v>35091</v>
      </c>
      <c r="F26" s="940">
        <v>1679.3300000000002</v>
      </c>
      <c r="G26" s="939">
        <v>1176839</v>
      </c>
      <c r="H26" s="940">
        <v>133892.43</v>
      </c>
      <c r="I26" s="939">
        <v>89767</v>
      </c>
      <c r="J26" s="940">
        <v>1905.42</v>
      </c>
      <c r="K26" s="939">
        <v>13372</v>
      </c>
      <c r="L26" s="940">
        <v>11.48</v>
      </c>
      <c r="M26" s="939">
        <v>1</v>
      </c>
      <c r="N26" s="940">
        <v>0</v>
      </c>
      <c r="O26" s="939">
        <v>17866</v>
      </c>
      <c r="P26" s="940">
        <v>5.5</v>
      </c>
      <c r="Q26" s="939">
        <v>226</v>
      </c>
      <c r="R26" s="940">
        <v>0.14000000000000001</v>
      </c>
      <c r="S26" s="939">
        <v>692</v>
      </c>
      <c r="T26" s="940">
        <v>0.15</v>
      </c>
      <c r="U26" s="939">
        <v>0</v>
      </c>
      <c r="V26" s="940">
        <v>0</v>
      </c>
      <c r="W26" s="939">
        <v>32157</v>
      </c>
      <c r="X26" s="940">
        <v>17.260000000000002</v>
      </c>
      <c r="Y26" s="940">
        <v>16.18</v>
      </c>
      <c r="Z26" s="1922" t="s">
        <v>1993</v>
      </c>
      <c r="AA26" s="938" t="s">
        <v>1875</v>
      </c>
      <c r="AB26" s="939">
        <v>779306</v>
      </c>
      <c r="AC26" s="940">
        <v>675.38</v>
      </c>
      <c r="AD26" s="939">
        <v>0</v>
      </c>
      <c r="AE26" s="940">
        <v>0</v>
      </c>
      <c r="AF26" s="939">
        <v>39344</v>
      </c>
      <c r="AG26" s="940">
        <v>11.64</v>
      </c>
      <c r="AH26" s="939">
        <v>0</v>
      </c>
      <c r="AI26" s="940">
        <v>0</v>
      </c>
      <c r="AJ26" s="939">
        <v>2865</v>
      </c>
      <c r="AK26" s="940">
        <v>0.12</v>
      </c>
      <c r="AL26" s="939">
        <v>0</v>
      </c>
      <c r="AM26" s="940">
        <v>0</v>
      </c>
      <c r="AN26" s="939">
        <v>821515</v>
      </c>
      <c r="AO26" s="940">
        <v>687.16000000000008</v>
      </c>
      <c r="AP26" s="939">
        <v>10383</v>
      </c>
      <c r="AQ26" s="942">
        <v>10.84</v>
      </c>
      <c r="AR26" s="939">
        <v>0</v>
      </c>
      <c r="AS26" s="940">
        <v>0</v>
      </c>
      <c r="AT26" s="939">
        <v>0</v>
      </c>
      <c r="AU26" s="940">
        <v>0</v>
      </c>
      <c r="AV26" s="939">
        <v>0</v>
      </c>
      <c r="AW26" s="940">
        <v>0</v>
      </c>
      <c r="AX26" s="1922" t="s">
        <v>1993</v>
      </c>
      <c r="AY26" s="938" t="s">
        <v>1875</v>
      </c>
      <c r="AZ26" s="939">
        <v>0</v>
      </c>
      <c r="BA26" s="940">
        <v>0</v>
      </c>
      <c r="BB26" s="939">
        <v>0</v>
      </c>
      <c r="BC26" s="940">
        <v>0</v>
      </c>
      <c r="BD26" s="939">
        <v>864055</v>
      </c>
      <c r="BE26" s="940">
        <v>715.26</v>
      </c>
      <c r="BF26" s="939">
        <v>4286</v>
      </c>
      <c r="BG26" s="939">
        <v>342831</v>
      </c>
      <c r="BH26" s="939">
        <v>13933</v>
      </c>
      <c r="BI26" s="939">
        <v>361050</v>
      </c>
      <c r="BJ26" s="939">
        <v>0</v>
      </c>
      <c r="BK26" s="939">
        <v>0</v>
      </c>
      <c r="BL26" s="940">
        <v>0</v>
      </c>
      <c r="BM26" s="939">
        <v>129027</v>
      </c>
      <c r="BN26" s="939">
        <v>21416337</v>
      </c>
      <c r="BO26" s="940">
        <v>1309.57</v>
      </c>
      <c r="BP26" s="939">
        <v>15998842</v>
      </c>
      <c r="BQ26" s="939">
        <v>200</v>
      </c>
      <c r="BR26" s="939">
        <v>414777</v>
      </c>
      <c r="BS26" s="940">
        <v>493.16</v>
      </c>
      <c r="BT26" s="939">
        <v>80214</v>
      </c>
      <c r="BU26" s="939">
        <v>240</v>
      </c>
      <c r="BV26" s="930">
        <v>0</v>
      </c>
    </row>
    <row r="27" spans="1:74" s="873" customFormat="1" ht="9.75" customHeight="1">
      <c r="A27" s="1923"/>
      <c r="B27" s="867" t="s">
        <v>1876</v>
      </c>
      <c r="C27" s="918">
        <v>47109</v>
      </c>
      <c r="D27" s="919">
        <v>3990.08</v>
      </c>
      <c r="E27" s="918">
        <v>5394</v>
      </c>
      <c r="F27" s="919">
        <v>44.5</v>
      </c>
      <c r="G27" s="918">
        <v>52503</v>
      </c>
      <c r="H27" s="919">
        <v>4034.59</v>
      </c>
      <c r="I27" s="918">
        <v>1029</v>
      </c>
      <c r="J27" s="919">
        <v>324.33000000000004</v>
      </c>
      <c r="K27" s="918">
        <v>0</v>
      </c>
      <c r="L27" s="919">
        <v>0</v>
      </c>
      <c r="M27" s="918">
        <v>0</v>
      </c>
      <c r="N27" s="919">
        <v>0</v>
      </c>
      <c r="O27" s="918">
        <v>0</v>
      </c>
      <c r="P27" s="919">
        <v>0</v>
      </c>
      <c r="Q27" s="918">
        <v>0</v>
      </c>
      <c r="R27" s="919">
        <v>0</v>
      </c>
      <c r="S27" s="918">
        <v>0</v>
      </c>
      <c r="T27" s="919">
        <v>0</v>
      </c>
      <c r="U27" s="918">
        <v>0</v>
      </c>
      <c r="V27" s="919">
        <v>0</v>
      </c>
      <c r="W27" s="918">
        <v>0</v>
      </c>
      <c r="X27" s="919">
        <v>0</v>
      </c>
      <c r="Y27" s="919">
        <v>0</v>
      </c>
      <c r="Z27" s="1923"/>
      <c r="AA27" s="867" t="s">
        <v>1876</v>
      </c>
      <c r="AB27" s="918">
        <v>15627</v>
      </c>
      <c r="AC27" s="919">
        <v>11.98</v>
      </c>
      <c r="AD27" s="918">
        <v>0</v>
      </c>
      <c r="AE27" s="919">
        <v>0</v>
      </c>
      <c r="AF27" s="918">
        <v>507</v>
      </c>
      <c r="AG27" s="919">
        <v>0.12</v>
      </c>
      <c r="AH27" s="918">
        <v>0</v>
      </c>
      <c r="AI27" s="919">
        <v>0</v>
      </c>
      <c r="AJ27" s="918">
        <v>0</v>
      </c>
      <c r="AK27" s="919">
        <v>0</v>
      </c>
      <c r="AL27" s="918">
        <v>0</v>
      </c>
      <c r="AM27" s="919">
        <v>0</v>
      </c>
      <c r="AN27" s="918">
        <v>16134</v>
      </c>
      <c r="AO27" s="919">
        <v>12.11</v>
      </c>
      <c r="AP27" s="918">
        <v>0</v>
      </c>
      <c r="AQ27" s="920">
        <v>0</v>
      </c>
      <c r="AR27" s="918">
        <v>0</v>
      </c>
      <c r="AS27" s="919">
        <v>0</v>
      </c>
      <c r="AT27" s="918">
        <v>0</v>
      </c>
      <c r="AU27" s="919">
        <v>0</v>
      </c>
      <c r="AV27" s="918">
        <v>0</v>
      </c>
      <c r="AW27" s="919">
        <v>0</v>
      </c>
      <c r="AX27" s="1923"/>
      <c r="AY27" s="867" t="s">
        <v>1876</v>
      </c>
      <c r="AZ27" s="918">
        <v>0</v>
      </c>
      <c r="BA27" s="919">
        <v>0</v>
      </c>
      <c r="BB27" s="918">
        <v>0</v>
      </c>
      <c r="BC27" s="919">
        <v>0</v>
      </c>
      <c r="BD27" s="918">
        <v>16134</v>
      </c>
      <c r="BE27" s="919">
        <v>1</v>
      </c>
      <c r="BF27" s="918">
        <v>0</v>
      </c>
      <c r="BG27" s="918">
        <v>5577</v>
      </c>
      <c r="BH27" s="918">
        <v>0</v>
      </c>
      <c r="BI27" s="918">
        <v>5577</v>
      </c>
      <c r="BJ27" s="918">
        <v>0</v>
      </c>
      <c r="BK27" s="918">
        <v>0</v>
      </c>
      <c r="BL27" s="919">
        <v>0</v>
      </c>
      <c r="BM27" s="918">
        <v>0</v>
      </c>
      <c r="BN27" s="918">
        <v>0</v>
      </c>
      <c r="BO27" s="919">
        <v>0</v>
      </c>
      <c r="BP27" s="918">
        <v>0</v>
      </c>
      <c r="BQ27" s="918">
        <v>0</v>
      </c>
      <c r="BR27" s="918">
        <v>0</v>
      </c>
      <c r="BS27" s="919">
        <v>0</v>
      </c>
      <c r="BT27" s="918">
        <v>0</v>
      </c>
      <c r="BU27" s="918">
        <v>6</v>
      </c>
      <c r="BV27" s="931">
        <v>0</v>
      </c>
    </row>
    <row r="28" spans="1:74" s="873" customFormat="1" ht="9.75" customHeight="1">
      <c r="A28" s="1923"/>
      <c r="B28" s="926" t="s">
        <v>1877</v>
      </c>
      <c r="C28" s="923">
        <v>4171844</v>
      </c>
      <c r="D28" s="924">
        <v>381721.51</v>
      </c>
      <c r="E28" s="923">
        <v>2441</v>
      </c>
      <c r="F28" s="924">
        <v>182.35000000000002</v>
      </c>
      <c r="G28" s="923">
        <v>4174285</v>
      </c>
      <c r="H28" s="924">
        <v>381903.88999999996</v>
      </c>
      <c r="I28" s="923">
        <v>4837108</v>
      </c>
      <c r="J28" s="924">
        <v>33309.79</v>
      </c>
      <c r="K28" s="923">
        <v>436307</v>
      </c>
      <c r="L28" s="924">
        <v>294.08000000000004</v>
      </c>
      <c r="M28" s="923">
        <v>11837</v>
      </c>
      <c r="N28" s="924">
        <v>17.989999999999995</v>
      </c>
      <c r="O28" s="923">
        <v>2908995</v>
      </c>
      <c r="P28" s="924">
        <v>1686.0999999999997</v>
      </c>
      <c r="Q28" s="923">
        <v>455114</v>
      </c>
      <c r="R28" s="924">
        <v>400.5</v>
      </c>
      <c r="S28" s="923">
        <v>549331</v>
      </c>
      <c r="T28" s="924">
        <v>124.85000000000002</v>
      </c>
      <c r="U28" s="923">
        <v>205333</v>
      </c>
      <c r="V28" s="924">
        <v>131.4</v>
      </c>
      <c r="W28" s="923">
        <v>4566917</v>
      </c>
      <c r="X28" s="924">
        <v>2654.8199999999997</v>
      </c>
      <c r="Y28" s="924">
        <v>4043.3799999999997</v>
      </c>
      <c r="Z28" s="1923"/>
      <c r="AA28" s="926" t="s">
        <v>1877</v>
      </c>
      <c r="AB28" s="923">
        <v>43567391</v>
      </c>
      <c r="AC28" s="924">
        <v>34255.699999999997</v>
      </c>
      <c r="AD28" s="923">
        <v>1195</v>
      </c>
      <c r="AE28" s="924">
        <v>4.12</v>
      </c>
      <c r="AF28" s="923">
        <v>2479524</v>
      </c>
      <c r="AG28" s="924">
        <v>1350.2</v>
      </c>
      <c r="AH28" s="923">
        <v>8310</v>
      </c>
      <c r="AI28" s="924">
        <v>20.569999999999997</v>
      </c>
      <c r="AJ28" s="923">
        <v>2429695</v>
      </c>
      <c r="AK28" s="924">
        <v>119.31000000000003</v>
      </c>
      <c r="AL28" s="923">
        <v>4679</v>
      </c>
      <c r="AM28" s="924">
        <v>3.25</v>
      </c>
      <c r="AN28" s="923">
        <v>48490794</v>
      </c>
      <c r="AO28" s="924">
        <v>35753.259999999995</v>
      </c>
      <c r="AP28" s="923">
        <v>369440</v>
      </c>
      <c r="AQ28" s="925">
        <v>239.65000000000003</v>
      </c>
      <c r="AR28" s="923">
        <v>168824</v>
      </c>
      <c r="AS28" s="924">
        <v>52.809999999999988</v>
      </c>
      <c r="AT28" s="923">
        <v>186974</v>
      </c>
      <c r="AU28" s="924">
        <v>202.18</v>
      </c>
      <c r="AV28" s="923">
        <v>297078</v>
      </c>
      <c r="AW28" s="924">
        <v>350.24</v>
      </c>
      <c r="AX28" s="1923"/>
      <c r="AY28" s="926" t="s">
        <v>1877</v>
      </c>
      <c r="AZ28" s="923">
        <v>59494</v>
      </c>
      <c r="BA28" s="924">
        <v>21.83</v>
      </c>
      <c r="BB28" s="923">
        <v>543546</v>
      </c>
      <c r="BC28" s="924">
        <v>574.24</v>
      </c>
      <c r="BD28" s="923">
        <v>54104386</v>
      </c>
      <c r="BE28" s="924">
        <v>39229.209999999992</v>
      </c>
      <c r="BF28" s="923">
        <v>1027348</v>
      </c>
      <c r="BG28" s="923">
        <v>14235436</v>
      </c>
      <c r="BH28" s="923">
        <v>171749</v>
      </c>
      <c r="BI28" s="923">
        <v>15434533</v>
      </c>
      <c r="BJ28" s="923">
        <v>1982537</v>
      </c>
      <c r="BK28" s="923">
        <v>2320509</v>
      </c>
      <c r="BL28" s="924">
        <v>3649.42</v>
      </c>
      <c r="BM28" s="923">
        <v>790164</v>
      </c>
      <c r="BN28" s="923">
        <v>597046085</v>
      </c>
      <c r="BO28" s="924">
        <v>99507.64</v>
      </c>
      <c r="BP28" s="923">
        <v>51540722</v>
      </c>
      <c r="BQ28" s="923">
        <v>4666</v>
      </c>
      <c r="BR28" s="923">
        <v>8220803</v>
      </c>
      <c r="BS28" s="924">
        <v>22948.940000000002</v>
      </c>
      <c r="BT28" s="923">
        <v>2826353</v>
      </c>
      <c r="BU28" s="923">
        <v>10181</v>
      </c>
      <c r="BV28" s="932">
        <v>49544</v>
      </c>
    </row>
    <row r="29" spans="1:74" s="873" customFormat="1" ht="9.75" customHeight="1">
      <c r="A29" s="1923"/>
      <c r="B29" s="867" t="s">
        <v>1897</v>
      </c>
      <c r="C29" s="918">
        <v>443051</v>
      </c>
      <c r="D29" s="919">
        <v>43640.619999999995</v>
      </c>
      <c r="E29" s="918">
        <v>2</v>
      </c>
      <c r="F29" s="919">
        <v>0.36</v>
      </c>
      <c r="G29" s="918">
        <v>443053</v>
      </c>
      <c r="H29" s="919">
        <v>43640.979999999996</v>
      </c>
      <c r="I29" s="918">
        <v>1317623</v>
      </c>
      <c r="J29" s="919">
        <v>11631.9</v>
      </c>
      <c r="K29" s="918">
        <v>33021</v>
      </c>
      <c r="L29" s="919">
        <v>27.89</v>
      </c>
      <c r="M29" s="918">
        <v>450</v>
      </c>
      <c r="N29" s="919">
        <v>0.62</v>
      </c>
      <c r="O29" s="918">
        <v>835394</v>
      </c>
      <c r="P29" s="919">
        <v>363.49</v>
      </c>
      <c r="Q29" s="918">
        <v>26962</v>
      </c>
      <c r="R29" s="919">
        <v>23.78</v>
      </c>
      <c r="S29" s="918">
        <v>182032</v>
      </c>
      <c r="T29" s="919">
        <v>45.120000000000005</v>
      </c>
      <c r="U29" s="918">
        <v>18580</v>
      </c>
      <c r="V29" s="919">
        <v>8.9700000000000006</v>
      </c>
      <c r="W29" s="918">
        <v>1096439</v>
      </c>
      <c r="X29" s="919">
        <v>469.86</v>
      </c>
      <c r="Y29" s="919">
        <v>714.58</v>
      </c>
      <c r="Z29" s="1923"/>
      <c r="AA29" s="867" t="s">
        <v>1897</v>
      </c>
      <c r="AB29" s="918">
        <v>2009499</v>
      </c>
      <c r="AC29" s="919">
        <v>2208.6799999999998</v>
      </c>
      <c r="AD29" s="918">
        <v>3577</v>
      </c>
      <c r="AE29" s="919">
        <v>9.6999999999999993</v>
      </c>
      <c r="AF29" s="918">
        <v>365715</v>
      </c>
      <c r="AG29" s="919">
        <v>113.67</v>
      </c>
      <c r="AH29" s="918">
        <v>9906</v>
      </c>
      <c r="AI29" s="919">
        <v>12.82</v>
      </c>
      <c r="AJ29" s="918">
        <v>90121</v>
      </c>
      <c r="AK29" s="919">
        <v>8.74</v>
      </c>
      <c r="AL29" s="918">
        <v>8753</v>
      </c>
      <c r="AM29" s="919">
        <v>7.8800000000000008</v>
      </c>
      <c r="AN29" s="918">
        <v>2487571</v>
      </c>
      <c r="AO29" s="919">
        <v>2361.5300000000002</v>
      </c>
      <c r="AP29" s="918">
        <v>0</v>
      </c>
      <c r="AQ29" s="920">
        <v>0</v>
      </c>
      <c r="AR29" s="918">
        <v>6686</v>
      </c>
      <c r="AS29" s="919">
        <v>2.72</v>
      </c>
      <c r="AT29" s="918">
        <v>38705</v>
      </c>
      <c r="AU29" s="919">
        <v>79.22</v>
      </c>
      <c r="AV29" s="918">
        <v>0</v>
      </c>
      <c r="AW29" s="919">
        <v>0</v>
      </c>
      <c r="AX29" s="1923"/>
      <c r="AY29" s="867" t="s">
        <v>1897</v>
      </c>
      <c r="AZ29" s="918">
        <v>0</v>
      </c>
      <c r="BA29" s="919">
        <v>0</v>
      </c>
      <c r="BB29" s="918">
        <v>38705</v>
      </c>
      <c r="BC29" s="919">
        <v>79.22</v>
      </c>
      <c r="BD29" s="918">
        <v>3619495</v>
      </c>
      <c r="BE29" s="919">
        <v>2900.5099999999998</v>
      </c>
      <c r="BF29" s="918">
        <v>127794</v>
      </c>
      <c r="BG29" s="918">
        <v>341994</v>
      </c>
      <c r="BH29" s="918">
        <v>56826</v>
      </c>
      <c r="BI29" s="918">
        <v>526614</v>
      </c>
      <c r="BJ29" s="918">
        <v>176927</v>
      </c>
      <c r="BK29" s="918">
        <v>781276</v>
      </c>
      <c r="BL29" s="919">
        <v>9865.89</v>
      </c>
      <c r="BM29" s="918">
        <v>0</v>
      </c>
      <c r="BN29" s="918">
        <v>0</v>
      </c>
      <c r="BO29" s="919">
        <v>0</v>
      </c>
      <c r="BP29" s="918">
        <v>0</v>
      </c>
      <c r="BQ29" s="918">
        <v>0</v>
      </c>
      <c r="BR29" s="918">
        <v>0</v>
      </c>
      <c r="BS29" s="919">
        <v>0</v>
      </c>
      <c r="BT29" s="918">
        <v>0</v>
      </c>
      <c r="BU29" s="918">
        <v>165</v>
      </c>
      <c r="BV29" s="931">
        <v>0</v>
      </c>
    </row>
    <row r="30" spans="1:74" s="873" customFormat="1" ht="9.75" customHeight="1">
      <c r="A30" s="1923"/>
      <c r="B30" s="1353" t="s">
        <v>735</v>
      </c>
      <c r="C30" s="921">
        <v>5803752</v>
      </c>
      <c r="D30" s="922">
        <v>561565.30000000005</v>
      </c>
      <c r="E30" s="921">
        <v>42928</v>
      </c>
      <c r="F30" s="922">
        <v>1906.5400000000002</v>
      </c>
      <c r="G30" s="921">
        <v>5846680</v>
      </c>
      <c r="H30" s="922">
        <v>563471.8899999999</v>
      </c>
      <c r="I30" s="921">
        <v>6245527</v>
      </c>
      <c r="J30" s="922">
        <v>47171.44</v>
      </c>
      <c r="K30" s="921">
        <v>482700</v>
      </c>
      <c r="L30" s="922">
        <v>333.45000000000005</v>
      </c>
      <c r="M30" s="921">
        <v>12288</v>
      </c>
      <c r="N30" s="922">
        <v>18.609999999999996</v>
      </c>
      <c r="O30" s="921">
        <v>3762255</v>
      </c>
      <c r="P30" s="922">
        <v>2055.0899999999997</v>
      </c>
      <c r="Q30" s="921">
        <v>482302</v>
      </c>
      <c r="R30" s="922">
        <v>424.41999999999996</v>
      </c>
      <c r="S30" s="921">
        <v>732055</v>
      </c>
      <c r="T30" s="922">
        <v>170.12000000000003</v>
      </c>
      <c r="U30" s="921">
        <v>223913</v>
      </c>
      <c r="V30" s="922">
        <v>140.37</v>
      </c>
      <c r="W30" s="921">
        <v>5695513</v>
      </c>
      <c r="X30" s="922">
        <v>3141.94</v>
      </c>
      <c r="Y30" s="922">
        <v>4774.1399999999994</v>
      </c>
      <c r="Z30" s="1923"/>
      <c r="AA30" s="941" t="s">
        <v>735</v>
      </c>
      <c r="AB30" s="921">
        <v>46371823</v>
      </c>
      <c r="AC30" s="922">
        <v>37151.74</v>
      </c>
      <c r="AD30" s="921">
        <v>4772</v>
      </c>
      <c r="AE30" s="922">
        <v>13.82</v>
      </c>
      <c r="AF30" s="921">
        <v>2885090</v>
      </c>
      <c r="AG30" s="922">
        <v>1475.63</v>
      </c>
      <c r="AH30" s="921">
        <v>18216</v>
      </c>
      <c r="AI30" s="922">
        <v>33.39</v>
      </c>
      <c r="AJ30" s="921">
        <v>2522681</v>
      </c>
      <c r="AK30" s="922">
        <v>128.17000000000004</v>
      </c>
      <c r="AL30" s="921">
        <v>13432</v>
      </c>
      <c r="AM30" s="922">
        <v>11.13</v>
      </c>
      <c r="AN30" s="921">
        <v>51816014</v>
      </c>
      <c r="AO30" s="922">
        <v>38814.05999999999</v>
      </c>
      <c r="AP30" s="921">
        <v>379823</v>
      </c>
      <c r="AQ30" s="934">
        <v>250.49000000000004</v>
      </c>
      <c r="AR30" s="921">
        <v>175510</v>
      </c>
      <c r="AS30" s="922">
        <v>55.529999999999987</v>
      </c>
      <c r="AT30" s="921">
        <v>225679</v>
      </c>
      <c r="AU30" s="922">
        <v>281.39999999999998</v>
      </c>
      <c r="AV30" s="921">
        <v>297078</v>
      </c>
      <c r="AW30" s="922">
        <v>350.24</v>
      </c>
      <c r="AX30" s="1923"/>
      <c r="AY30" s="941" t="s">
        <v>735</v>
      </c>
      <c r="AZ30" s="1389">
        <v>59494</v>
      </c>
      <c r="BA30" s="922">
        <v>21.83</v>
      </c>
      <c r="BB30" s="921">
        <v>582251</v>
      </c>
      <c r="BC30" s="922">
        <v>653.46</v>
      </c>
      <c r="BD30" s="921">
        <v>58604070</v>
      </c>
      <c r="BE30" s="922">
        <v>42845.979999999996</v>
      </c>
      <c r="BF30" s="921">
        <v>1159428</v>
      </c>
      <c r="BG30" s="921">
        <v>14925838</v>
      </c>
      <c r="BH30" s="921">
        <v>242508</v>
      </c>
      <c r="BI30" s="921">
        <v>16327774</v>
      </c>
      <c r="BJ30" s="921">
        <v>2159464</v>
      </c>
      <c r="BK30" s="921">
        <v>3101785</v>
      </c>
      <c r="BL30" s="922">
        <v>13515.31</v>
      </c>
      <c r="BM30" s="921">
        <v>919191</v>
      </c>
      <c r="BN30" s="921">
        <v>618462422</v>
      </c>
      <c r="BO30" s="922">
        <v>100817.21</v>
      </c>
      <c r="BP30" s="921">
        <v>67539564</v>
      </c>
      <c r="BQ30" s="921">
        <v>4866</v>
      </c>
      <c r="BR30" s="921">
        <v>8635580</v>
      </c>
      <c r="BS30" s="922">
        <v>23442.100000000002</v>
      </c>
      <c r="BT30" s="921">
        <v>2906567</v>
      </c>
      <c r="BU30" s="921">
        <v>10592</v>
      </c>
      <c r="BV30" s="1630">
        <v>49544</v>
      </c>
    </row>
    <row r="31" spans="1:74" s="873" customFormat="1" ht="9.75" customHeight="1">
      <c r="A31" s="1925" t="s">
        <v>822</v>
      </c>
      <c r="B31" s="1020" t="s">
        <v>1875</v>
      </c>
      <c r="C31" s="1550">
        <v>444319</v>
      </c>
      <c r="D31" s="1551">
        <v>48348.21</v>
      </c>
      <c r="E31" s="1550">
        <v>11784</v>
      </c>
      <c r="F31" s="1551">
        <v>431.99</v>
      </c>
      <c r="G31" s="1550">
        <v>456103</v>
      </c>
      <c r="H31" s="1551">
        <v>48780.2</v>
      </c>
      <c r="I31" s="1550">
        <v>37490</v>
      </c>
      <c r="J31" s="1551">
        <v>981.2399999999999</v>
      </c>
      <c r="K31" s="1550">
        <v>4504</v>
      </c>
      <c r="L31" s="1551">
        <v>3.9</v>
      </c>
      <c r="M31" s="1550">
        <v>0</v>
      </c>
      <c r="N31" s="1551">
        <v>0</v>
      </c>
      <c r="O31" s="1550">
        <v>2510</v>
      </c>
      <c r="P31" s="1551">
        <v>0.86</v>
      </c>
      <c r="Q31" s="1550">
        <v>39</v>
      </c>
      <c r="R31" s="1551">
        <v>0</v>
      </c>
      <c r="S31" s="1550">
        <v>393</v>
      </c>
      <c r="T31" s="1551">
        <v>0.04</v>
      </c>
      <c r="U31" s="1550">
        <v>0</v>
      </c>
      <c r="V31" s="1551">
        <v>0</v>
      </c>
      <c r="W31" s="1550">
        <v>7446</v>
      </c>
      <c r="X31" s="1551">
        <v>4.79</v>
      </c>
      <c r="Y31" s="1551">
        <v>19.16</v>
      </c>
      <c r="Z31" s="1926" t="s">
        <v>822</v>
      </c>
      <c r="AA31" s="1020" t="s">
        <v>1875</v>
      </c>
      <c r="AB31" s="1550">
        <v>235162</v>
      </c>
      <c r="AC31" s="1551">
        <v>202.72</v>
      </c>
      <c r="AD31" s="1550">
        <v>0</v>
      </c>
      <c r="AE31" s="1551">
        <v>0</v>
      </c>
      <c r="AF31" s="1550">
        <v>14148</v>
      </c>
      <c r="AG31" s="1551">
        <v>4.21</v>
      </c>
      <c r="AH31" s="1550">
        <v>0</v>
      </c>
      <c r="AI31" s="1551">
        <v>0</v>
      </c>
      <c r="AJ31" s="1550">
        <v>896</v>
      </c>
      <c r="AK31" s="1551">
        <v>0.04</v>
      </c>
      <c r="AL31" s="1550">
        <v>0</v>
      </c>
      <c r="AM31" s="1551">
        <v>0</v>
      </c>
      <c r="AN31" s="1550">
        <v>250206</v>
      </c>
      <c r="AO31" s="1551">
        <v>206.97000000000003</v>
      </c>
      <c r="AP31" s="1550">
        <v>3655</v>
      </c>
      <c r="AQ31" s="1555">
        <v>3.7899999999999996</v>
      </c>
      <c r="AR31" s="1550">
        <v>0</v>
      </c>
      <c r="AS31" s="1551">
        <v>0</v>
      </c>
      <c r="AT31" s="1550">
        <v>0</v>
      </c>
      <c r="AU31" s="1551">
        <v>0</v>
      </c>
      <c r="AV31" s="1550">
        <v>0</v>
      </c>
      <c r="AW31" s="1551">
        <v>0</v>
      </c>
      <c r="AX31" s="1925" t="s">
        <v>822</v>
      </c>
      <c r="AY31" s="1020" t="s">
        <v>1875</v>
      </c>
      <c r="AZ31" s="1550">
        <v>0</v>
      </c>
      <c r="BA31" s="1551">
        <v>0</v>
      </c>
      <c r="BB31" s="1550">
        <v>0</v>
      </c>
      <c r="BC31" s="1551">
        <v>0</v>
      </c>
      <c r="BD31" s="1550">
        <v>261307</v>
      </c>
      <c r="BE31" s="1551">
        <v>215.55</v>
      </c>
      <c r="BF31" s="1550">
        <v>3980</v>
      </c>
      <c r="BG31" s="1550">
        <v>321653</v>
      </c>
      <c r="BH31" s="1550">
        <v>13944</v>
      </c>
      <c r="BI31" s="1550">
        <v>339577</v>
      </c>
      <c r="BJ31" s="1550">
        <v>0</v>
      </c>
      <c r="BK31" s="1550">
        <v>0</v>
      </c>
      <c r="BL31" s="1551">
        <v>0</v>
      </c>
      <c r="BM31" s="1550">
        <v>126803</v>
      </c>
      <c r="BN31" s="1550">
        <v>13349572</v>
      </c>
      <c r="BO31" s="1551">
        <v>744.71</v>
      </c>
      <c r="BP31" s="1550">
        <v>15961633</v>
      </c>
      <c r="BQ31" s="1550">
        <v>200</v>
      </c>
      <c r="BR31" s="1550">
        <v>140002</v>
      </c>
      <c r="BS31" s="1551">
        <v>174.79</v>
      </c>
      <c r="BT31" s="1550">
        <v>71447</v>
      </c>
      <c r="BU31" s="1550">
        <v>236</v>
      </c>
      <c r="BV31" s="1627">
        <v>0</v>
      </c>
    </row>
    <row r="32" spans="1:74" s="873" customFormat="1" ht="9.75" customHeight="1">
      <c r="A32" s="1923"/>
      <c r="B32" s="926" t="s">
        <v>1876</v>
      </c>
      <c r="C32" s="923">
        <v>17703</v>
      </c>
      <c r="D32" s="924">
        <v>1672.37</v>
      </c>
      <c r="E32" s="923">
        <v>1974</v>
      </c>
      <c r="F32" s="924">
        <v>15.08</v>
      </c>
      <c r="G32" s="923">
        <v>19677</v>
      </c>
      <c r="H32" s="924">
        <v>1687.46</v>
      </c>
      <c r="I32" s="923">
        <v>370</v>
      </c>
      <c r="J32" s="924">
        <v>132.52000000000001</v>
      </c>
      <c r="K32" s="923">
        <v>0</v>
      </c>
      <c r="L32" s="924">
        <v>0</v>
      </c>
      <c r="M32" s="923">
        <v>0</v>
      </c>
      <c r="N32" s="924">
        <v>0</v>
      </c>
      <c r="O32" s="923">
        <v>0</v>
      </c>
      <c r="P32" s="924">
        <v>0</v>
      </c>
      <c r="Q32" s="923">
        <v>0</v>
      </c>
      <c r="R32" s="924">
        <v>0</v>
      </c>
      <c r="S32" s="923">
        <v>0</v>
      </c>
      <c r="T32" s="924">
        <v>0</v>
      </c>
      <c r="U32" s="923">
        <v>0</v>
      </c>
      <c r="V32" s="924">
        <v>0</v>
      </c>
      <c r="W32" s="923">
        <v>0</v>
      </c>
      <c r="X32" s="924">
        <v>0</v>
      </c>
      <c r="Y32" s="924">
        <v>0</v>
      </c>
      <c r="Z32" s="1926"/>
      <c r="AA32" s="926" t="s">
        <v>1876</v>
      </c>
      <c r="AB32" s="923">
        <v>5659</v>
      </c>
      <c r="AC32" s="924">
        <v>4.4400000000000004</v>
      </c>
      <c r="AD32" s="923">
        <v>0</v>
      </c>
      <c r="AE32" s="924">
        <v>0</v>
      </c>
      <c r="AF32" s="923">
        <v>170</v>
      </c>
      <c r="AG32" s="924">
        <v>0.04</v>
      </c>
      <c r="AH32" s="923">
        <v>0</v>
      </c>
      <c r="AI32" s="924">
        <v>0</v>
      </c>
      <c r="AJ32" s="923">
        <v>0</v>
      </c>
      <c r="AK32" s="924">
        <v>0</v>
      </c>
      <c r="AL32" s="923">
        <v>0</v>
      </c>
      <c r="AM32" s="924">
        <v>0</v>
      </c>
      <c r="AN32" s="923">
        <v>5829</v>
      </c>
      <c r="AO32" s="924">
        <v>4.4800000000000004</v>
      </c>
      <c r="AP32" s="923">
        <v>0</v>
      </c>
      <c r="AQ32" s="925">
        <v>0</v>
      </c>
      <c r="AR32" s="923">
        <v>0</v>
      </c>
      <c r="AS32" s="924">
        <v>0</v>
      </c>
      <c r="AT32" s="923">
        <v>0</v>
      </c>
      <c r="AU32" s="924">
        <v>0</v>
      </c>
      <c r="AV32" s="923">
        <v>0</v>
      </c>
      <c r="AW32" s="924">
        <v>0</v>
      </c>
      <c r="AX32" s="1923"/>
      <c r="AY32" s="926" t="s">
        <v>1876</v>
      </c>
      <c r="AZ32" s="923">
        <v>0</v>
      </c>
      <c r="BA32" s="924">
        <v>0</v>
      </c>
      <c r="BB32" s="923">
        <v>0</v>
      </c>
      <c r="BC32" s="924">
        <v>0</v>
      </c>
      <c r="BD32" s="923">
        <v>5829</v>
      </c>
      <c r="BE32" s="924">
        <v>4.4800000000000004</v>
      </c>
      <c r="BF32" s="923">
        <v>0</v>
      </c>
      <c r="BG32" s="923">
        <v>5541</v>
      </c>
      <c r="BH32" s="923">
        <v>0</v>
      </c>
      <c r="BI32" s="923">
        <v>5541</v>
      </c>
      <c r="BJ32" s="923">
        <v>0</v>
      </c>
      <c r="BK32" s="923">
        <v>0</v>
      </c>
      <c r="BL32" s="924">
        <v>0</v>
      </c>
      <c r="BM32" s="923">
        <v>0</v>
      </c>
      <c r="BN32" s="923">
        <v>0</v>
      </c>
      <c r="BO32" s="924">
        <v>0</v>
      </c>
      <c r="BP32" s="923">
        <v>0</v>
      </c>
      <c r="BQ32" s="923">
        <v>0</v>
      </c>
      <c r="BR32" s="923">
        <v>0</v>
      </c>
      <c r="BS32" s="924">
        <v>0</v>
      </c>
      <c r="BT32" s="923">
        <v>0</v>
      </c>
      <c r="BU32" s="923">
        <v>6</v>
      </c>
      <c r="BV32" s="932">
        <v>0</v>
      </c>
    </row>
    <row r="33" spans="1:74" s="873" customFormat="1" ht="9.75" customHeight="1">
      <c r="A33" s="1923"/>
      <c r="B33" s="867" t="s">
        <v>1877</v>
      </c>
      <c r="C33" s="918">
        <v>1523001</v>
      </c>
      <c r="D33" s="919">
        <v>145766.52000000002</v>
      </c>
      <c r="E33" s="918">
        <v>931</v>
      </c>
      <c r="F33" s="919">
        <v>51.949999999999996</v>
      </c>
      <c r="G33" s="918">
        <v>1523932</v>
      </c>
      <c r="H33" s="919">
        <v>145818.46999999997</v>
      </c>
      <c r="I33" s="918">
        <v>1996941</v>
      </c>
      <c r="J33" s="919">
        <v>12196.479999999998</v>
      </c>
      <c r="K33" s="918">
        <v>153069</v>
      </c>
      <c r="L33" s="919">
        <v>103.17</v>
      </c>
      <c r="M33" s="918">
        <v>4113</v>
      </c>
      <c r="N33" s="919">
        <v>6.1699999999999982</v>
      </c>
      <c r="O33" s="918">
        <v>992703</v>
      </c>
      <c r="P33" s="919">
        <v>603.45999999999992</v>
      </c>
      <c r="Q33" s="918">
        <v>154108</v>
      </c>
      <c r="R33" s="919">
        <v>138.58999999999997</v>
      </c>
      <c r="S33" s="918">
        <v>212480</v>
      </c>
      <c r="T33" s="919">
        <v>50.990000000000009</v>
      </c>
      <c r="U33" s="918">
        <v>68057</v>
      </c>
      <c r="V33" s="919">
        <v>51.930000000000014</v>
      </c>
      <c r="W33" s="918">
        <v>1584530</v>
      </c>
      <c r="X33" s="919">
        <v>954.31999999999994</v>
      </c>
      <c r="Y33" s="919">
        <v>3901.6500000000005</v>
      </c>
      <c r="Z33" s="1926"/>
      <c r="AA33" s="867" t="s">
        <v>1877</v>
      </c>
      <c r="AB33" s="918">
        <v>15074758</v>
      </c>
      <c r="AC33" s="919">
        <v>11618.32</v>
      </c>
      <c r="AD33" s="918">
        <v>447</v>
      </c>
      <c r="AE33" s="919">
        <v>1.0799999999999998</v>
      </c>
      <c r="AF33" s="918">
        <v>847201</v>
      </c>
      <c r="AG33" s="919">
        <v>489.55000000000013</v>
      </c>
      <c r="AH33" s="918">
        <v>3045</v>
      </c>
      <c r="AI33" s="919">
        <v>9.5299999999999994</v>
      </c>
      <c r="AJ33" s="918">
        <v>875824</v>
      </c>
      <c r="AK33" s="919">
        <v>49.900000000000006</v>
      </c>
      <c r="AL33" s="918">
        <v>1173</v>
      </c>
      <c r="AM33" s="919">
        <v>1.0899999999999999</v>
      </c>
      <c r="AN33" s="918">
        <v>16802448</v>
      </c>
      <c r="AO33" s="919">
        <v>12169.549999999997</v>
      </c>
      <c r="AP33" s="918">
        <v>126835</v>
      </c>
      <c r="AQ33" s="920">
        <v>84.750000000000014</v>
      </c>
      <c r="AR33" s="918">
        <v>55398</v>
      </c>
      <c r="AS33" s="919">
        <v>19.73</v>
      </c>
      <c r="AT33" s="918">
        <v>64888</v>
      </c>
      <c r="AU33" s="919">
        <v>71.209999999999994</v>
      </c>
      <c r="AV33" s="918">
        <v>99355</v>
      </c>
      <c r="AW33" s="919">
        <v>109.87999999999998</v>
      </c>
      <c r="AX33" s="1923"/>
      <c r="AY33" s="867" t="s">
        <v>1877</v>
      </c>
      <c r="AZ33" s="918">
        <v>18560</v>
      </c>
      <c r="BA33" s="919">
        <v>6.6199999999999992</v>
      </c>
      <c r="BB33" s="918">
        <v>182803</v>
      </c>
      <c r="BC33" s="919">
        <v>187.69</v>
      </c>
      <c r="BD33" s="918">
        <v>18748969</v>
      </c>
      <c r="BE33" s="919">
        <v>13406.48</v>
      </c>
      <c r="BF33" s="918">
        <v>995716</v>
      </c>
      <c r="BG33" s="918">
        <v>13708949</v>
      </c>
      <c r="BH33" s="918">
        <v>161012</v>
      </c>
      <c r="BI33" s="918">
        <v>14865677</v>
      </c>
      <c r="BJ33" s="918">
        <v>1903717</v>
      </c>
      <c r="BK33" s="918">
        <v>755444</v>
      </c>
      <c r="BL33" s="919">
        <v>1224.9399999999998</v>
      </c>
      <c r="BM33" s="918">
        <v>772193</v>
      </c>
      <c r="BN33" s="918">
        <v>201267762</v>
      </c>
      <c r="BO33" s="919">
        <v>33881.53</v>
      </c>
      <c r="BP33" s="918">
        <v>51326467</v>
      </c>
      <c r="BQ33" s="918">
        <v>4401</v>
      </c>
      <c r="BR33" s="918">
        <v>2880019</v>
      </c>
      <c r="BS33" s="919">
        <v>7921.39</v>
      </c>
      <c r="BT33" s="918">
        <v>2539107</v>
      </c>
      <c r="BU33" s="918">
        <v>10049</v>
      </c>
      <c r="BV33" s="931">
        <v>48821</v>
      </c>
    </row>
    <row r="34" spans="1:74" s="873" customFormat="1" ht="9.75" customHeight="1">
      <c r="A34" s="1923"/>
      <c r="B34" s="926" t="s">
        <v>1897</v>
      </c>
      <c r="C34" s="923">
        <v>164970</v>
      </c>
      <c r="D34" s="924">
        <v>16734.379999999997</v>
      </c>
      <c r="E34" s="923">
        <v>1</v>
      </c>
      <c r="F34" s="924">
        <v>0.03</v>
      </c>
      <c r="G34" s="923">
        <v>164971</v>
      </c>
      <c r="H34" s="924">
        <v>16734.41</v>
      </c>
      <c r="I34" s="923">
        <v>526703</v>
      </c>
      <c r="J34" s="924">
        <v>4222.6200000000008</v>
      </c>
      <c r="K34" s="923">
        <v>11104</v>
      </c>
      <c r="L34" s="924">
        <v>9.4700000000000006</v>
      </c>
      <c r="M34" s="923">
        <v>145</v>
      </c>
      <c r="N34" s="924">
        <v>0.18</v>
      </c>
      <c r="O34" s="923">
        <v>287284</v>
      </c>
      <c r="P34" s="924">
        <v>124.58</v>
      </c>
      <c r="Q34" s="923">
        <v>8667</v>
      </c>
      <c r="R34" s="924">
        <v>7.8900000000000006</v>
      </c>
      <c r="S34" s="923">
        <v>63637</v>
      </c>
      <c r="T34" s="924">
        <v>15.78</v>
      </c>
      <c r="U34" s="923">
        <v>6165</v>
      </c>
      <c r="V34" s="924">
        <v>2.8400000000000003</v>
      </c>
      <c r="W34" s="923">
        <v>377002</v>
      </c>
      <c r="X34" s="924">
        <v>160.73000000000002</v>
      </c>
      <c r="Y34" s="924">
        <v>705.41</v>
      </c>
      <c r="Z34" s="1926"/>
      <c r="AA34" s="926" t="s">
        <v>1897</v>
      </c>
      <c r="AB34" s="923">
        <v>715296</v>
      </c>
      <c r="AC34" s="924">
        <v>784.70999999999992</v>
      </c>
      <c r="AD34" s="923">
        <v>1367</v>
      </c>
      <c r="AE34" s="924">
        <v>4.05</v>
      </c>
      <c r="AF34" s="923">
        <v>130660</v>
      </c>
      <c r="AG34" s="924">
        <v>40.1</v>
      </c>
      <c r="AH34" s="923">
        <v>4224</v>
      </c>
      <c r="AI34" s="924">
        <v>5.42</v>
      </c>
      <c r="AJ34" s="923">
        <v>31162</v>
      </c>
      <c r="AK34" s="924">
        <v>3.04</v>
      </c>
      <c r="AL34" s="923">
        <v>2938</v>
      </c>
      <c r="AM34" s="924">
        <v>2.58</v>
      </c>
      <c r="AN34" s="923">
        <v>885647</v>
      </c>
      <c r="AO34" s="924">
        <v>839.92000000000007</v>
      </c>
      <c r="AP34" s="923">
        <v>0</v>
      </c>
      <c r="AQ34" s="925">
        <v>0</v>
      </c>
      <c r="AR34" s="923">
        <v>1392</v>
      </c>
      <c r="AS34" s="924">
        <v>0.47</v>
      </c>
      <c r="AT34" s="923">
        <v>13302</v>
      </c>
      <c r="AU34" s="924">
        <v>27.64</v>
      </c>
      <c r="AV34" s="923">
        <v>0</v>
      </c>
      <c r="AW34" s="924">
        <v>0</v>
      </c>
      <c r="AX34" s="1923"/>
      <c r="AY34" s="926" t="s">
        <v>1897</v>
      </c>
      <c r="AZ34" s="923">
        <v>0</v>
      </c>
      <c r="BA34" s="924">
        <v>0</v>
      </c>
      <c r="BB34" s="923">
        <v>13302</v>
      </c>
      <c r="BC34" s="924">
        <v>27.64</v>
      </c>
      <c r="BD34" s="923">
        <v>1273119</v>
      </c>
      <c r="BE34" s="924">
        <v>1023.34</v>
      </c>
      <c r="BF34" s="923">
        <v>125741</v>
      </c>
      <c r="BG34" s="923">
        <v>312864</v>
      </c>
      <c r="BH34" s="923">
        <v>51819</v>
      </c>
      <c r="BI34" s="923">
        <v>490424</v>
      </c>
      <c r="BJ34" s="923">
        <v>173925</v>
      </c>
      <c r="BK34" s="923">
        <v>256221</v>
      </c>
      <c r="BL34" s="924">
        <v>2614.8700000000003</v>
      </c>
      <c r="BM34" s="923">
        <v>0</v>
      </c>
      <c r="BN34" s="923">
        <v>0</v>
      </c>
      <c r="BO34" s="924">
        <v>0</v>
      </c>
      <c r="BP34" s="923">
        <v>0</v>
      </c>
      <c r="BQ34" s="923">
        <v>0</v>
      </c>
      <c r="BR34" s="923">
        <v>0</v>
      </c>
      <c r="BS34" s="924">
        <v>0</v>
      </c>
      <c r="BT34" s="923">
        <v>0</v>
      </c>
      <c r="BU34" s="923">
        <v>166</v>
      </c>
      <c r="BV34" s="932">
        <v>0</v>
      </c>
    </row>
    <row r="35" spans="1:74" s="873" customFormat="1" ht="9.75" customHeight="1">
      <c r="A35" s="1924"/>
      <c r="B35" s="872" t="s">
        <v>735</v>
      </c>
      <c r="C35" s="1552">
        <v>2149993</v>
      </c>
      <c r="D35" s="1553">
        <v>212521.48000000004</v>
      </c>
      <c r="E35" s="1552">
        <v>14690</v>
      </c>
      <c r="F35" s="1553">
        <v>499.04999999999995</v>
      </c>
      <c r="G35" s="1552">
        <v>2164683</v>
      </c>
      <c r="H35" s="1553">
        <v>213020.53999999998</v>
      </c>
      <c r="I35" s="1552">
        <v>2561504</v>
      </c>
      <c r="J35" s="1553">
        <v>17532.86</v>
      </c>
      <c r="K35" s="1552">
        <v>168677</v>
      </c>
      <c r="L35" s="1553">
        <v>116.54</v>
      </c>
      <c r="M35" s="1552">
        <v>4258</v>
      </c>
      <c r="N35" s="1553">
        <v>6.3499999999999979</v>
      </c>
      <c r="O35" s="1552">
        <v>1282497</v>
      </c>
      <c r="P35" s="1553">
        <v>728.9</v>
      </c>
      <c r="Q35" s="1552">
        <v>162814</v>
      </c>
      <c r="R35" s="1553">
        <v>146.47999999999996</v>
      </c>
      <c r="S35" s="1552">
        <v>276510</v>
      </c>
      <c r="T35" s="1553">
        <v>66.81</v>
      </c>
      <c r="U35" s="1552">
        <v>74222</v>
      </c>
      <c r="V35" s="1553">
        <v>54.770000000000017</v>
      </c>
      <c r="W35" s="1552">
        <v>1968978</v>
      </c>
      <c r="X35" s="1553">
        <v>1119.8399999999999</v>
      </c>
      <c r="Y35" s="1553">
        <v>4626.22</v>
      </c>
      <c r="Z35" s="1926"/>
      <c r="AA35" s="872" t="s">
        <v>735</v>
      </c>
      <c r="AB35" s="1552">
        <v>16030875</v>
      </c>
      <c r="AC35" s="1553">
        <v>12610.189999999999</v>
      </c>
      <c r="AD35" s="1552">
        <v>1814</v>
      </c>
      <c r="AE35" s="1553">
        <v>5.13</v>
      </c>
      <c r="AF35" s="1552">
        <v>992179</v>
      </c>
      <c r="AG35" s="1553">
        <v>533.90000000000009</v>
      </c>
      <c r="AH35" s="1552">
        <v>7269</v>
      </c>
      <c r="AI35" s="1553">
        <v>14.95</v>
      </c>
      <c r="AJ35" s="1552">
        <v>907882</v>
      </c>
      <c r="AK35" s="1553">
        <v>52.980000000000004</v>
      </c>
      <c r="AL35" s="1552">
        <v>4111</v>
      </c>
      <c r="AM35" s="1553">
        <v>3.67</v>
      </c>
      <c r="AN35" s="1552">
        <v>17944130</v>
      </c>
      <c r="AO35" s="1553">
        <v>13220.919999999998</v>
      </c>
      <c r="AP35" s="1552">
        <v>130490</v>
      </c>
      <c r="AQ35" s="1557">
        <v>88.54000000000002</v>
      </c>
      <c r="AR35" s="1552">
        <v>56790</v>
      </c>
      <c r="AS35" s="1553">
        <v>20.2</v>
      </c>
      <c r="AT35" s="1552">
        <v>78190</v>
      </c>
      <c r="AU35" s="1553">
        <v>98.85</v>
      </c>
      <c r="AV35" s="1552">
        <v>99355</v>
      </c>
      <c r="AW35" s="1553">
        <v>109.87999999999998</v>
      </c>
      <c r="AX35" s="1924"/>
      <c r="AY35" s="872" t="s">
        <v>735</v>
      </c>
      <c r="AZ35" s="1552">
        <v>18560</v>
      </c>
      <c r="BA35" s="1553">
        <v>6.6199999999999992</v>
      </c>
      <c r="BB35" s="1552">
        <v>196105</v>
      </c>
      <c r="BC35" s="1553">
        <v>215.32999999999998</v>
      </c>
      <c r="BD35" s="1552">
        <v>20296493</v>
      </c>
      <c r="BE35" s="1553">
        <v>14664.83</v>
      </c>
      <c r="BF35" s="1552">
        <v>1125437</v>
      </c>
      <c r="BG35" s="1552">
        <v>14349007</v>
      </c>
      <c r="BH35" s="1552">
        <v>226775</v>
      </c>
      <c r="BI35" s="1552">
        <v>15701219</v>
      </c>
      <c r="BJ35" s="1552">
        <v>2077642</v>
      </c>
      <c r="BK35" s="1552">
        <v>1011665</v>
      </c>
      <c r="BL35" s="1553">
        <v>3839.8100000000004</v>
      </c>
      <c r="BM35" s="1552">
        <v>898996</v>
      </c>
      <c r="BN35" s="1552">
        <v>214617334</v>
      </c>
      <c r="BO35" s="1553">
        <v>34626.239999999998</v>
      </c>
      <c r="BP35" s="1552">
        <v>67288100</v>
      </c>
      <c r="BQ35" s="1552">
        <v>4601</v>
      </c>
      <c r="BR35" s="1552">
        <v>3020021</v>
      </c>
      <c r="BS35" s="1553">
        <v>8096.18</v>
      </c>
      <c r="BT35" s="1552">
        <v>2610554</v>
      </c>
      <c r="BU35" s="1552">
        <v>10457</v>
      </c>
      <c r="BV35" s="1629">
        <v>48821</v>
      </c>
    </row>
    <row r="36" spans="1:74" s="873" customFormat="1" ht="9.75" customHeight="1">
      <c r="A36" s="1923" t="s">
        <v>823</v>
      </c>
      <c r="B36" s="1558" t="s">
        <v>1875</v>
      </c>
      <c r="C36" s="923">
        <v>333318</v>
      </c>
      <c r="D36" s="924">
        <v>38599.32</v>
      </c>
      <c r="E36" s="923">
        <v>11564</v>
      </c>
      <c r="F36" s="924">
        <v>613.41000000000008</v>
      </c>
      <c r="G36" s="923">
        <v>344882</v>
      </c>
      <c r="H36" s="924">
        <v>39212.729999999996</v>
      </c>
      <c r="I36" s="923">
        <v>21011</v>
      </c>
      <c r="J36" s="924">
        <v>540.06999999999994</v>
      </c>
      <c r="K36" s="923">
        <v>3988</v>
      </c>
      <c r="L36" s="924">
        <v>3.4699999999999998</v>
      </c>
      <c r="M36" s="923">
        <v>0</v>
      </c>
      <c r="N36" s="924">
        <v>0</v>
      </c>
      <c r="O36" s="923">
        <v>7853</v>
      </c>
      <c r="P36" s="924">
        <v>2.52</v>
      </c>
      <c r="Q36" s="923">
        <v>104</v>
      </c>
      <c r="R36" s="924">
        <v>7.0000000000000007E-2</v>
      </c>
      <c r="S36" s="923">
        <v>274</v>
      </c>
      <c r="T36" s="924">
        <v>0.11</v>
      </c>
      <c r="U36" s="923">
        <v>0</v>
      </c>
      <c r="V36" s="924">
        <v>0</v>
      </c>
      <c r="W36" s="923">
        <v>12219</v>
      </c>
      <c r="X36" s="924">
        <v>6.17</v>
      </c>
      <c r="Y36" s="924">
        <v>17.079999999999998</v>
      </c>
      <c r="Z36" s="1925" t="s">
        <v>823</v>
      </c>
      <c r="AA36" s="1558" t="s">
        <v>1875</v>
      </c>
      <c r="AB36" s="923">
        <v>244428</v>
      </c>
      <c r="AC36" s="924">
        <v>212.29000000000002</v>
      </c>
      <c r="AD36" s="923">
        <v>0</v>
      </c>
      <c r="AE36" s="924">
        <v>0</v>
      </c>
      <c r="AF36" s="923">
        <v>12968</v>
      </c>
      <c r="AG36" s="924">
        <v>3.86</v>
      </c>
      <c r="AH36" s="923">
        <v>0</v>
      </c>
      <c r="AI36" s="924">
        <v>0</v>
      </c>
      <c r="AJ36" s="923">
        <v>865</v>
      </c>
      <c r="AK36" s="924">
        <v>0.04</v>
      </c>
      <c r="AL36" s="923">
        <v>0</v>
      </c>
      <c r="AM36" s="924">
        <v>0</v>
      </c>
      <c r="AN36" s="923">
        <v>258261</v>
      </c>
      <c r="AO36" s="924">
        <v>216.20000000000002</v>
      </c>
      <c r="AP36" s="923">
        <v>3040</v>
      </c>
      <c r="AQ36" s="925">
        <v>3.22</v>
      </c>
      <c r="AR36" s="923">
        <v>0</v>
      </c>
      <c r="AS36" s="924">
        <v>0</v>
      </c>
      <c r="AT36" s="923">
        <v>0</v>
      </c>
      <c r="AU36" s="924">
        <v>0</v>
      </c>
      <c r="AV36" s="923">
        <v>0</v>
      </c>
      <c r="AW36" s="924">
        <v>0</v>
      </c>
      <c r="AX36" s="1923" t="s">
        <v>823</v>
      </c>
      <c r="AY36" s="1558" t="s">
        <v>1875</v>
      </c>
      <c r="AZ36" s="923">
        <v>0</v>
      </c>
      <c r="BA36" s="924">
        <v>0</v>
      </c>
      <c r="BB36" s="923">
        <v>0</v>
      </c>
      <c r="BC36" s="924">
        <v>0</v>
      </c>
      <c r="BD36" s="923">
        <v>273520</v>
      </c>
      <c r="BE36" s="924">
        <v>225.59</v>
      </c>
      <c r="BF36" s="923">
        <v>4102</v>
      </c>
      <c r="BG36" s="923">
        <v>331161</v>
      </c>
      <c r="BH36" s="923">
        <v>13938</v>
      </c>
      <c r="BI36" s="923">
        <v>349201</v>
      </c>
      <c r="BJ36" s="923">
        <v>0</v>
      </c>
      <c r="BK36" s="923">
        <v>0</v>
      </c>
      <c r="BL36" s="924">
        <v>0</v>
      </c>
      <c r="BM36" s="923">
        <v>128049</v>
      </c>
      <c r="BN36" s="923">
        <v>7186268</v>
      </c>
      <c r="BO36" s="924">
        <v>385.62</v>
      </c>
      <c r="BP36" s="923">
        <v>15985816</v>
      </c>
      <c r="BQ36" s="923">
        <v>200</v>
      </c>
      <c r="BR36" s="923">
        <v>125722</v>
      </c>
      <c r="BS36" s="924">
        <v>152.94</v>
      </c>
      <c r="BT36" s="923">
        <v>75660</v>
      </c>
      <c r="BU36" s="923">
        <v>236</v>
      </c>
      <c r="BV36" s="932">
        <v>0</v>
      </c>
    </row>
    <row r="37" spans="1:74" s="873" customFormat="1" ht="9.75" customHeight="1">
      <c r="A37" s="1923"/>
      <c r="B37" s="1166" t="s">
        <v>1876</v>
      </c>
      <c r="C37" s="918">
        <v>14364</v>
      </c>
      <c r="D37" s="919">
        <v>1068.73</v>
      </c>
      <c r="E37" s="918">
        <v>1433</v>
      </c>
      <c r="F37" s="919">
        <v>11.65</v>
      </c>
      <c r="G37" s="918">
        <v>15797</v>
      </c>
      <c r="H37" s="919">
        <v>1080.3799999999999</v>
      </c>
      <c r="I37" s="918">
        <v>237</v>
      </c>
      <c r="J37" s="919">
        <v>95.12</v>
      </c>
      <c r="K37" s="918">
        <v>0</v>
      </c>
      <c r="L37" s="919">
        <v>0</v>
      </c>
      <c r="M37" s="918">
        <v>0</v>
      </c>
      <c r="N37" s="919">
        <v>0</v>
      </c>
      <c r="O37" s="918">
        <v>0</v>
      </c>
      <c r="P37" s="919">
        <v>0</v>
      </c>
      <c r="Q37" s="918">
        <v>0</v>
      </c>
      <c r="R37" s="919">
        <v>0</v>
      </c>
      <c r="S37" s="918">
        <v>0</v>
      </c>
      <c r="T37" s="919">
        <v>0</v>
      </c>
      <c r="U37" s="918">
        <v>0</v>
      </c>
      <c r="V37" s="919">
        <v>0</v>
      </c>
      <c r="W37" s="918">
        <v>0</v>
      </c>
      <c r="X37" s="919">
        <v>0</v>
      </c>
      <c r="Y37" s="919">
        <v>0</v>
      </c>
      <c r="Z37" s="1923"/>
      <c r="AA37" s="1166" t="s">
        <v>1876</v>
      </c>
      <c r="AB37" s="918">
        <v>4939</v>
      </c>
      <c r="AC37" s="919">
        <v>3.73</v>
      </c>
      <c r="AD37" s="918">
        <v>0</v>
      </c>
      <c r="AE37" s="919">
        <v>0</v>
      </c>
      <c r="AF37" s="918">
        <v>181</v>
      </c>
      <c r="AG37" s="919">
        <v>0.05</v>
      </c>
      <c r="AH37" s="918">
        <v>0</v>
      </c>
      <c r="AI37" s="919">
        <v>0</v>
      </c>
      <c r="AJ37" s="918">
        <v>0</v>
      </c>
      <c r="AK37" s="919">
        <v>0</v>
      </c>
      <c r="AL37" s="918">
        <v>0</v>
      </c>
      <c r="AM37" s="919">
        <v>0</v>
      </c>
      <c r="AN37" s="918">
        <v>5120</v>
      </c>
      <c r="AO37" s="919">
        <v>3.78</v>
      </c>
      <c r="AP37" s="918">
        <v>0</v>
      </c>
      <c r="AQ37" s="920">
        <v>0</v>
      </c>
      <c r="AR37" s="918">
        <v>0</v>
      </c>
      <c r="AS37" s="919">
        <v>0</v>
      </c>
      <c r="AT37" s="918">
        <v>0</v>
      </c>
      <c r="AU37" s="919">
        <v>0</v>
      </c>
      <c r="AV37" s="918">
        <v>0</v>
      </c>
      <c r="AW37" s="919">
        <v>0</v>
      </c>
      <c r="AX37" s="1923"/>
      <c r="AY37" s="1166" t="s">
        <v>1876</v>
      </c>
      <c r="AZ37" s="918">
        <v>0</v>
      </c>
      <c r="BA37" s="919">
        <v>0</v>
      </c>
      <c r="BB37" s="918">
        <v>0</v>
      </c>
      <c r="BC37" s="919">
        <v>0</v>
      </c>
      <c r="BD37" s="918">
        <v>5120</v>
      </c>
      <c r="BE37" s="919">
        <v>3.78</v>
      </c>
      <c r="BF37" s="918">
        <v>0</v>
      </c>
      <c r="BG37" s="918">
        <v>5687</v>
      </c>
      <c r="BH37" s="918">
        <v>0</v>
      </c>
      <c r="BI37" s="918">
        <v>5687</v>
      </c>
      <c r="BJ37" s="918">
        <v>0</v>
      </c>
      <c r="BK37" s="918">
        <v>0</v>
      </c>
      <c r="BL37" s="919">
        <v>0</v>
      </c>
      <c r="BM37" s="918">
        <v>0</v>
      </c>
      <c r="BN37" s="918">
        <v>0</v>
      </c>
      <c r="BO37" s="919">
        <v>0</v>
      </c>
      <c r="BP37" s="918">
        <v>0</v>
      </c>
      <c r="BQ37" s="918">
        <v>0</v>
      </c>
      <c r="BR37" s="918">
        <v>0</v>
      </c>
      <c r="BS37" s="919">
        <v>0</v>
      </c>
      <c r="BT37" s="918">
        <v>0</v>
      </c>
      <c r="BU37" s="918">
        <v>6</v>
      </c>
      <c r="BV37" s="931">
        <v>0</v>
      </c>
    </row>
    <row r="38" spans="1:74" s="873" customFormat="1" ht="9.75" customHeight="1">
      <c r="A38" s="1923"/>
      <c r="B38" s="1165" t="s">
        <v>1877</v>
      </c>
      <c r="C38" s="923">
        <v>1234985</v>
      </c>
      <c r="D38" s="924">
        <v>109759.48999999999</v>
      </c>
      <c r="E38" s="923">
        <v>729</v>
      </c>
      <c r="F38" s="924">
        <v>56.45</v>
      </c>
      <c r="G38" s="923">
        <v>1235714</v>
      </c>
      <c r="H38" s="924">
        <v>109815.97</v>
      </c>
      <c r="I38" s="923">
        <v>1393436</v>
      </c>
      <c r="J38" s="924">
        <v>10480.980000000003</v>
      </c>
      <c r="K38" s="923">
        <v>129757</v>
      </c>
      <c r="L38" s="924">
        <v>87.57</v>
      </c>
      <c r="M38" s="923">
        <v>3539</v>
      </c>
      <c r="N38" s="924">
        <v>5.1199999999999992</v>
      </c>
      <c r="O38" s="923">
        <v>896024</v>
      </c>
      <c r="P38" s="924">
        <v>499.31999999999994</v>
      </c>
      <c r="Q38" s="923">
        <v>134553</v>
      </c>
      <c r="R38" s="924">
        <v>117.24000000000001</v>
      </c>
      <c r="S38" s="923">
        <v>144590</v>
      </c>
      <c r="T38" s="924">
        <v>33.409999999999997</v>
      </c>
      <c r="U38" s="923">
        <v>57932</v>
      </c>
      <c r="V38" s="924">
        <v>36.099999999999994</v>
      </c>
      <c r="W38" s="923">
        <v>1366395</v>
      </c>
      <c r="X38" s="924">
        <v>778.68000000000006</v>
      </c>
      <c r="Y38" s="924">
        <v>3957.13</v>
      </c>
      <c r="Z38" s="1923"/>
      <c r="AA38" s="1165" t="s">
        <v>1877</v>
      </c>
      <c r="AB38" s="923">
        <v>13565995</v>
      </c>
      <c r="AC38" s="924">
        <v>11069.33</v>
      </c>
      <c r="AD38" s="923">
        <v>318</v>
      </c>
      <c r="AE38" s="924">
        <v>1.84</v>
      </c>
      <c r="AF38" s="923">
        <v>784922</v>
      </c>
      <c r="AG38" s="924">
        <v>414.71999999999991</v>
      </c>
      <c r="AH38" s="923">
        <v>2365</v>
      </c>
      <c r="AI38" s="924">
        <v>5.2299999999999995</v>
      </c>
      <c r="AJ38" s="923">
        <v>773605</v>
      </c>
      <c r="AK38" s="924">
        <v>33.52000000000001</v>
      </c>
      <c r="AL38" s="923">
        <v>1340</v>
      </c>
      <c r="AM38" s="924">
        <v>0.90000000000000013</v>
      </c>
      <c r="AN38" s="923">
        <v>15128545</v>
      </c>
      <c r="AO38" s="924">
        <v>11525.56</v>
      </c>
      <c r="AP38" s="923">
        <v>115228</v>
      </c>
      <c r="AQ38" s="925">
        <v>75.41</v>
      </c>
      <c r="AR38" s="923">
        <v>50618</v>
      </c>
      <c r="AS38" s="924">
        <v>14.259999999999998</v>
      </c>
      <c r="AT38" s="923">
        <v>59256</v>
      </c>
      <c r="AU38" s="924">
        <v>63.49</v>
      </c>
      <c r="AV38" s="923">
        <v>93255</v>
      </c>
      <c r="AW38" s="924">
        <v>111.27</v>
      </c>
      <c r="AX38" s="1923"/>
      <c r="AY38" s="1165" t="s">
        <v>1877</v>
      </c>
      <c r="AZ38" s="923">
        <v>17163</v>
      </c>
      <c r="BA38" s="924">
        <v>6.57</v>
      </c>
      <c r="BB38" s="923">
        <v>169674</v>
      </c>
      <c r="BC38" s="924">
        <v>181.34</v>
      </c>
      <c r="BD38" s="923">
        <v>16801270</v>
      </c>
      <c r="BE38" s="924">
        <v>12545.069999999998</v>
      </c>
      <c r="BF38" s="923">
        <v>1005632</v>
      </c>
      <c r="BG38" s="923">
        <v>13989634</v>
      </c>
      <c r="BH38" s="923">
        <v>166667</v>
      </c>
      <c r="BI38" s="923">
        <v>15161933</v>
      </c>
      <c r="BJ38" s="923">
        <v>1947231</v>
      </c>
      <c r="BK38" s="923">
        <v>732685</v>
      </c>
      <c r="BL38" s="924">
        <v>1125.8899999999999</v>
      </c>
      <c r="BM38" s="923">
        <v>780973</v>
      </c>
      <c r="BN38" s="923">
        <v>187584759</v>
      </c>
      <c r="BO38" s="924">
        <v>31126.980000000003</v>
      </c>
      <c r="BP38" s="923">
        <v>51379839</v>
      </c>
      <c r="BQ38" s="923">
        <v>4486</v>
      </c>
      <c r="BR38" s="923">
        <v>2498142</v>
      </c>
      <c r="BS38" s="924">
        <v>7070.51</v>
      </c>
      <c r="BT38" s="923">
        <v>2677987</v>
      </c>
      <c r="BU38" s="923">
        <v>10130</v>
      </c>
      <c r="BV38" s="932">
        <v>49062</v>
      </c>
    </row>
    <row r="39" spans="1:74" s="873" customFormat="1" ht="9.75" customHeight="1">
      <c r="A39" s="1923"/>
      <c r="B39" s="1166" t="s">
        <v>1897</v>
      </c>
      <c r="C39" s="918">
        <v>130396</v>
      </c>
      <c r="D39" s="919">
        <v>12434.13</v>
      </c>
      <c r="E39" s="918">
        <v>1</v>
      </c>
      <c r="F39" s="919">
        <v>0.33</v>
      </c>
      <c r="G39" s="918">
        <v>130397</v>
      </c>
      <c r="H39" s="919">
        <v>12434.46</v>
      </c>
      <c r="I39" s="918">
        <v>376437</v>
      </c>
      <c r="J39" s="919">
        <v>3436.73</v>
      </c>
      <c r="K39" s="918">
        <v>10405</v>
      </c>
      <c r="L39" s="919">
        <v>8.64</v>
      </c>
      <c r="M39" s="918">
        <v>115</v>
      </c>
      <c r="N39" s="919">
        <v>0.17</v>
      </c>
      <c r="O39" s="918">
        <v>257122</v>
      </c>
      <c r="P39" s="919">
        <v>112.44</v>
      </c>
      <c r="Q39" s="918">
        <v>8577</v>
      </c>
      <c r="R39" s="919">
        <v>6.97</v>
      </c>
      <c r="S39" s="918">
        <v>55577</v>
      </c>
      <c r="T39" s="919">
        <v>13.63</v>
      </c>
      <c r="U39" s="918">
        <v>5657</v>
      </c>
      <c r="V39" s="919">
        <v>2.8600000000000003</v>
      </c>
      <c r="W39" s="918">
        <v>337453</v>
      </c>
      <c r="X39" s="919">
        <v>144.71</v>
      </c>
      <c r="Y39" s="919">
        <v>713.7399999999999</v>
      </c>
      <c r="Z39" s="1923"/>
      <c r="AA39" s="1166" t="s">
        <v>1897</v>
      </c>
      <c r="AB39" s="918">
        <v>603918</v>
      </c>
      <c r="AC39" s="919">
        <v>658.11999999999989</v>
      </c>
      <c r="AD39" s="918">
        <v>1024</v>
      </c>
      <c r="AE39" s="919">
        <v>2.5099999999999998</v>
      </c>
      <c r="AF39" s="918">
        <v>108226</v>
      </c>
      <c r="AG39" s="919">
        <v>33.959999999999994</v>
      </c>
      <c r="AH39" s="918">
        <v>2532</v>
      </c>
      <c r="AI39" s="919">
        <v>3.34</v>
      </c>
      <c r="AJ39" s="918">
        <v>28115</v>
      </c>
      <c r="AK39" s="919">
        <v>2.72</v>
      </c>
      <c r="AL39" s="918">
        <v>2677</v>
      </c>
      <c r="AM39" s="919">
        <v>2.4899999999999998</v>
      </c>
      <c r="AN39" s="918">
        <v>746492</v>
      </c>
      <c r="AO39" s="919">
        <v>703.15</v>
      </c>
      <c r="AP39" s="918">
        <v>0</v>
      </c>
      <c r="AQ39" s="920">
        <v>0</v>
      </c>
      <c r="AR39" s="918">
        <v>1526</v>
      </c>
      <c r="AS39" s="919">
        <v>0.67</v>
      </c>
      <c r="AT39" s="918">
        <v>12320</v>
      </c>
      <c r="AU39" s="919">
        <v>25.07</v>
      </c>
      <c r="AV39" s="918">
        <v>0</v>
      </c>
      <c r="AW39" s="919">
        <v>0</v>
      </c>
      <c r="AX39" s="1923"/>
      <c r="AY39" s="1166" t="s">
        <v>1897</v>
      </c>
      <c r="AZ39" s="918">
        <v>0</v>
      </c>
      <c r="BA39" s="919">
        <v>0</v>
      </c>
      <c r="BB39" s="918">
        <v>12320</v>
      </c>
      <c r="BC39" s="919">
        <v>25.07</v>
      </c>
      <c r="BD39" s="918">
        <v>1095259</v>
      </c>
      <c r="BE39" s="919">
        <v>870.26</v>
      </c>
      <c r="BF39" s="918">
        <v>126739</v>
      </c>
      <c r="BG39" s="918">
        <v>333949</v>
      </c>
      <c r="BH39" s="918">
        <v>52366</v>
      </c>
      <c r="BI39" s="918">
        <v>513054</v>
      </c>
      <c r="BJ39" s="918">
        <v>175427</v>
      </c>
      <c r="BK39" s="918">
        <v>248956</v>
      </c>
      <c r="BL39" s="919">
        <v>3224.8399999999997</v>
      </c>
      <c r="BM39" s="918">
        <v>0</v>
      </c>
      <c r="BN39" s="918">
        <v>0</v>
      </c>
      <c r="BO39" s="919">
        <v>0</v>
      </c>
      <c r="BP39" s="918">
        <v>0</v>
      </c>
      <c r="BQ39" s="918">
        <v>0</v>
      </c>
      <c r="BR39" s="918">
        <v>0</v>
      </c>
      <c r="BS39" s="919">
        <v>0</v>
      </c>
      <c r="BT39" s="918">
        <v>0</v>
      </c>
      <c r="BU39" s="918">
        <v>164</v>
      </c>
      <c r="BV39" s="931">
        <v>0</v>
      </c>
    </row>
    <row r="40" spans="1:74" s="873" customFormat="1" ht="9.75" customHeight="1">
      <c r="A40" s="1924"/>
      <c r="B40" s="997" t="s">
        <v>735</v>
      </c>
      <c r="C40" s="921">
        <v>1713063</v>
      </c>
      <c r="D40" s="922">
        <v>161861.66999999998</v>
      </c>
      <c r="E40" s="921">
        <v>13727</v>
      </c>
      <c r="F40" s="922">
        <v>681.84000000000015</v>
      </c>
      <c r="G40" s="921">
        <v>1726790</v>
      </c>
      <c r="H40" s="922">
        <v>162543.53999999998</v>
      </c>
      <c r="I40" s="921">
        <v>1791121</v>
      </c>
      <c r="J40" s="922">
        <v>14552.900000000003</v>
      </c>
      <c r="K40" s="921">
        <v>144150</v>
      </c>
      <c r="L40" s="922">
        <v>99.679999999999993</v>
      </c>
      <c r="M40" s="921">
        <v>3654</v>
      </c>
      <c r="N40" s="922">
        <v>5.2899999999999991</v>
      </c>
      <c r="O40" s="921">
        <v>1160999</v>
      </c>
      <c r="P40" s="922">
        <v>614.28</v>
      </c>
      <c r="Q40" s="921">
        <v>143234</v>
      </c>
      <c r="R40" s="922">
        <v>124.28</v>
      </c>
      <c r="S40" s="921">
        <v>200441</v>
      </c>
      <c r="T40" s="922">
        <v>47.15</v>
      </c>
      <c r="U40" s="921">
        <v>63589</v>
      </c>
      <c r="V40" s="922">
        <v>38.959999999999994</v>
      </c>
      <c r="W40" s="921">
        <v>1716067</v>
      </c>
      <c r="X40" s="922">
        <v>929.56000000000006</v>
      </c>
      <c r="Y40" s="922">
        <v>4687.95</v>
      </c>
      <c r="Z40" s="1923"/>
      <c r="AA40" s="997" t="s">
        <v>735</v>
      </c>
      <c r="AB40" s="921">
        <v>14419280</v>
      </c>
      <c r="AC40" s="922">
        <v>11943.470000000001</v>
      </c>
      <c r="AD40" s="921">
        <v>1342</v>
      </c>
      <c r="AE40" s="922">
        <v>4.3499999999999996</v>
      </c>
      <c r="AF40" s="921">
        <v>906297</v>
      </c>
      <c r="AG40" s="922">
        <v>452.58999999999992</v>
      </c>
      <c r="AH40" s="921">
        <v>4897</v>
      </c>
      <c r="AI40" s="922">
        <v>8.57</v>
      </c>
      <c r="AJ40" s="921">
        <v>802585</v>
      </c>
      <c r="AK40" s="922">
        <v>36.280000000000008</v>
      </c>
      <c r="AL40" s="921">
        <v>4017</v>
      </c>
      <c r="AM40" s="922">
        <v>3.3899999999999997</v>
      </c>
      <c r="AN40" s="921">
        <v>16138418</v>
      </c>
      <c r="AO40" s="922">
        <v>12448.689999999999</v>
      </c>
      <c r="AP40" s="921">
        <v>118268</v>
      </c>
      <c r="AQ40" s="934">
        <v>78.63</v>
      </c>
      <c r="AR40" s="921">
        <v>52144</v>
      </c>
      <c r="AS40" s="922">
        <v>14.929999999999998</v>
      </c>
      <c r="AT40" s="921">
        <v>71576</v>
      </c>
      <c r="AU40" s="922">
        <v>88.56</v>
      </c>
      <c r="AV40" s="921">
        <v>93255</v>
      </c>
      <c r="AW40" s="922">
        <v>111.27</v>
      </c>
      <c r="AX40" s="1923"/>
      <c r="AY40" s="997" t="s">
        <v>735</v>
      </c>
      <c r="AZ40" s="921">
        <v>17163</v>
      </c>
      <c r="BA40" s="922">
        <v>6.57</v>
      </c>
      <c r="BB40" s="921">
        <v>181994</v>
      </c>
      <c r="BC40" s="922">
        <v>206.41</v>
      </c>
      <c r="BD40" s="921">
        <v>18206891</v>
      </c>
      <c r="BE40" s="922">
        <v>13678.219999999998</v>
      </c>
      <c r="BF40" s="921">
        <v>1136473</v>
      </c>
      <c r="BG40" s="921">
        <v>14660431</v>
      </c>
      <c r="BH40" s="921">
        <v>232971</v>
      </c>
      <c r="BI40" s="921">
        <v>16029875</v>
      </c>
      <c r="BJ40" s="921">
        <v>2122658</v>
      </c>
      <c r="BK40" s="921">
        <v>981641</v>
      </c>
      <c r="BL40" s="922">
        <v>4350.7299999999996</v>
      </c>
      <c r="BM40" s="921">
        <v>909022</v>
      </c>
      <c r="BN40" s="921">
        <v>194771027</v>
      </c>
      <c r="BO40" s="922">
        <v>31512.600000000002</v>
      </c>
      <c r="BP40" s="921">
        <v>67365655</v>
      </c>
      <c r="BQ40" s="921">
        <v>4686</v>
      </c>
      <c r="BR40" s="921">
        <v>2623864</v>
      </c>
      <c r="BS40" s="922">
        <v>7223.45</v>
      </c>
      <c r="BT40" s="921">
        <v>2753647</v>
      </c>
      <c r="BU40" s="921">
        <v>10536</v>
      </c>
      <c r="BV40" s="1630">
        <v>49062</v>
      </c>
    </row>
    <row r="41" spans="1:74" s="873" customFormat="1" ht="9.75" customHeight="1">
      <c r="A41" s="1922" t="s">
        <v>815</v>
      </c>
      <c r="B41" s="867" t="s">
        <v>1875</v>
      </c>
      <c r="C41" s="1603">
        <v>364111</v>
      </c>
      <c r="D41" s="1604">
        <v>45265.56</v>
      </c>
      <c r="E41" s="1603">
        <v>11743</v>
      </c>
      <c r="F41" s="1604">
        <v>633.93000000000006</v>
      </c>
      <c r="G41" s="1603">
        <v>375854</v>
      </c>
      <c r="H41" s="1604">
        <v>45899.5</v>
      </c>
      <c r="I41" s="1603">
        <v>31266</v>
      </c>
      <c r="J41" s="1604">
        <v>384.11</v>
      </c>
      <c r="K41" s="1603">
        <v>4880</v>
      </c>
      <c r="L41" s="1604">
        <v>4.1100000000000003</v>
      </c>
      <c r="M41" s="1603">
        <v>1</v>
      </c>
      <c r="N41" s="1604">
        <v>0</v>
      </c>
      <c r="O41" s="1603">
        <v>7503</v>
      </c>
      <c r="P41" s="1604">
        <v>2.12</v>
      </c>
      <c r="Q41" s="1603">
        <v>83</v>
      </c>
      <c r="R41" s="1604">
        <v>7.0000000000000007E-2</v>
      </c>
      <c r="S41" s="1603">
        <v>25</v>
      </c>
      <c r="T41" s="1604">
        <v>0</v>
      </c>
      <c r="U41" s="1603">
        <v>0</v>
      </c>
      <c r="V41" s="1604">
        <v>0</v>
      </c>
      <c r="W41" s="1603">
        <v>12492</v>
      </c>
      <c r="X41" s="1604">
        <v>6.3</v>
      </c>
      <c r="Y41" s="1551">
        <v>16.18</v>
      </c>
      <c r="Z41" s="1922" t="s">
        <v>815</v>
      </c>
      <c r="AA41" s="867" t="s">
        <v>1875</v>
      </c>
      <c r="AB41" s="1603">
        <v>299716</v>
      </c>
      <c r="AC41" s="1604">
        <v>260.37</v>
      </c>
      <c r="AD41" s="1603">
        <v>0</v>
      </c>
      <c r="AE41" s="1604">
        <v>0</v>
      </c>
      <c r="AF41" s="1603">
        <v>12228</v>
      </c>
      <c r="AG41" s="1604">
        <v>3.57</v>
      </c>
      <c r="AH41" s="1603">
        <v>0</v>
      </c>
      <c r="AI41" s="1604">
        <v>0</v>
      </c>
      <c r="AJ41" s="1603">
        <v>1104</v>
      </c>
      <c r="AK41" s="1604">
        <v>0.04</v>
      </c>
      <c r="AL41" s="1603">
        <v>0</v>
      </c>
      <c r="AM41" s="1604">
        <v>0</v>
      </c>
      <c r="AN41" s="1603">
        <v>313048</v>
      </c>
      <c r="AO41" s="1604">
        <v>263.99</v>
      </c>
      <c r="AP41" s="1603">
        <v>3688</v>
      </c>
      <c r="AQ41" s="1605">
        <v>3.83</v>
      </c>
      <c r="AR41" s="1603">
        <v>0</v>
      </c>
      <c r="AS41" s="1604">
        <v>0</v>
      </c>
      <c r="AT41" s="1603">
        <v>0</v>
      </c>
      <c r="AU41" s="1604">
        <v>0</v>
      </c>
      <c r="AV41" s="1603">
        <v>0</v>
      </c>
      <c r="AW41" s="1551">
        <v>0</v>
      </c>
      <c r="AX41" s="1922" t="s">
        <v>815</v>
      </c>
      <c r="AY41" s="867" t="s">
        <v>1875</v>
      </c>
      <c r="AZ41" s="1603">
        <v>0</v>
      </c>
      <c r="BA41" s="1604">
        <v>0</v>
      </c>
      <c r="BB41" s="1603">
        <v>0</v>
      </c>
      <c r="BC41" s="1604">
        <v>0</v>
      </c>
      <c r="BD41" s="1603">
        <v>329228</v>
      </c>
      <c r="BE41" s="1604">
        <v>274.12</v>
      </c>
      <c r="BF41" s="1603">
        <v>4286</v>
      </c>
      <c r="BG41" s="1603">
        <v>342831</v>
      </c>
      <c r="BH41" s="1603">
        <v>13933</v>
      </c>
      <c r="BI41" s="1603">
        <v>361050</v>
      </c>
      <c r="BJ41" s="1603">
        <v>0</v>
      </c>
      <c r="BK41" s="1603">
        <v>0</v>
      </c>
      <c r="BL41" s="1604">
        <v>0</v>
      </c>
      <c r="BM41" s="1603">
        <v>129027</v>
      </c>
      <c r="BN41" s="1603">
        <v>880497</v>
      </c>
      <c r="BO41" s="1604">
        <v>179.24</v>
      </c>
      <c r="BP41" s="1603">
        <v>15998842</v>
      </c>
      <c r="BQ41" s="1603">
        <v>200</v>
      </c>
      <c r="BR41" s="1603">
        <v>149053</v>
      </c>
      <c r="BS41" s="1604">
        <v>165.43</v>
      </c>
      <c r="BT41" s="1603">
        <v>80214</v>
      </c>
      <c r="BU41" s="1603">
        <v>240</v>
      </c>
      <c r="BV41" s="931">
        <v>0</v>
      </c>
    </row>
    <row r="42" spans="1:74" s="873" customFormat="1" ht="9.75" customHeight="1">
      <c r="A42" s="1923"/>
      <c r="B42" s="926" t="s">
        <v>1876</v>
      </c>
      <c r="C42" s="923">
        <v>15042</v>
      </c>
      <c r="D42" s="924">
        <v>1248.98</v>
      </c>
      <c r="E42" s="923">
        <v>1987</v>
      </c>
      <c r="F42" s="924">
        <v>17.77</v>
      </c>
      <c r="G42" s="923">
        <v>17029</v>
      </c>
      <c r="H42" s="924">
        <v>1266.75</v>
      </c>
      <c r="I42" s="923">
        <v>422</v>
      </c>
      <c r="J42" s="924">
        <v>96.69</v>
      </c>
      <c r="K42" s="923">
        <v>0</v>
      </c>
      <c r="L42" s="924">
        <v>0</v>
      </c>
      <c r="M42" s="923">
        <v>0</v>
      </c>
      <c r="N42" s="924">
        <v>0</v>
      </c>
      <c r="O42" s="923">
        <v>0</v>
      </c>
      <c r="P42" s="924">
        <v>0</v>
      </c>
      <c r="Q42" s="923">
        <v>0</v>
      </c>
      <c r="R42" s="924">
        <v>0</v>
      </c>
      <c r="S42" s="923">
        <v>0</v>
      </c>
      <c r="T42" s="924">
        <v>0</v>
      </c>
      <c r="U42" s="923">
        <v>0</v>
      </c>
      <c r="V42" s="924">
        <v>0</v>
      </c>
      <c r="W42" s="923">
        <v>0</v>
      </c>
      <c r="X42" s="924">
        <v>0</v>
      </c>
      <c r="Y42" s="924">
        <v>0</v>
      </c>
      <c r="Z42" s="1923"/>
      <c r="AA42" s="926" t="s">
        <v>1876</v>
      </c>
      <c r="AB42" s="923">
        <v>5029</v>
      </c>
      <c r="AC42" s="924">
        <v>3.81</v>
      </c>
      <c r="AD42" s="923">
        <v>0</v>
      </c>
      <c r="AE42" s="924">
        <v>0</v>
      </c>
      <c r="AF42" s="923">
        <v>156</v>
      </c>
      <c r="AG42" s="924">
        <v>0.03</v>
      </c>
      <c r="AH42" s="923">
        <v>0</v>
      </c>
      <c r="AI42" s="924">
        <v>0</v>
      </c>
      <c r="AJ42" s="923">
        <v>0</v>
      </c>
      <c r="AK42" s="924">
        <v>0</v>
      </c>
      <c r="AL42" s="923">
        <v>0</v>
      </c>
      <c r="AM42" s="924">
        <v>0</v>
      </c>
      <c r="AN42" s="923">
        <v>5185</v>
      </c>
      <c r="AO42" s="924">
        <v>3.85</v>
      </c>
      <c r="AP42" s="923">
        <v>0</v>
      </c>
      <c r="AQ42" s="925">
        <v>0</v>
      </c>
      <c r="AR42" s="923">
        <v>0</v>
      </c>
      <c r="AS42" s="924">
        <v>0</v>
      </c>
      <c r="AT42" s="923">
        <v>0</v>
      </c>
      <c r="AU42" s="924">
        <v>0</v>
      </c>
      <c r="AV42" s="923">
        <v>0</v>
      </c>
      <c r="AW42" s="924">
        <v>0</v>
      </c>
      <c r="AX42" s="1923"/>
      <c r="AY42" s="926" t="s">
        <v>1876</v>
      </c>
      <c r="AZ42" s="923">
        <v>0</v>
      </c>
      <c r="BA42" s="924">
        <v>0</v>
      </c>
      <c r="BB42" s="923">
        <v>0</v>
      </c>
      <c r="BC42" s="924">
        <v>0</v>
      </c>
      <c r="BD42" s="923">
        <v>5185</v>
      </c>
      <c r="BE42" s="924">
        <v>3.85</v>
      </c>
      <c r="BF42" s="923">
        <v>0</v>
      </c>
      <c r="BG42" s="923">
        <v>5577</v>
      </c>
      <c r="BH42" s="923">
        <v>0</v>
      </c>
      <c r="BI42" s="923">
        <v>5577</v>
      </c>
      <c r="BJ42" s="923">
        <v>0</v>
      </c>
      <c r="BK42" s="923">
        <v>0</v>
      </c>
      <c r="BL42" s="924">
        <v>0</v>
      </c>
      <c r="BM42" s="923">
        <v>0</v>
      </c>
      <c r="BN42" s="923">
        <v>0</v>
      </c>
      <c r="BO42" s="924">
        <v>0</v>
      </c>
      <c r="BP42" s="923">
        <v>0</v>
      </c>
      <c r="BQ42" s="923">
        <v>0</v>
      </c>
      <c r="BR42" s="923">
        <v>0</v>
      </c>
      <c r="BS42" s="924">
        <v>0</v>
      </c>
      <c r="BT42" s="923">
        <v>0</v>
      </c>
      <c r="BU42" s="923">
        <v>6</v>
      </c>
      <c r="BV42" s="932">
        <v>0</v>
      </c>
    </row>
    <row r="43" spans="1:74" s="873" customFormat="1" ht="9.75" customHeight="1">
      <c r="A43" s="1923"/>
      <c r="B43" s="867" t="s">
        <v>1877</v>
      </c>
      <c r="C43" s="918">
        <v>1413858</v>
      </c>
      <c r="D43" s="919">
        <v>126195.50000000001</v>
      </c>
      <c r="E43" s="918">
        <v>781</v>
      </c>
      <c r="F43" s="919">
        <v>73.95</v>
      </c>
      <c r="G43" s="918">
        <v>1414639</v>
      </c>
      <c r="H43" s="919">
        <v>126269.45</v>
      </c>
      <c r="I43" s="918">
        <v>1446731</v>
      </c>
      <c r="J43" s="919">
        <v>10632.33</v>
      </c>
      <c r="K43" s="918">
        <v>153481</v>
      </c>
      <c r="L43" s="919">
        <v>103.34000000000002</v>
      </c>
      <c r="M43" s="918">
        <v>4185</v>
      </c>
      <c r="N43" s="919">
        <v>6.6999999999999975</v>
      </c>
      <c r="O43" s="918">
        <v>1020268</v>
      </c>
      <c r="P43" s="919">
        <v>583.31999999999994</v>
      </c>
      <c r="Q43" s="918">
        <v>166453</v>
      </c>
      <c r="R43" s="919">
        <v>144.67000000000002</v>
      </c>
      <c r="S43" s="918">
        <v>192261</v>
      </c>
      <c r="T43" s="919">
        <v>40.45000000000001</v>
      </c>
      <c r="U43" s="918">
        <v>79344</v>
      </c>
      <c r="V43" s="919">
        <v>43.37</v>
      </c>
      <c r="W43" s="918">
        <v>1615992</v>
      </c>
      <c r="X43" s="919">
        <v>921.81999999999994</v>
      </c>
      <c r="Y43" s="919">
        <v>4043.3799999999997</v>
      </c>
      <c r="Z43" s="1923"/>
      <c r="AA43" s="867" t="s">
        <v>1877</v>
      </c>
      <c r="AB43" s="918">
        <v>14926638</v>
      </c>
      <c r="AC43" s="919">
        <v>11568.049999999997</v>
      </c>
      <c r="AD43" s="918">
        <v>430</v>
      </c>
      <c r="AE43" s="919">
        <v>1.2</v>
      </c>
      <c r="AF43" s="918">
        <v>847401</v>
      </c>
      <c r="AG43" s="919">
        <v>445.93000000000006</v>
      </c>
      <c r="AH43" s="918">
        <v>2900</v>
      </c>
      <c r="AI43" s="919">
        <v>5.81</v>
      </c>
      <c r="AJ43" s="918">
        <v>780266</v>
      </c>
      <c r="AK43" s="919">
        <v>35.890000000000008</v>
      </c>
      <c r="AL43" s="918">
        <v>2166</v>
      </c>
      <c r="AM43" s="919">
        <v>1.26</v>
      </c>
      <c r="AN43" s="918">
        <v>16559801</v>
      </c>
      <c r="AO43" s="919">
        <v>12058.15</v>
      </c>
      <c r="AP43" s="918">
        <v>127377</v>
      </c>
      <c r="AQ43" s="920">
        <v>79.490000000000009</v>
      </c>
      <c r="AR43" s="918">
        <v>62808</v>
      </c>
      <c r="AS43" s="919">
        <v>18.819999999999993</v>
      </c>
      <c r="AT43" s="918">
        <v>62830</v>
      </c>
      <c r="AU43" s="919">
        <v>67.48</v>
      </c>
      <c r="AV43" s="918">
        <v>104468</v>
      </c>
      <c r="AW43" s="919">
        <v>129.09</v>
      </c>
      <c r="AX43" s="1923"/>
      <c r="AY43" s="867" t="s">
        <v>1877</v>
      </c>
      <c r="AZ43" s="918">
        <v>23771</v>
      </c>
      <c r="BA43" s="919">
        <v>8.64</v>
      </c>
      <c r="BB43" s="918">
        <v>191069</v>
      </c>
      <c r="BC43" s="919">
        <v>205.21000000000004</v>
      </c>
      <c r="BD43" s="918">
        <v>18554147</v>
      </c>
      <c r="BE43" s="919">
        <v>13277.66</v>
      </c>
      <c r="BF43" s="918">
        <v>1027348</v>
      </c>
      <c r="BG43" s="918">
        <v>14235436</v>
      </c>
      <c r="BH43" s="918">
        <v>171749</v>
      </c>
      <c r="BI43" s="918">
        <v>15434533</v>
      </c>
      <c r="BJ43" s="918">
        <v>1982537</v>
      </c>
      <c r="BK43" s="918">
        <v>832380</v>
      </c>
      <c r="BL43" s="919">
        <v>1298.5900000000001</v>
      </c>
      <c r="BM43" s="918">
        <v>790164</v>
      </c>
      <c r="BN43" s="918">
        <v>208193564</v>
      </c>
      <c r="BO43" s="919">
        <v>34499.129999999997</v>
      </c>
      <c r="BP43" s="918">
        <v>51540722</v>
      </c>
      <c r="BQ43" s="918">
        <v>4666</v>
      </c>
      <c r="BR43" s="918">
        <v>2842642</v>
      </c>
      <c r="BS43" s="919">
        <v>7957.0399999999991</v>
      </c>
      <c r="BT43" s="918">
        <v>2826353</v>
      </c>
      <c r="BU43" s="918">
        <v>10181</v>
      </c>
      <c r="BV43" s="931">
        <v>49544</v>
      </c>
    </row>
    <row r="44" spans="1:74" s="873" customFormat="1" ht="9.75" customHeight="1">
      <c r="A44" s="1923"/>
      <c r="B44" s="926" t="s">
        <v>1897</v>
      </c>
      <c r="C44" s="923">
        <v>147685</v>
      </c>
      <c r="D44" s="924">
        <v>14472.109999999999</v>
      </c>
      <c r="E44" s="923">
        <v>0</v>
      </c>
      <c r="F44" s="924">
        <v>0</v>
      </c>
      <c r="G44" s="923">
        <v>147685</v>
      </c>
      <c r="H44" s="924">
        <v>14472.109999999999</v>
      </c>
      <c r="I44" s="923">
        <v>414483</v>
      </c>
      <c r="J44" s="924">
        <v>3972.5499999999997</v>
      </c>
      <c r="K44" s="923">
        <v>11512</v>
      </c>
      <c r="L44" s="924">
        <v>9.7800000000000011</v>
      </c>
      <c r="M44" s="923">
        <v>190</v>
      </c>
      <c r="N44" s="924">
        <v>0.27</v>
      </c>
      <c r="O44" s="923">
        <v>290988</v>
      </c>
      <c r="P44" s="924">
        <v>126.47</v>
      </c>
      <c r="Q44" s="923">
        <v>9718</v>
      </c>
      <c r="R44" s="924">
        <v>8.92</v>
      </c>
      <c r="S44" s="923">
        <v>62818</v>
      </c>
      <c r="T44" s="924">
        <v>15.71</v>
      </c>
      <c r="U44" s="923">
        <v>6758</v>
      </c>
      <c r="V44" s="924">
        <v>3.27</v>
      </c>
      <c r="W44" s="923">
        <v>381984</v>
      </c>
      <c r="X44" s="924">
        <v>164.42</v>
      </c>
      <c r="Y44" s="924">
        <v>714.58</v>
      </c>
      <c r="Z44" s="1923"/>
      <c r="AA44" s="926" t="s">
        <v>1897</v>
      </c>
      <c r="AB44" s="923">
        <v>690285</v>
      </c>
      <c r="AC44" s="924">
        <v>765.85</v>
      </c>
      <c r="AD44" s="923">
        <v>1186</v>
      </c>
      <c r="AE44" s="924">
        <v>3.1399999999999997</v>
      </c>
      <c r="AF44" s="923">
        <v>126829</v>
      </c>
      <c r="AG44" s="924">
        <v>39.61</v>
      </c>
      <c r="AH44" s="923">
        <v>3150</v>
      </c>
      <c r="AI44" s="924">
        <v>4.0599999999999996</v>
      </c>
      <c r="AJ44" s="923">
        <v>30844</v>
      </c>
      <c r="AK44" s="924">
        <v>2.98</v>
      </c>
      <c r="AL44" s="923">
        <v>3138</v>
      </c>
      <c r="AM44" s="924">
        <v>2.81</v>
      </c>
      <c r="AN44" s="923">
        <v>855432</v>
      </c>
      <c r="AO44" s="924">
        <v>818.46</v>
      </c>
      <c r="AP44" s="923">
        <v>0</v>
      </c>
      <c r="AQ44" s="925">
        <v>0</v>
      </c>
      <c r="AR44" s="923">
        <v>3768</v>
      </c>
      <c r="AS44" s="924">
        <v>1.58</v>
      </c>
      <c r="AT44" s="923">
        <v>13083</v>
      </c>
      <c r="AU44" s="924">
        <v>26.509999999999998</v>
      </c>
      <c r="AV44" s="923">
        <v>0</v>
      </c>
      <c r="AW44" s="924">
        <v>0</v>
      </c>
      <c r="AX44" s="1923"/>
      <c r="AY44" s="926" t="s">
        <v>1897</v>
      </c>
      <c r="AZ44" s="923">
        <v>0</v>
      </c>
      <c r="BA44" s="924">
        <v>0</v>
      </c>
      <c r="BB44" s="923">
        <v>13083</v>
      </c>
      <c r="BC44" s="924">
        <v>26.509999999999998</v>
      </c>
      <c r="BD44" s="923">
        <v>1251117</v>
      </c>
      <c r="BE44" s="924">
        <v>1006.91</v>
      </c>
      <c r="BF44" s="923">
        <v>127794</v>
      </c>
      <c r="BG44" s="923">
        <v>341994</v>
      </c>
      <c r="BH44" s="923">
        <v>56826</v>
      </c>
      <c r="BI44" s="923">
        <v>526614</v>
      </c>
      <c r="BJ44" s="923">
        <v>176927</v>
      </c>
      <c r="BK44" s="923">
        <v>276099</v>
      </c>
      <c r="BL44" s="924">
        <v>4026.18</v>
      </c>
      <c r="BM44" s="923">
        <v>0</v>
      </c>
      <c r="BN44" s="923">
        <v>0</v>
      </c>
      <c r="BO44" s="924">
        <v>0</v>
      </c>
      <c r="BP44" s="923">
        <v>0</v>
      </c>
      <c r="BQ44" s="923">
        <v>0</v>
      </c>
      <c r="BR44" s="923">
        <v>0</v>
      </c>
      <c r="BS44" s="924">
        <v>0</v>
      </c>
      <c r="BT44" s="923">
        <v>0</v>
      </c>
      <c r="BU44" s="923">
        <v>165</v>
      </c>
      <c r="BV44" s="932">
        <v>0</v>
      </c>
    </row>
    <row r="45" spans="1:74" s="873" customFormat="1" ht="9.75" customHeight="1">
      <c r="A45" s="1924"/>
      <c r="B45" s="872" t="s">
        <v>735</v>
      </c>
      <c r="C45" s="1552">
        <v>1940696</v>
      </c>
      <c r="D45" s="1553">
        <v>187182.15</v>
      </c>
      <c r="E45" s="1552">
        <v>14511</v>
      </c>
      <c r="F45" s="1553">
        <v>725.65000000000009</v>
      </c>
      <c r="G45" s="1552">
        <v>1955207</v>
      </c>
      <c r="H45" s="1553">
        <v>187907.81</v>
      </c>
      <c r="I45" s="1552">
        <v>1892902</v>
      </c>
      <c r="J45" s="1553">
        <v>15085.679999999998</v>
      </c>
      <c r="K45" s="1552">
        <v>169873</v>
      </c>
      <c r="L45" s="1553">
        <v>117.23000000000002</v>
      </c>
      <c r="M45" s="1552">
        <v>4376</v>
      </c>
      <c r="N45" s="1553">
        <v>6.9699999999999971</v>
      </c>
      <c r="O45" s="1552">
        <v>1318759</v>
      </c>
      <c r="P45" s="1553">
        <v>711.91</v>
      </c>
      <c r="Q45" s="1552">
        <v>176254</v>
      </c>
      <c r="R45" s="1553">
        <v>153.66</v>
      </c>
      <c r="S45" s="1552">
        <v>255104</v>
      </c>
      <c r="T45" s="1553">
        <v>56.160000000000011</v>
      </c>
      <c r="U45" s="1552">
        <v>86102</v>
      </c>
      <c r="V45" s="1553">
        <v>46.64</v>
      </c>
      <c r="W45" s="1552">
        <v>2010468</v>
      </c>
      <c r="X45" s="1553">
        <v>1092.54</v>
      </c>
      <c r="Y45" s="1553">
        <v>4774.1399999999994</v>
      </c>
      <c r="Z45" s="1924"/>
      <c r="AA45" s="1556" t="s">
        <v>735</v>
      </c>
      <c r="AB45" s="1552">
        <v>15921668</v>
      </c>
      <c r="AC45" s="1553">
        <v>12598.079999999998</v>
      </c>
      <c r="AD45" s="1552">
        <v>1616</v>
      </c>
      <c r="AE45" s="1553">
        <v>4.34</v>
      </c>
      <c r="AF45" s="1552">
        <v>986614</v>
      </c>
      <c r="AG45" s="1553">
        <v>489.1400000000001</v>
      </c>
      <c r="AH45" s="1552">
        <v>6050</v>
      </c>
      <c r="AI45" s="1553">
        <v>9.8699999999999992</v>
      </c>
      <c r="AJ45" s="1552">
        <v>812214</v>
      </c>
      <c r="AK45" s="1553">
        <v>38.910000000000004</v>
      </c>
      <c r="AL45" s="1552">
        <v>5304</v>
      </c>
      <c r="AM45" s="1553">
        <v>4.07</v>
      </c>
      <c r="AN45" s="1552">
        <v>17733466</v>
      </c>
      <c r="AO45" s="1553">
        <v>13144.45</v>
      </c>
      <c r="AP45" s="1552">
        <v>131065</v>
      </c>
      <c r="AQ45" s="1557">
        <v>83.320000000000007</v>
      </c>
      <c r="AR45" s="1552">
        <v>66576</v>
      </c>
      <c r="AS45" s="1553">
        <v>20.399999999999991</v>
      </c>
      <c r="AT45" s="1552">
        <v>75913</v>
      </c>
      <c r="AU45" s="1553">
        <v>93.990000000000009</v>
      </c>
      <c r="AV45" s="1552">
        <v>104468</v>
      </c>
      <c r="AW45" s="1553">
        <v>129.09</v>
      </c>
      <c r="AX45" s="1924"/>
      <c r="AY45" s="1556" t="s">
        <v>735</v>
      </c>
      <c r="AZ45" s="1552">
        <v>23771</v>
      </c>
      <c r="BA45" s="1553">
        <v>8.64</v>
      </c>
      <c r="BB45" s="1552">
        <v>204152</v>
      </c>
      <c r="BC45" s="1553">
        <v>231.72000000000003</v>
      </c>
      <c r="BD45" s="1552">
        <v>20145727</v>
      </c>
      <c r="BE45" s="1553">
        <v>14572.43</v>
      </c>
      <c r="BF45" s="1552">
        <v>1159428</v>
      </c>
      <c r="BG45" s="1552">
        <v>14925838</v>
      </c>
      <c r="BH45" s="1552">
        <v>242508</v>
      </c>
      <c r="BI45" s="1552">
        <v>16327774</v>
      </c>
      <c r="BJ45" s="1552">
        <v>2159464</v>
      </c>
      <c r="BK45" s="1552">
        <v>1108479</v>
      </c>
      <c r="BL45" s="1553">
        <v>5324.77</v>
      </c>
      <c r="BM45" s="1552">
        <v>919191</v>
      </c>
      <c r="BN45" s="1552">
        <v>209074061</v>
      </c>
      <c r="BO45" s="1553">
        <v>34678.369999999995</v>
      </c>
      <c r="BP45" s="1552">
        <v>67539564</v>
      </c>
      <c r="BQ45" s="1552">
        <v>4866</v>
      </c>
      <c r="BR45" s="1552">
        <v>2991695</v>
      </c>
      <c r="BS45" s="1553">
        <v>8122.4699999999993</v>
      </c>
      <c r="BT45" s="1552">
        <v>2906567</v>
      </c>
      <c r="BU45" s="1552">
        <v>10592</v>
      </c>
      <c r="BV45" s="1629">
        <v>49544</v>
      </c>
    </row>
    <row r="46" spans="1:74" s="873" customFormat="1" ht="9.75" customHeight="1">
      <c r="A46" s="1922" t="s">
        <v>824</v>
      </c>
      <c r="B46" s="1042" t="s">
        <v>1875</v>
      </c>
      <c r="C46" s="1600">
        <v>379059</v>
      </c>
      <c r="D46" s="1571">
        <v>43664.36</v>
      </c>
      <c r="E46" s="1600">
        <v>12933</v>
      </c>
      <c r="F46" s="1571">
        <v>704.55000000000007</v>
      </c>
      <c r="G46" s="1600">
        <v>391992</v>
      </c>
      <c r="H46" s="1571">
        <v>44368.92</v>
      </c>
      <c r="I46" s="1600">
        <v>32581</v>
      </c>
      <c r="J46" s="1571">
        <v>385.41</v>
      </c>
      <c r="K46" s="1600">
        <v>4636</v>
      </c>
      <c r="L46" s="1571">
        <v>4.12</v>
      </c>
      <c r="M46" s="1600">
        <v>0</v>
      </c>
      <c r="N46" s="1571">
        <v>0</v>
      </c>
      <c r="O46" s="1600">
        <v>16168</v>
      </c>
      <c r="P46" s="1571">
        <v>4.6099999999999994</v>
      </c>
      <c r="Q46" s="1600">
        <v>64</v>
      </c>
      <c r="R46" s="1571">
        <v>0.05</v>
      </c>
      <c r="S46" s="1600">
        <v>345</v>
      </c>
      <c r="T46" s="1571">
        <v>0.03</v>
      </c>
      <c r="U46" s="1600">
        <v>0</v>
      </c>
      <c r="V46" s="1571">
        <v>0</v>
      </c>
      <c r="W46" s="1600">
        <v>21213</v>
      </c>
      <c r="X46" s="1571">
        <v>8.82</v>
      </c>
      <c r="Y46" s="1623">
        <v>17.489999999999998</v>
      </c>
      <c r="Z46" s="1924" t="s">
        <v>824</v>
      </c>
      <c r="AA46" s="1624" t="s">
        <v>1875</v>
      </c>
      <c r="AB46" s="1600">
        <v>323331</v>
      </c>
      <c r="AC46" s="1571">
        <v>273.48</v>
      </c>
      <c r="AD46" s="1600">
        <v>0</v>
      </c>
      <c r="AE46" s="1571">
        <v>0</v>
      </c>
      <c r="AF46" s="1600">
        <v>10178</v>
      </c>
      <c r="AG46" s="1571">
        <v>3.01</v>
      </c>
      <c r="AH46" s="1600">
        <v>0</v>
      </c>
      <c r="AI46" s="1571">
        <v>0</v>
      </c>
      <c r="AJ46" s="1600">
        <v>1345</v>
      </c>
      <c r="AK46" s="1571">
        <v>0.05</v>
      </c>
      <c r="AL46" s="1600">
        <v>0</v>
      </c>
      <c r="AM46" s="1571">
        <v>0</v>
      </c>
      <c r="AN46" s="1600">
        <v>334854</v>
      </c>
      <c r="AO46" s="1571">
        <v>276.53999999999996</v>
      </c>
      <c r="AP46" s="1600">
        <v>4919</v>
      </c>
      <c r="AQ46" s="1571">
        <v>5.0600000000000005</v>
      </c>
      <c r="AR46" s="1600">
        <v>0</v>
      </c>
      <c r="AS46" s="1571">
        <v>0</v>
      </c>
      <c r="AT46" s="1600">
        <v>0</v>
      </c>
      <c r="AU46" s="1571">
        <v>0</v>
      </c>
      <c r="AV46" s="1600">
        <v>0</v>
      </c>
      <c r="AW46" s="1623">
        <v>0</v>
      </c>
      <c r="AX46" s="1924" t="s">
        <v>824</v>
      </c>
      <c r="AY46" s="1624" t="s">
        <v>1875</v>
      </c>
      <c r="AZ46" s="1600">
        <v>0</v>
      </c>
      <c r="BA46" s="1571">
        <v>0</v>
      </c>
      <c r="BB46" s="1600">
        <v>0</v>
      </c>
      <c r="BC46" s="1571">
        <v>0</v>
      </c>
      <c r="BD46" s="1600">
        <v>360986</v>
      </c>
      <c r="BE46" s="1571">
        <v>290.41999999999996</v>
      </c>
      <c r="BF46" s="1600">
        <v>4382</v>
      </c>
      <c r="BG46" s="1600">
        <v>353630</v>
      </c>
      <c r="BH46" s="1600">
        <v>13927</v>
      </c>
      <c r="BI46" s="1600">
        <v>371939</v>
      </c>
      <c r="BJ46" s="1600">
        <v>0</v>
      </c>
      <c r="BK46" s="1600">
        <v>0</v>
      </c>
      <c r="BL46" s="1571">
        <v>0</v>
      </c>
      <c r="BM46" s="1600">
        <v>129783</v>
      </c>
      <c r="BN46" s="1600">
        <v>6275558</v>
      </c>
      <c r="BO46" s="1571">
        <v>515.91</v>
      </c>
      <c r="BP46" s="1600">
        <v>16810763</v>
      </c>
      <c r="BQ46" s="1600">
        <v>200</v>
      </c>
      <c r="BR46" s="1600">
        <v>148098</v>
      </c>
      <c r="BS46" s="1571">
        <v>182.21</v>
      </c>
      <c r="BT46" s="1600">
        <v>84898</v>
      </c>
      <c r="BU46" s="1600">
        <v>240</v>
      </c>
      <c r="BV46" s="1666">
        <v>0</v>
      </c>
    </row>
    <row r="47" spans="1:74" s="874" customFormat="1" ht="9.75" customHeight="1">
      <c r="A47" s="1923"/>
      <c r="B47" s="1166" t="s">
        <v>1876</v>
      </c>
      <c r="C47" s="1665">
        <v>15609</v>
      </c>
      <c r="D47" s="1572">
        <v>1081.68</v>
      </c>
      <c r="E47" s="1665">
        <v>1471</v>
      </c>
      <c r="F47" s="1572">
        <v>14.83</v>
      </c>
      <c r="G47" s="1665">
        <v>17080</v>
      </c>
      <c r="H47" s="1572">
        <v>1096.5</v>
      </c>
      <c r="I47" s="1665">
        <v>315</v>
      </c>
      <c r="J47" s="1572">
        <v>101.7</v>
      </c>
      <c r="K47" s="1665">
        <v>0</v>
      </c>
      <c r="L47" s="1572">
        <v>0</v>
      </c>
      <c r="M47" s="1665">
        <v>0</v>
      </c>
      <c r="N47" s="1572">
        <v>0</v>
      </c>
      <c r="O47" s="1665">
        <v>0</v>
      </c>
      <c r="P47" s="1572">
        <v>0</v>
      </c>
      <c r="Q47" s="1665">
        <v>0</v>
      </c>
      <c r="R47" s="1572">
        <v>0</v>
      </c>
      <c r="S47" s="1665">
        <v>0</v>
      </c>
      <c r="T47" s="1572">
        <v>0</v>
      </c>
      <c r="U47" s="1665">
        <v>0</v>
      </c>
      <c r="V47" s="1572">
        <v>0</v>
      </c>
      <c r="W47" s="1665">
        <v>0</v>
      </c>
      <c r="X47" s="1572">
        <v>0</v>
      </c>
      <c r="Y47" s="1572">
        <v>0</v>
      </c>
      <c r="Z47" s="1926"/>
      <c r="AA47" s="867" t="s">
        <v>1876</v>
      </c>
      <c r="AB47" s="1665">
        <v>5596</v>
      </c>
      <c r="AC47" s="1572">
        <v>4.4000000000000004</v>
      </c>
      <c r="AD47" s="1665">
        <v>0</v>
      </c>
      <c r="AE47" s="1572">
        <v>0</v>
      </c>
      <c r="AF47" s="1665">
        <v>210</v>
      </c>
      <c r="AG47" s="1572">
        <v>0.05</v>
      </c>
      <c r="AH47" s="1665">
        <v>0</v>
      </c>
      <c r="AI47" s="1572">
        <v>0</v>
      </c>
      <c r="AJ47" s="1665">
        <v>0</v>
      </c>
      <c r="AK47" s="1572">
        <v>0</v>
      </c>
      <c r="AL47" s="1665">
        <v>0</v>
      </c>
      <c r="AM47" s="1572">
        <v>0</v>
      </c>
      <c r="AN47" s="1665">
        <v>5806</v>
      </c>
      <c r="AO47" s="1572">
        <v>4.45</v>
      </c>
      <c r="AP47" s="1665">
        <v>0</v>
      </c>
      <c r="AQ47" s="1572">
        <v>0</v>
      </c>
      <c r="AR47" s="1665">
        <v>0</v>
      </c>
      <c r="AS47" s="1572">
        <v>0</v>
      </c>
      <c r="AT47" s="1665">
        <v>0</v>
      </c>
      <c r="AU47" s="1572">
        <v>0</v>
      </c>
      <c r="AV47" s="1665">
        <v>0</v>
      </c>
      <c r="AW47" s="1572">
        <v>0</v>
      </c>
      <c r="AX47" s="1926"/>
      <c r="AY47" s="867" t="s">
        <v>1876</v>
      </c>
      <c r="AZ47" s="1665">
        <v>0</v>
      </c>
      <c r="BA47" s="1572">
        <v>0</v>
      </c>
      <c r="BB47" s="1665">
        <v>0</v>
      </c>
      <c r="BC47" s="1572">
        <v>0</v>
      </c>
      <c r="BD47" s="1665">
        <v>5806</v>
      </c>
      <c r="BE47" s="1572">
        <v>4.45</v>
      </c>
      <c r="BF47" s="1665">
        <v>0</v>
      </c>
      <c r="BG47" s="1665">
        <v>5806</v>
      </c>
      <c r="BH47" s="1665">
        <v>0</v>
      </c>
      <c r="BI47" s="1665">
        <v>5806</v>
      </c>
      <c r="BJ47" s="1665">
        <v>0</v>
      </c>
      <c r="BK47" s="1665">
        <v>0</v>
      </c>
      <c r="BL47" s="1572">
        <v>0</v>
      </c>
      <c r="BM47" s="1665">
        <v>0</v>
      </c>
      <c r="BN47" s="1665">
        <v>0</v>
      </c>
      <c r="BO47" s="1572">
        <v>0</v>
      </c>
      <c r="BP47" s="1665">
        <v>0</v>
      </c>
      <c r="BQ47" s="1665">
        <v>0</v>
      </c>
      <c r="BR47" s="1665">
        <v>0</v>
      </c>
      <c r="BS47" s="1572">
        <v>0</v>
      </c>
      <c r="BT47" s="1665">
        <v>0</v>
      </c>
      <c r="BU47" s="1665">
        <v>6</v>
      </c>
      <c r="BV47" s="1667">
        <v>0</v>
      </c>
    </row>
    <row r="48" spans="1:74" ht="9.75" customHeight="1">
      <c r="A48" s="1923"/>
      <c r="B48" s="1165" t="s">
        <v>1877</v>
      </c>
      <c r="C48" s="1600">
        <v>1401689</v>
      </c>
      <c r="D48" s="1571">
        <v>125220.11</v>
      </c>
      <c r="E48" s="1600">
        <v>903</v>
      </c>
      <c r="F48" s="1571">
        <v>75.25</v>
      </c>
      <c r="G48" s="1600">
        <v>1402592</v>
      </c>
      <c r="H48" s="1571">
        <v>125295.39000000001</v>
      </c>
      <c r="I48" s="1600">
        <v>1370281</v>
      </c>
      <c r="J48" s="1571">
        <v>9829.4599999999973</v>
      </c>
      <c r="K48" s="1600">
        <v>184137</v>
      </c>
      <c r="L48" s="1571">
        <v>104.37999999999998</v>
      </c>
      <c r="M48" s="1600">
        <v>4316</v>
      </c>
      <c r="N48" s="1571">
        <v>6.6499999999999977</v>
      </c>
      <c r="O48" s="1600">
        <v>1076387</v>
      </c>
      <c r="P48" s="1571">
        <v>600.74000000000012</v>
      </c>
      <c r="Q48" s="1600">
        <v>161464</v>
      </c>
      <c r="R48" s="1571">
        <v>142.12</v>
      </c>
      <c r="S48" s="1600">
        <v>205270</v>
      </c>
      <c r="T48" s="1571">
        <v>43.76</v>
      </c>
      <c r="U48" s="1600">
        <v>85975</v>
      </c>
      <c r="V48" s="1571">
        <v>37.26</v>
      </c>
      <c r="W48" s="1600">
        <v>1717549</v>
      </c>
      <c r="X48" s="1571">
        <v>934.92999999999984</v>
      </c>
      <c r="Y48" s="1571">
        <v>4146.9799999999996</v>
      </c>
      <c r="Z48" s="1926"/>
      <c r="AA48" s="926" t="s">
        <v>1877</v>
      </c>
      <c r="AB48" s="1600">
        <v>15557297</v>
      </c>
      <c r="AC48" s="1571">
        <v>11851.750000000002</v>
      </c>
      <c r="AD48" s="1600">
        <v>497</v>
      </c>
      <c r="AE48" s="1571">
        <v>1.1300000000000001</v>
      </c>
      <c r="AF48" s="1600">
        <v>784544</v>
      </c>
      <c r="AG48" s="1571">
        <v>431.38999999999993</v>
      </c>
      <c r="AH48" s="1600">
        <v>3073</v>
      </c>
      <c r="AI48" s="1571">
        <v>9.7499999999999982</v>
      </c>
      <c r="AJ48" s="1600">
        <v>759472</v>
      </c>
      <c r="AK48" s="1571">
        <v>37.989999999999995</v>
      </c>
      <c r="AL48" s="1600">
        <v>2882</v>
      </c>
      <c r="AM48" s="1571">
        <v>1.2200000000000002</v>
      </c>
      <c r="AN48" s="1600">
        <v>17107765</v>
      </c>
      <c r="AO48" s="1571">
        <v>12333.22</v>
      </c>
      <c r="AP48" s="1600">
        <v>124946</v>
      </c>
      <c r="AQ48" s="1571">
        <v>77.949999999999974</v>
      </c>
      <c r="AR48" s="1600">
        <v>67162</v>
      </c>
      <c r="AS48" s="1571">
        <v>18.270000000000003</v>
      </c>
      <c r="AT48" s="1600">
        <v>59957</v>
      </c>
      <c r="AU48" s="1571">
        <v>64.11</v>
      </c>
      <c r="AV48" s="1600">
        <v>98447</v>
      </c>
      <c r="AW48" s="1571">
        <v>116.46000000000001</v>
      </c>
      <c r="AX48" s="1926"/>
      <c r="AY48" s="926" t="s">
        <v>1877</v>
      </c>
      <c r="AZ48" s="1600">
        <v>25586</v>
      </c>
      <c r="BA48" s="1571">
        <v>8.7200000000000006</v>
      </c>
      <c r="BB48" s="1600">
        <v>183990</v>
      </c>
      <c r="BC48" s="1571">
        <v>189.28000000000003</v>
      </c>
      <c r="BD48" s="1600">
        <v>19198339</v>
      </c>
      <c r="BE48" s="1571">
        <v>13543.870000000004</v>
      </c>
      <c r="BF48" s="1600">
        <v>1036053</v>
      </c>
      <c r="BG48" s="1600">
        <v>14449050</v>
      </c>
      <c r="BH48" s="1600">
        <v>177892</v>
      </c>
      <c r="BI48" s="1600">
        <v>15662995</v>
      </c>
      <c r="BJ48" s="1600">
        <v>2009097</v>
      </c>
      <c r="BK48" s="1600">
        <v>877201</v>
      </c>
      <c r="BL48" s="1571">
        <v>1388.5500000000002</v>
      </c>
      <c r="BM48" s="1600">
        <v>798780</v>
      </c>
      <c r="BN48" s="1636">
        <v>205069942</v>
      </c>
      <c r="BO48" s="1571">
        <v>34459.880000000005</v>
      </c>
      <c r="BP48" s="1600">
        <v>51471732</v>
      </c>
      <c r="BQ48" s="1600">
        <v>4883</v>
      </c>
      <c r="BR48" s="1600">
        <v>3330585</v>
      </c>
      <c r="BS48" s="1571">
        <v>9441.6700000000019</v>
      </c>
      <c r="BT48" s="1636">
        <v>2981703</v>
      </c>
      <c r="BU48" s="1600">
        <v>10235</v>
      </c>
      <c r="BV48" s="1666">
        <v>50393</v>
      </c>
    </row>
    <row r="49" spans="1:74" ht="9.75" customHeight="1">
      <c r="A49" s="1923"/>
      <c r="B49" s="1166" t="s">
        <v>1897</v>
      </c>
      <c r="C49" s="1665">
        <v>144780</v>
      </c>
      <c r="D49" s="1572">
        <v>13984.359999999999</v>
      </c>
      <c r="E49" s="1665">
        <v>0</v>
      </c>
      <c r="F49" s="1572">
        <v>0</v>
      </c>
      <c r="G49" s="1665">
        <v>144780</v>
      </c>
      <c r="H49" s="1572">
        <v>13984.359999999999</v>
      </c>
      <c r="I49" s="1665">
        <v>550961</v>
      </c>
      <c r="J49" s="1572">
        <v>4538.54</v>
      </c>
      <c r="K49" s="1665">
        <v>11483</v>
      </c>
      <c r="L49" s="1572">
        <v>9.57</v>
      </c>
      <c r="M49" s="1665">
        <v>260</v>
      </c>
      <c r="N49" s="1572">
        <v>0.30000000000000004</v>
      </c>
      <c r="O49" s="1665">
        <v>297844</v>
      </c>
      <c r="P49" s="1572">
        <v>130.66</v>
      </c>
      <c r="Q49" s="1665">
        <v>10207</v>
      </c>
      <c r="R49" s="1572">
        <v>5.46</v>
      </c>
      <c r="S49" s="1665">
        <v>69743</v>
      </c>
      <c r="T49" s="1572">
        <v>17.260000000000002</v>
      </c>
      <c r="U49" s="1665">
        <v>7638</v>
      </c>
      <c r="V49" s="1572">
        <v>1.8900000000000001</v>
      </c>
      <c r="W49" s="1665">
        <v>397175</v>
      </c>
      <c r="X49" s="1572">
        <v>165.14</v>
      </c>
      <c r="Y49" s="1572">
        <v>717.31000000000006</v>
      </c>
      <c r="Z49" s="1926"/>
      <c r="AA49" s="867" t="s">
        <v>1897</v>
      </c>
      <c r="AB49" s="1665">
        <v>673859</v>
      </c>
      <c r="AC49" s="1572">
        <v>688.13</v>
      </c>
      <c r="AD49" s="1665">
        <v>1092</v>
      </c>
      <c r="AE49" s="1572">
        <v>2.83</v>
      </c>
      <c r="AF49" s="1665">
        <v>126350</v>
      </c>
      <c r="AG49" s="1572">
        <v>40</v>
      </c>
      <c r="AH49" s="1665">
        <v>2602</v>
      </c>
      <c r="AI49" s="1572">
        <v>3.5</v>
      </c>
      <c r="AJ49" s="1665">
        <v>31024</v>
      </c>
      <c r="AK49" s="1572">
        <v>3.27</v>
      </c>
      <c r="AL49" s="1665">
        <v>2992</v>
      </c>
      <c r="AM49" s="1572">
        <v>3.05</v>
      </c>
      <c r="AN49" s="1665">
        <v>837919</v>
      </c>
      <c r="AO49" s="1572">
        <v>740.81</v>
      </c>
      <c r="AP49" s="1665">
        <v>0</v>
      </c>
      <c r="AQ49" s="1572">
        <v>0</v>
      </c>
      <c r="AR49" s="1665">
        <v>13429</v>
      </c>
      <c r="AS49" s="1572">
        <v>4.83</v>
      </c>
      <c r="AT49" s="1665">
        <v>12206</v>
      </c>
      <c r="AU49" s="1572">
        <v>23.450000000000003</v>
      </c>
      <c r="AV49" s="1665">
        <v>0</v>
      </c>
      <c r="AW49" s="1572">
        <v>0</v>
      </c>
      <c r="AX49" s="1926"/>
      <c r="AY49" s="867" t="s">
        <v>1897</v>
      </c>
      <c r="AZ49" s="1665">
        <v>0</v>
      </c>
      <c r="BA49" s="1572">
        <v>0</v>
      </c>
      <c r="BB49" s="1665">
        <v>12206</v>
      </c>
      <c r="BC49" s="1572">
        <v>23.450000000000003</v>
      </c>
      <c r="BD49" s="1665">
        <v>1258127</v>
      </c>
      <c r="BE49" s="1572">
        <v>930.72</v>
      </c>
      <c r="BF49" s="1665">
        <v>129062</v>
      </c>
      <c r="BG49" s="1665">
        <v>346833</v>
      </c>
      <c r="BH49" s="1665">
        <v>63320</v>
      </c>
      <c r="BI49" s="1665">
        <v>539215</v>
      </c>
      <c r="BJ49" s="1665">
        <v>178431</v>
      </c>
      <c r="BK49" s="1665">
        <v>249034</v>
      </c>
      <c r="BL49" s="1572">
        <v>3748.9900000000002</v>
      </c>
      <c r="BM49" s="1665">
        <v>0</v>
      </c>
      <c r="BN49" s="1665">
        <v>0</v>
      </c>
      <c r="BO49" s="1572">
        <v>0</v>
      </c>
      <c r="BP49" s="1665">
        <v>0</v>
      </c>
      <c r="BQ49" s="1665">
        <v>0</v>
      </c>
      <c r="BR49" s="1665">
        <v>0</v>
      </c>
      <c r="BS49" s="1572">
        <v>0</v>
      </c>
      <c r="BT49" s="1665">
        <v>0</v>
      </c>
      <c r="BU49" s="1665">
        <v>163</v>
      </c>
      <c r="BV49" s="1667">
        <v>0</v>
      </c>
    </row>
    <row r="50" spans="1:74">
      <c r="A50" s="1924"/>
      <c r="B50" s="997" t="s">
        <v>735</v>
      </c>
      <c r="C50" s="1601">
        <v>1941137</v>
      </c>
      <c r="D50" s="1602">
        <v>183950.50999999998</v>
      </c>
      <c r="E50" s="1601">
        <v>15307</v>
      </c>
      <c r="F50" s="1602">
        <v>794.63000000000011</v>
      </c>
      <c r="G50" s="1601">
        <v>1956444</v>
      </c>
      <c r="H50" s="1602">
        <v>184745.16999999998</v>
      </c>
      <c r="I50" s="1601">
        <v>1954138</v>
      </c>
      <c r="J50" s="1602">
        <v>14855.109999999997</v>
      </c>
      <c r="K50" s="1601">
        <v>200256</v>
      </c>
      <c r="L50" s="1602">
        <v>118.07</v>
      </c>
      <c r="M50" s="1601">
        <v>4576</v>
      </c>
      <c r="N50" s="1602">
        <v>6.9499999999999975</v>
      </c>
      <c r="O50" s="1601">
        <v>1390399</v>
      </c>
      <c r="P50" s="1602">
        <v>736.0100000000001</v>
      </c>
      <c r="Q50" s="1601">
        <v>171735</v>
      </c>
      <c r="R50" s="1602">
        <v>147.63000000000002</v>
      </c>
      <c r="S50" s="1601">
        <v>275358</v>
      </c>
      <c r="T50" s="1602">
        <v>61.05</v>
      </c>
      <c r="U50" s="1601">
        <v>93613</v>
      </c>
      <c r="V50" s="1602">
        <v>39.15</v>
      </c>
      <c r="W50" s="1601">
        <v>2135937</v>
      </c>
      <c r="X50" s="1602">
        <v>1108.8899999999999</v>
      </c>
      <c r="Y50" s="1602">
        <v>4881.78</v>
      </c>
      <c r="Z50" s="1926"/>
      <c r="AA50" s="1625" t="s">
        <v>735</v>
      </c>
      <c r="AB50" s="1601">
        <v>16560083</v>
      </c>
      <c r="AC50" s="1602">
        <v>12817.76</v>
      </c>
      <c r="AD50" s="1601">
        <v>1589</v>
      </c>
      <c r="AE50" s="1602">
        <v>3.96</v>
      </c>
      <c r="AF50" s="1601">
        <v>921282</v>
      </c>
      <c r="AG50" s="1602">
        <v>474.44999999999993</v>
      </c>
      <c r="AH50" s="1601">
        <v>5675</v>
      </c>
      <c r="AI50" s="1602">
        <v>13.249999999999998</v>
      </c>
      <c r="AJ50" s="1601">
        <v>791841</v>
      </c>
      <c r="AK50" s="1602">
        <v>41.309999999999995</v>
      </c>
      <c r="AL50" s="1601">
        <v>5874</v>
      </c>
      <c r="AM50" s="1602">
        <v>4.2699999999999996</v>
      </c>
      <c r="AN50" s="1601">
        <v>18286344</v>
      </c>
      <c r="AO50" s="1602">
        <v>13355.019999999999</v>
      </c>
      <c r="AP50" s="1601">
        <v>129865</v>
      </c>
      <c r="AQ50" s="1602">
        <v>83.009999999999977</v>
      </c>
      <c r="AR50" s="1601">
        <v>80591</v>
      </c>
      <c r="AS50" s="1602">
        <v>23.1</v>
      </c>
      <c r="AT50" s="1601">
        <v>72163</v>
      </c>
      <c r="AU50" s="1602">
        <v>87.56</v>
      </c>
      <c r="AV50" s="1601">
        <v>98447</v>
      </c>
      <c r="AW50" s="1602">
        <v>116.46000000000001</v>
      </c>
      <c r="AX50" s="1926"/>
      <c r="AY50" s="1625" t="s">
        <v>735</v>
      </c>
      <c r="AZ50" s="1601">
        <v>25586</v>
      </c>
      <c r="BA50" s="1602">
        <v>8.7200000000000006</v>
      </c>
      <c r="BB50" s="1601">
        <v>196196</v>
      </c>
      <c r="BC50" s="1602">
        <v>212.73000000000002</v>
      </c>
      <c r="BD50" s="1601">
        <v>20828933</v>
      </c>
      <c r="BE50" s="1602">
        <v>14782.749999999998</v>
      </c>
      <c r="BF50" s="1601">
        <v>1169497</v>
      </c>
      <c r="BG50" s="1601">
        <v>15155319</v>
      </c>
      <c r="BH50" s="1601">
        <v>255139</v>
      </c>
      <c r="BI50" s="1601">
        <v>16579955</v>
      </c>
      <c r="BJ50" s="1601">
        <v>2187528</v>
      </c>
      <c r="BK50" s="1601">
        <v>1126235</v>
      </c>
      <c r="BL50" s="1602">
        <v>5137.5400000000009</v>
      </c>
      <c r="BM50" s="1601">
        <v>928563</v>
      </c>
      <c r="BN50" s="1601">
        <v>211345500</v>
      </c>
      <c r="BO50" s="1602">
        <v>34975.790000000008</v>
      </c>
      <c r="BP50" s="1601">
        <v>68282495</v>
      </c>
      <c r="BQ50" s="1601">
        <v>5083</v>
      </c>
      <c r="BR50" s="1601">
        <v>3478683</v>
      </c>
      <c r="BS50" s="1602">
        <v>9623.880000000001</v>
      </c>
      <c r="BT50" s="1601">
        <v>3066601</v>
      </c>
      <c r="BU50" s="1601">
        <v>10644</v>
      </c>
      <c r="BV50" s="1631">
        <v>50393</v>
      </c>
    </row>
    <row r="51" spans="1:74">
      <c r="A51" s="874"/>
      <c r="B51" s="874" t="s">
        <v>1874</v>
      </c>
      <c r="C51" s="874" t="s">
        <v>1961</v>
      </c>
      <c r="D51" s="874"/>
      <c r="E51" s="874"/>
      <c r="F51" s="874"/>
      <c r="G51" s="874"/>
      <c r="H51" s="874"/>
      <c r="I51" s="874"/>
      <c r="J51" s="874"/>
      <c r="K51" s="874"/>
      <c r="L51" s="874"/>
      <c r="M51" s="874" t="s">
        <v>40</v>
      </c>
      <c r="N51" s="874" t="s">
        <v>2230</v>
      </c>
      <c r="O51" s="874"/>
      <c r="P51" s="874"/>
      <c r="Q51" s="874"/>
      <c r="R51" s="874"/>
      <c r="S51" s="874"/>
      <c r="T51" s="874"/>
      <c r="U51" s="874"/>
      <c r="V51" s="874"/>
      <c r="W51" s="874"/>
      <c r="X51" s="874"/>
      <c r="AA51" s="1920" t="s">
        <v>2125</v>
      </c>
      <c r="AB51" s="1921"/>
      <c r="AC51" s="1921"/>
      <c r="AD51" s="1921"/>
      <c r="AE51" s="1921"/>
      <c r="AF51" s="1921"/>
      <c r="AG51" s="1921"/>
      <c r="AH51" s="874"/>
      <c r="AI51" s="874"/>
      <c r="AJ51" s="874"/>
      <c r="AK51" s="874"/>
      <c r="AL51" s="874"/>
      <c r="AM51" s="874"/>
      <c r="AN51" s="874"/>
      <c r="AO51" s="874"/>
      <c r="AP51" s="874"/>
      <c r="AQ51" s="874"/>
      <c r="AR51" s="874"/>
      <c r="AS51" s="874"/>
      <c r="AT51" s="874"/>
      <c r="AU51" s="874"/>
      <c r="AV51" s="874"/>
      <c r="AW51" s="874"/>
      <c r="AY51" s="874" t="s">
        <v>2126</v>
      </c>
      <c r="AZ51" s="874"/>
      <c r="BA51" s="874"/>
      <c r="BB51" s="874"/>
      <c r="BC51" s="874"/>
      <c r="BD51" s="874"/>
      <c r="BE51" s="874"/>
      <c r="BF51" s="874"/>
      <c r="BG51" s="874"/>
      <c r="BH51" s="874"/>
      <c r="BI51" s="874"/>
      <c r="BJ51" s="874"/>
      <c r="BK51" s="874"/>
      <c r="BL51" s="874"/>
      <c r="BM51" s="874"/>
      <c r="BN51" s="874"/>
      <c r="BO51" s="874"/>
      <c r="BP51" s="874"/>
      <c r="BQ51" s="874"/>
      <c r="BR51" s="874"/>
      <c r="BS51" s="874"/>
      <c r="BT51" s="874"/>
      <c r="BU51" s="874"/>
      <c r="BV51" s="874"/>
    </row>
    <row r="52" spans="1:74">
      <c r="C52" s="874"/>
      <c r="G52" s="874"/>
      <c r="H52" s="1573"/>
      <c r="AB52" s="874"/>
      <c r="AY52" s="874"/>
      <c r="BE52" s="871"/>
      <c r="BJ52" s="871"/>
    </row>
  </sheetData>
  <mergeCells count="125">
    <mergeCell ref="BS1:BV1"/>
    <mergeCell ref="H1:S1"/>
    <mergeCell ref="BV3:BV6"/>
    <mergeCell ref="BK5:BL6"/>
    <mergeCell ref="BG5:BG6"/>
    <mergeCell ref="AT1:AW1"/>
    <mergeCell ref="AJ5:AM5"/>
    <mergeCell ref="BP5:BP6"/>
    <mergeCell ref="AD6:AE6"/>
    <mergeCell ref="AN5:AO6"/>
    <mergeCell ref="Z3:AA8"/>
    <mergeCell ref="W8:X8"/>
    <mergeCell ref="AL6:AM6"/>
    <mergeCell ref="AJ6:AK6"/>
    <mergeCell ref="Q6:R6"/>
    <mergeCell ref="AF5:AI5"/>
    <mergeCell ref="AB6:AC6"/>
    <mergeCell ref="BT5:BT6"/>
    <mergeCell ref="BJ3:BL4"/>
    <mergeCell ref="BU3:BU6"/>
    <mergeCell ref="AH1:AR1"/>
    <mergeCell ref="K4:Y4"/>
    <mergeCell ref="AB4:AO4"/>
    <mergeCell ref="AV6:AW6"/>
    <mergeCell ref="V1:Y1"/>
    <mergeCell ref="K6:L6"/>
    <mergeCell ref="AP6:AQ6"/>
    <mergeCell ref="U6:V6"/>
    <mergeCell ref="M6:N6"/>
    <mergeCell ref="O6:P6"/>
    <mergeCell ref="Y5:Y6"/>
    <mergeCell ref="BG1:BO1"/>
    <mergeCell ref="BM5:BM6"/>
    <mergeCell ref="BN5:BO6"/>
    <mergeCell ref="BJ5:BJ6"/>
    <mergeCell ref="AZ3:BE3"/>
    <mergeCell ref="BD4:BE6"/>
    <mergeCell ref="AB5:AE5"/>
    <mergeCell ref="AR6:AS6"/>
    <mergeCell ref="AP4:AS5"/>
    <mergeCell ref="AF6:AG6"/>
    <mergeCell ref="AX9:AY9"/>
    <mergeCell ref="BR8:BS8"/>
    <mergeCell ref="BN8:BO8"/>
    <mergeCell ref="BM3:BP4"/>
    <mergeCell ref="BQ3:BT4"/>
    <mergeCell ref="BQ5:BQ6"/>
    <mergeCell ref="BR5:BS6"/>
    <mergeCell ref="BH5:BH6"/>
    <mergeCell ref="BI5:BI6"/>
    <mergeCell ref="BB6:BC6"/>
    <mergeCell ref="AZ6:BA6"/>
    <mergeCell ref="BD8:BE8"/>
    <mergeCell ref="BF5:BF6"/>
    <mergeCell ref="BF3:BI4"/>
    <mergeCell ref="AH8:AI8"/>
    <mergeCell ref="AF8:AG8"/>
    <mergeCell ref="AD8:AE8"/>
    <mergeCell ref="AB8:AC8"/>
    <mergeCell ref="AT6:AU6"/>
    <mergeCell ref="AZ4:BC5"/>
    <mergeCell ref="AZ8:BA8"/>
    <mergeCell ref="AT8:AU8"/>
    <mergeCell ref="AV8:AW8"/>
    <mergeCell ref="AJ8:AK8"/>
    <mergeCell ref="AL8:AM8"/>
    <mergeCell ref="AN8:AO8"/>
    <mergeCell ref="AP8:AQ8"/>
    <mergeCell ref="AR8:AS8"/>
    <mergeCell ref="AX3:AY8"/>
    <mergeCell ref="BB8:BC8"/>
    <mergeCell ref="AT4:AW5"/>
    <mergeCell ref="AH6:AI6"/>
    <mergeCell ref="AB3:AW3"/>
    <mergeCell ref="Z9:AA9"/>
    <mergeCell ref="A16:A20"/>
    <mergeCell ref="I8:J8"/>
    <mergeCell ref="A9:B9"/>
    <mergeCell ref="K8:L8"/>
    <mergeCell ref="O8:P8"/>
    <mergeCell ref="A3:B8"/>
    <mergeCell ref="C3:H4"/>
    <mergeCell ref="I3:J6"/>
    <mergeCell ref="K3:Y3"/>
    <mergeCell ref="M8:N8"/>
    <mergeCell ref="S8:T8"/>
    <mergeCell ref="U8:V8"/>
    <mergeCell ref="Q8:R8"/>
    <mergeCell ref="C5:D6"/>
    <mergeCell ref="E5:F6"/>
    <mergeCell ref="S6:T6"/>
    <mergeCell ref="K5:N5"/>
    <mergeCell ref="O5:R5"/>
    <mergeCell ref="S5:V5"/>
    <mergeCell ref="C8:D8"/>
    <mergeCell ref="E8:F8"/>
    <mergeCell ref="W5:X6"/>
    <mergeCell ref="G5:H6"/>
    <mergeCell ref="AX10:AX14"/>
    <mergeCell ref="A46:A50"/>
    <mergeCell ref="Z46:Z50"/>
    <mergeCell ref="A31:A35"/>
    <mergeCell ref="AX46:AX50"/>
    <mergeCell ref="A10:A14"/>
    <mergeCell ref="Z10:Z14"/>
    <mergeCell ref="A36:A40"/>
    <mergeCell ref="AX16:AX20"/>
    <mergeCell ref="Z16:Z20"/>
    <mergeCell ref="Z31:Z35"/>
    <mergeCell ref="A15:B15"/>
    <mergeCell ref="Z15:AA15"/>
    <mergeCell ref="AX15:AY15"/>
    <mergeCell ref="AA51:AG51"/>
    <mergeCell ref="AX41:AX45"/>
    <mergeCell ref="Z36:Z40"/>
    <mergeCell ref="AX36:AX40"/>
    <mergeCell ref="AX31:AX35"/>
    <mergeCell ref="A41:A45"/>
    <mergeCell ref="Z41:Z45"/>
    <mergeCell ref="A21:A25"/>
    <mergeCell ref="Z21:Z25"/>
    <mergeCell ref="AX21:AX25"/>
    <mergeCell ref="A26:A30"/>
    <mergeCell ref="Z26:Z30"/>
    <mergeCell ref="AX26:AX30"/>
  </mergeCells>
  <pageMargins left="0.511811023622047" right="0.511811023622047" top="0.511811023622047" bottom="0.511811023622047" header="0.31496062992126" footer="0.31496062992126"/>
  <pageSetup paperSize="448" firstPageNumber="22" orientation="portrait" useFirstPageNumber="1" r:id="rId1"/>
  <headerFooter alignWithMargins="0">
    <oddFooter>&amp;C&amp;"Times New Roman,Regular"&amp;8&amp;P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13"/>
  <dimension ref="A1:V174"/>
  <sheetViews>
    <sheetView zoomScale="160" zoomScaleNormal="160" workbookViewId="0">
      <pane xSplit="1" ySplit="5" topLeftCell="N43" activePane="bottomRight" state="frozen"/>
      <selection pane="topRight" activeCell="C1" sqref="C1"/>
      <selection pane="bottomLeft" activeCell="A6" sqref="A6"/>
      <selection pane="bottomRight" activeCell="V51" sqref="V51"/>
    </sheetView>
  </sheetViews>
  <sheetFormatPr defaultColWidth="9.140625" defaultRowHeight="11.25"/>
  <cols>
    <col min="1" max="1" width="10.28515625" style="270" customWidth="1"/>
    <col min="2" max="2" width="10.85546875" style="270" customWidth="1"/>
    <col min="3" max="3" width="11.140625" style="270" customWidth="1"/>
    <col min="4" max="4" width="11" style="270" customWidth="1"/>
    <col min="5" max="5" width="11.28515625" style="270" customWidth="1"/>
    <col min="6" max="6" width="11" style="270" customWidth="1"/>
    <col min="7" max="7" width="12.42578125" style="270" customWidth="1"/>
    <col min="8" max="8" width="10.42578125" style="270" customWidth="1"/>
    <col min="9" max="9" width="10.140625" style="270" customWidth="1"/>
    <col min="10" max="10" width="10.7109375" style="270" customWidth="1"/>
    <col min="11" max="11" width="11.85546875" style="270" customWidth="1"/>
    <col min="12" max="12" width="10.5703125" style="270" customWidth="1"/>
    <col min="13" max="13" width="12.140625" style="270" customWidth="1"/>
    <col min="14" max="14" width="12.28515625" style="270" customWidth="1"/>
    <col min="15" max="15" width="8.85546875" style="270" customWidth="1"/>
    <col min="16" max="16" width="7.7109375" style="270" customWidth="1"/>
    <col min="17" max="17" width="8.5703125" style="270" customWidth="1"/>
    <col min="18" max="18" width="8.7109375" style="270" customWidth="1"/>
    <col min="19" max="19" width="9.140625" style="270"/>
    <col min="20" max="20" width="9.28515625" style="270" customWidth="1"/>
    <col min="21" max="21" width="13.7109375" style="270" customWidth="1"/>
    <col min="22" max="22" width="12.28515625" style="270" customWidth="1"/>
    <col min="23" max="16384" width="9.140625" style="270"/>
  </cols>
  <sheetData>
    <row r="1" spans="1:22" s="256" customFormat="1" ht="15" customHeight="1">
      <c r="A1" s="254"/>
      <c r="B1" s="254"/>
      <c r="C1" s="254"/>
      <c r="D1" s="254"/>
      <c r="E1" s="254"/>
      <c r="F1" s="1972" t="s">
        <v>160</v>
      </c>
      <c r="G1" s="1972"/>
      <c r="H1" s="1986" t="s">
        <v>159</v>
      </c>
      <c r="I1" s="1986"/>
      <c r="J1" s="255"/>
      <c r="K1" s="255"/>
      <c r="L1" s="1972" t="s">
        <v>672</v>
      </c>
      <c r="M1" s="1972"/>
      <c r="N1" s="1972"/>
      <c r="O1" s="1988" t="s">
        <v>281</v>
      </c>
      <c r="P1" s="1988"/>
      <c r="Q1" s="1988"/>
      <c r="R1" s="1988"/>
      <c r="S1" s="1988"/>
      <c r="T1" s="1972" t="s">
        <v>673</v>
      </c>
      <c r="U1" s="1972"/>
      <c r="V1" s="1972"/>
    </row>
    <row r="2" spans="1:22" s="259" customFormat="1" ht="11.25" customHeight="1">
      <c r="A2" s="257"/>
      <c r="B2" s="257"/>
      <c r="C2" s="257"/>
      <c r="D2" s="258"/>
      <c r="F2" s="260"/>
      <c r="H2" s="258"/>
      <c r="I2" s="258"/>
      <c r="J2" s="258"/>
      <c r="K2" s="258"/>
      <c r="L2" s="1971" t="s">
        <v>31</v>
      </c>
      <c r="M2" s="1971"/>
      <c r="N2" s="1971"/>
      <c r="O2" s="258"/>
      <c r="P2" s="258"/>
      <c r="Q2" s="261"/>
      <c r="R2" s="261"/>
      <c r="S2" s="261"/>
      <c r="T2" s="261"/>
      <c r="U2" s="1971" t="s">
        <v>31</v>
      </c>
      <c r="V2" s="1971"/>
    </row>
    <row r="3" spans="1:22" s="259" customFormat="1" ht="12.75" customHeight="1">
      <c r="A3" s="1981" t="s">
        <v>739</v>
      </c>
      <c r="B3" s="1976" t="s">
        <v>744</v>
      </c>
      <c r="C3" s="1977"/>
      <c r="D3" s="1978"/>
      <c r="E3" s="1973" t="s">
        <v>548</v>
      </c>
      <c r="F3" s="1973"/>
      <c r="G3" s="1973"/>
      <c r="H3" s="1973" t="s">
        <v>1452</v>
      </c>
      <c r="I3" s="1973"/>
      <c r="J3" s="1973"/>
      <c r="K3" s="1987" t="s">
        <v>1453</v>
      </c>
      <c r="L3" s="1987"/>
      <c r="M3" s="1987"/>
      <c r="N3" s="1974" t="s">
        <v>1481</v>
      </c>
      <c r="O3" s="1880" t="s">
        <v>739</v>
      </c>
      <c r="P3" s="1979" t="s">
        <v>1456</v>
      </c>
      <c r="Q3" s="1976" t="s">
        <v>1455</v>
      </c>
      <c r="R3" s="1977"/>
      <c r="S3" s="1977"/>
      <c r="T3" s="1977"/>
      <c r="U3" s="1978"/>
      <c r="V3" s="1968" t="s">
        <v>2164</v>
      </c>
    </row>
    <row r="4" spans="1:22" s="262" customFormat="1" ht="29.25" customHeight="1">
      <c r="A4" s="1982"/>
      <c r="B4" s="114" t="s">
        <v>1478</v>
      </c>
      <c r="C4" s="114" t="s">
        <v>1479</v>
      </c>
      <c r="D4" s="114" t="s">
        <v>1480</v>
      </c>
      <c r="E4" s="114" t="s">
        <v>745</v>
      </c>
      <c r="F4" s="114" t="s">
        <v>746</v>
      </c>
      <c r="G4" s="114" t="s">
        <v>918</v>
      </c>
      <c r="H4" s="114" t="s">
        <v>745</v>
      </c>
      <c r="I4" s="114" t="s">
        <v>746</v>
      </c>
      <c r="J4" s="114" t="s">
        <v>919</v>
      </c>
      <c r="K4" s="114" t="s">
        <v>747</v>
      </c>
      <c r="L4" s="114" t="s">
        <v>736</v>
      </c>
      <c r="M4" s="114" t="s">
        <v>923</v>
      </c>
      <c r="N4" s="1975"/>
      <c r="O4" s="1984"/>
      <c r="P4" s="1980"/>
      <c r="Q4" s="250" t="s">
        <v>1457</v>
      </c>
      <c r="R4" s="250" t="s">
        <v>1182</v>
      </c>
      <c r="S4" s="250" t="s">
        <v>1183</v>
      </c>
      <c r="T4" s="250" t="s">
        <v>1184</v>
      </c>
      <c r="U4" s="250" t="s">
        <v>925</v>
      </c>
      <c r="V4" s="1969"/>
    </row>
    <row r="5" spans="1:22" s="332" customFormat="1" ht="17.25" customHeight="1">
      <c r="A5" s="1983"/>
      <c r="B5" s="514">
        <v>1</v>
      </c>
      <c r="C5" s="514">
        <v>2</v>
      </c>
      <c r="D5" s="514" t="s">
        <v>922</v>
      </c>
      <c r="E5" s="514">
        <v>4</v>
      </c>
      <c r="F5" s="514">
        <v>5</v>
      </c>
      <c r="G5" s="514" t="s">
        <v>921</v>
      </c>
      <c r="H5" s="514">
        <v>7</v>
      </c>
      <c r="I5" s="514">
        <v>8</v>
      </c>
      <c r="J5" s="514" t="s">
        <v>920</v>
      </c>
      <c r="K5" s="514">
        <v>10</v>
      </c>
      <c r="L5" s="514">
        <v>11</v>
      </c>
      <c r="M5" s="514" t="s">
        <v>924</v>
      </c>
      <c r="N5" s="514" t="s">
        <v>280</v>
      </c>
      <c r="O5" s="1985"/>
      <c r="P5" s="746">
        <v>14</v>
      </c>
      <c r="Q5" s="746">
        <v>15</v>
      </c>
      <c r="R5" s="746">
        <v>16</v>
      </c>
      <c r="S5" s="746">
        <v>17</v>
      </c>
      <c r="T5" s="746">
        <v>18</v>
      </c>
      <c r="U5" s="1260" t="s">
        <v>1454</v>
      </c>
      <c r="V5" s="1970"/>
    </row>
    <row r="6" spans="1:22" s="253" customFormat="1" ht="11.45" customHeight="1">
      <c r="A6" s="457" t="s">
        <v>826</v>
      </c>
      <c r="B6" s="438">
        <v>83205.100000000006</v>
      </c>
      <c r="C6" s="438">
        <v>107234.3</v>
      </c>
      <c r="D6" s="438">
        <f t="shared" ref="D6:D7" si="0">B6-C6</f>
        <v>-24029.199999999997</v>
      </c>
      <c r="E6" s="438">
        <v>10235.200000000001</v>
      </c>
      <c r="F6" s="438">
        <v>18964.900000000001</v>
      </c>
      <c r="G6" s="438">
        <f t="shared" ref="G6:G7" si="1">E6-F6</f>
        <v>-8729.7000000000007</v>
      </c>
      <c r="H6" s="438">
        <v>1687.6</v>
      </c>
      <c r="I6" s="438">
        <v>7788.9</v>
      </c>
      <c r="J6" s="438">
        <f t="shared" ref="J6" si="2">H6-I6</f>
        <v>-6101.2999999999993</v>
      </c>
      <c r="K6" s="438">
        <f>M6-L6</f>
        <v>4004.1999999999971</v>
      </c>
      <c r="L6" s="438">
        <v>41269.800000000003</v>
      </c>
      <c r="M6" s="438">
        <v>45274</v>
      </c>
      <c r="N6" s="438">
        <f t="shared" ref="N6:N7" si="3">D6++G6+J6+M6</f>
        <v>6413.8000000000029</v>
      </c>
      <c r="O6" s="457" t="s">
        <v>826</v>
      </c>
      <c r="P6" s="438">
        <v>3381.4</v>
      </c>
      <c r="Q6" s="438">
        <v>5246.6</v>
      </c>
      <c r="R6" s="438">
        <v>727.7</v>
      </c>
      <c r="S6" s="438">
        <v>-369.3</v>
      </c>
      <c r="T6" s="438">
        <v>-10893.1</v>
      </c>
      <c r="U6" s="438">
        <f t="shared" ref="U6:U9" si="4">Q6+R6+S6+T6</f>
        <v>-5288.1</v>
      </c>
      <c r="V6" s="432">
        <f t="shared" ref="V6:V9" si="5">-(N6+P6+U6)</f>
        <v>-4507.1000000000022</v>
      </c>
    </row>
    <row r="7" spans="1:22" s="263" customFormat="1" ht="11.45" customHeight="1">
      <c r="A7" s="252" t="s">
        <v>549</v>
      </c>
      <c r="B7" s="78">
        <v>97110.1</v>
      </c>
      <c r="C7" s="39">
        <v>133765.29999999999</v>
      </c>
      <c r="D7" s="78">
        <f t="shared" si="0"/>
        <v>-36655.199999999983</v>
      </c>
      <c r="E7" s="78">
        <v>12910.3</v>
      </c>
      <c r="F7" s="39">
        <v>23166.7</v>
      </c>
      <c r="G7" s="39">
        <f t="shared" si="1"/>
        <v>-10256.400000000001</v>
      </c>
      <c r="H7" s="39">
        <v>1515.1</v>
      </c>
      <c r="I7" s="39">
        <v>7422.5</v>
      </c>
      <c r="J7" s="39">
        <f>H7-I7</f>
        <v>-5907.4</v>
      </c>
      <c r="K7" s="78">
        <f>M7-L7</f>
        <v>4017.9000000000015</v>
      </c>
      <c r="L7" s="78">
        <v>54296.9</v>
      </c>
      <c r="M7" s="39">
        <v>58314.8</v>
      </c>
      <c r="N7" s="350">
        <f t="shared" si="3"/>
        <v>5495.8000000000175</v>
      </c>
      <c r="O7" s="252" t="s">
        <v>549</v>
      </c>
      <c r="P7" s="39">
        <v>3952.5</v>
      </c>
      <c r="Q7" s="78">
        <v>4459</v>
      </c>
      <c r="R7" s="39">
        <v>325.10000000000002</v>
      </c>
      <c r="S7" s="39">
        <v>-6802.5</v>
      </c>
      <c r="T7" s="39">
        <v>-7137.1</v>
      </c>
      <c r="U7" s="350">
        <f t="shared" si="4"/>
        <v>-9155.5</v>
      </c>
      <c r="V7" s="78">
        <f t="shared" si="5"/>
        <v>-292.80000000001746</v>
      </c>
    </row>
    <row r="8" spans="1:22" s="263" customFormat="1" ht="11.45" customHeight="1">
      <c r="A8" s="457" t="s">
        <v>102</v>
      </c>
      <c r="B8" s="432">
        <v>107195</v>
      </c>
      <c r="C8" s="437">
        <v>139579.5</v>
      </c>
      <c r="D8" s="432">
        <v>-32384.500000000004</v>
      </c>
      <c r="E8" s="432">
        <v>12245.099999999999</v>
      </c>
      <c r="F8" s="437">
        <v>23663.4</v>
      </c>
      <c r="G8" s="437">
        <v>-11418.300000000001</v>
      </c>
      <c r="H8" s="437">
        <v>653.1</v>
      </c>
      <c r="I8" s="437">
        <v>10312.6</v>
      </c>
      <c r="J8" s="437">
        <v>-9659.5</v>
      </c>
      <c r="K8" s="432">
        <v>251.79999999999998</v>
      </c>
      <c r="L8" s="432">
        <v>67715.799999999988</v>
      </c>
      <c r="M8" s="437">
        <v>67967.600000000006</v>
      </c>
      <c r="N8" s="438">
        <v>14505.299999999997</v>
      </c>
      <c r="O8" s="457" t="s">
        <v>102</v>
      </c>
      <c r="P8" s="437">
        <v>3345.4000000000005</v>
      </c>
      <c r="Q8" s="432">
        <v>6980.3</v>
      </c>
      <c r="R8" s="437">
        <v>-702.1</v>
      </c>
      <c r="S8" s="437">
        <v>-11420.2</v>
      </c>
      <c r="T8" s="437">
        <v>-12959.999999999998</v>
      </c>
      <c r="U8" s="438">
        <f t="shared" si="4"/>
        <v>-18102</v>
      </c>
      <c r="V8" s="432">
        <f t="shared" si="5"/>
        <v>251.30000000000291</v>
      </c>
    </row>
    <row r="9" spans="1:22" s="287" customFormat="1" ht="11.45" customHeight="1">
      <c r="A9" s="252" t="s">
        <v>98</v>
      </c>
      <c r="B9" s="39">
        <v>112345.1</v>
      </c>
      <c r="C9" s="78">
        <v>147983</v>
      </c>
      <c r="D9" s="78">
        <v>-35637.9</v>
      </c>
      <c r="E9" s="39">
        <v>15453.4</v>
      </c>
      <c r="F9" s="39">
        <v>25710.799999999999</v>
      </c>
      <c r="G9" s="39">
        <v>-10257.400000000001</v>
      </c>
      <c r="H9" s="39">
        <v>551.70000000000005</v>
      </c>
      <c r="I9" s="78">
        <v>10566.400000000001</v>
      </c>
      <c r="J9" s="39">
        <v>-10014.700000000001</v>
      </c>
      <c r="K9" s="39">
        <v>864.8</v>
      </c>
      <c r="L9" s="39">
        <v>78001.299999999988</v>
      </c>
      <c r="M9" s="39">
        <v>78866.100000000006</v>
      </c>
      <c r="N9" s="350">
        <v>22956.1</v>
      </c>
      <c r="O9" s="252" t="s">
        <v>98</v>
      </c>
      <c r="P9" s="39">
        <v>3373.5999999999995</v>
      </c>
      <c r="Q9" s="39">
        <v>6316.4000000000005</v>
      </c>
      <c r="R9" s="39">
        <v>-2029.5</v>
      </c>
      <c r="S9" s="39">
        <v>-820.69999999999936</v>
      </c>
      <c r="T9" s="39">
        <v>-24814.3</v>
      </c>
      <c r="U9" s="350">
        <f t="shared" si="4"/>
        <v>-21348.1</v>
      </c>
      <c r="V9" s="78">
        <f t="shared" si="5"/>
        <v>-4981.5999999999985</v>
      </c>
    </row>
    <row r="10" spans="1:22" s="288" customFormat="1" ht="11.45" customHeight="1">
      <c r="A10" s="457" t="s">
        <v>241</v>
      </c>
      <c r="B10" s="432">
        <v>164159.20000000001</v>
      </c>
      <c r="C10" s="432">
        <v>216341.09999999998</v>
      </c>
      <c r="D10" s="432">
        <v>-52181.899999999994</v>
      </c>
      <c r="E10" s="432">
        <v>18292.900000000001</v>
      </c>
      <c r="F10" s="432">
        <v>35500.6</v>
      </c>
      <c r="G10" s="432">
        <v>-17207.7</v>
      </c>
      <c r="H10" s="432">
        <v>871.7</v>
      </c>
      <c r="I10" s="432">
        <v>11267.1</v>
      </c>
      <c r="J10" s="432">
        <v>-10395.4</v>
      </c>
      <c r="K10" s="432">
        <v>1047.0999999999999</v>
      </c>
      <c r="L10" s="432">
        <v>84013.2</v>
      </c>
      <c r="M10" s="432">
        <v>85060.299999999988</v>
      </c>
      <c r="N10" s="432">
        <v>5275.3000000000011</v>
      </c>
      <c r="O10" s="457" t="s">
        <v>241</v>
      </c>
      <c r="P10" s="432">
        <v>4138.1000000000004</v>
      </c>
      <c r="Q10" s="432">
        <v>5585.6</v>
      </c>
      <c r="R10" s="432">
        <v>-6109.2000000000007</v>
      </c>
      <c r="S10" s="432">
        <v>-9589.7999999999993</v>
      </c>
      <c r="T10" s="432">
        <v>5351</v>
      </c>
      <c r="U10" s="432">
        <v>-4762.3999999999996</v>
      </c>
      <c r="V10" s="432">
        <v>-4651.0000000000018</v>
      </c>
    </row>
    <row r="11" spans="1:22" s="251" customFormat="1" ht="11.45" customHeight="1">
      <c r="A11" s="252" t="s">
        <v>1142</v>
      </c>
      <c r="B11" s="78">
        <v>193375.5</v>
      </c>
      <c r="C11" s="78">
        <v>253042.2</v>
      </c>
      <c r="D11" s="78">
        <v>-59666.7</v>
      </c>
      <c r="E11" s="78">
        <v>19370.400000000001</v>
      </c>
      <c r="F11" s="78">
        <v>41880.299999999996</v>
      </c>
      <c r="G11" s="78">
        <v>-22509.899999999998</v>
      </c>
      <c r="H11" s="78">
        <v>1523.3000000000002</v>
      </c>
      <c r="I11" s="78">
        <v>13242.2</v>
      </c>
      <c r="J11" s="78">
        <v>-11718.9</v>
      </c>
      <c r="K11" s="78">
        <v>829.19999999999993</v>
      </c>
      <c r="L11" s="78">
        <v>101982.6</v>
      </c>
      <c r="M11" s="78">
        <v>102811.8</v>
      </c>
      <c r="N11" s="78">
        <v>8916.2999999999993</v>
      </c>
      <c r="O11" s="252" t="s">
        <v>1142</v>
      </c>
      <c r="P11" s="78">
        <v>3678.5</v>
      </c>
      <c r="Q11" s="78">
        <v>9088.2000000000007</v>
      </c>
      <c r="R11" s="78">
        <v>4142.6000000000004</v>
      </c>
      <c r="S11" s="78">
        <v>-17391</v>
      </c>
      <c r="T11" s="78">
        <v>-2324.4999999999991</v>
      </c>
      <c r="U11" s="78">
        <v>-6484.699999999998</v>
      </c>
      <c r="V11" s="78">
        <v>-6110.1000000000022</v>
      </c>
    </row>
    <row r="12" spans="1:22" s="251" customFormat="1" ht="11.45" customHeight="1">
      <c r="A12" s="458" t="s">
        <v>1707</v>
      </c>
      <c r="B12" s="444">
        <f t="shared" ref="B12:N12" si="6">SUM(B13:B16)</f>
        <v>211643</v>
      </c>
      <c r="C12" s="444">
        <f t="shared" si="6"/>
        <v>272427.10000000003</v>
      </c>
      <c r="D12" s="444">
        <f t="shared" si="6"/>
        <v>-60784.099999999991</v>
      </c>
      <c r="E12" s="444">
        <f t="shared" si="6"/>
        <v>22601.1</v>
      </c>
      <c r="F12" s="444">
        <f t="shared" si="6"/>
        <v>48387.100000000006</v>
      </c>
      <c r="G12" s="444">
        <f t="shared" si="6"/>
        <v>-25786.000000000004</v>
      </c>
      <c r="H12" s="444">
        <f t="shared" si="6"/>
        <v>965.00000000000011</v>
      </c>
      <c r="I12" s="444">
        <f t="shared" si="6"/>
        <v>19441.600000000002</v>
      </c>
      <c r="J12" s="444">
        <f t="shared" si="6"/>
        <v>-18476.600000000002</v>
      </c>
      <c r="K12" s="444">
        <f t="shared" si="6"/>
        <v>516.6</v>
      </c>
      <c r="L12" s="444">
        <f t="shared" si="6"/>
        <v>119520.40000000001</v>
      </c>
      <c r="M12" s="444">
        <f t="shared" si="6"/>
        <v>120037</v>
      </c>
      <c r="N12" s="444">
        <f t="shared" si="6"/>
        <v>14990.300000000003</v>
      </c>
      <c r="O12" s="458" t="s">
        <v>1707</v>
      </c>
      <c r="P12" s="444">
        <f t="shared" ref="P12:V12" si="7">SUM(P13:P16)</f>
        <v>4690.7999999999993</v>
      </c>
      <c r="Q12" s="444">
        <f t="shared" si="7"/>
        <v>-13776.300000000001</v>
      </c>
      <c r="R12" s="444">
        <f t="shared" si="7"/>
        <v>742.90000000000009</v>
      </c>
      <c r="S12" s="444">
        <f t="shared" si="7"/>
        <v>-15951.5</v>
      </c>
      <c r="T12" s="444">
        <f t="shared" si="7"/>
        <v>41316</v>
      </c>
      <c r="U12" s="444">
        <f t="shared" si="7"/>
        <v>12331.100000000002</v>
      </c>
      <c r="V12" s="444">
        <f t="shared" si="7"/>
        <v>-7350.0000000000018</v>
      </c>
    </row>
    <row r="13" spans="1:22" s="251" customFormat="1" ht="11.45" customHeight="1">
      <c r="A13" s="252" t="s">
        <v>2247</v>
      </c>
      <c r="B13" s="78">
        <v>50410.7</v>
      </c>
      <c r="C13" s="78">
        <v>66242.399999999994</v>
      </c>
      <c r="D13" s="78">
        <f>B13-C13</f>
        <v>-15831.699999999997</v>
      </c>
      <c r="E13" s="39">
        <v>5609.4</v>
      </c>
      <c r="F13" s="39">
        <v>12293.4</v>
      </c>
      <c r="G13" s="78">
        <f>E13-F13</f>
        <v>-6684</v>
      </c>
      <c r="H13" s="78">
        <v>349.3</v>
      </c>
      <c r="I13" s="78">
        <v>5446.4</v>
      </c>
      <c r="J13" s="78">
        <f>H13-I13</f>
        <v>-5097.0999999999995</v>
      </c>
      <c r="K13" s="78">
        <v>242.6</v>
      </c>
      <c r="L13" s="78">
        <v>29798.7</v>
      </c>
      <c r="M13" s="78">
        <f>K13+L13</f>
        <v>30041.3</v>
      </c>
      <c r="N13" s="350">
        <f>D13++G13+J13+M13</f>
        <v>2428.5000000000036</v>
      </c>
      <c r="O13" s="252" t="s">
        <v>2247</v>
      </c>
      <c r="P13" s="78">
        <v>1051</v>
      </c>
      <c r="Q13" s="78">
        <v>-3242.7</v>
      </c>
      <c r="R13" s="78">
        <v>-1032.5999999999999</v>
      </c>
      <c r="S13" s="78">
        <v>2109.8000000000002</v>
      </c>
      <c r="T13" s="78">
        <v>6019</v>
      </c>
      <c r="U13" s="350">
        <f t="shared" ref="U13:U26" si="8">Q13+R13+S13+T13</f>
        <v>3853.5000000000009</v>
      </c>
      <c r="V13" s="78">
        <f>-(N13+P13-U13)</f>
        <v>373.99999999999727</v>
      </c>
    </row>
    <row r="14" spans="1:22" s="251" customFormat="1" ht="11.45" customHeight="1">
      <c r="A14" s="457" t="s">
        <v>2244</v>
      </c>
      <c r="B14" s="432">
        <v>50177.8</v>
      </c>
      <c r="C14" s="432">
        <v>65773.3</v>
      </c>
      <c r="D14" s="432">
        <f>B14-C14</f>
        <v>-15595.5</v>
      </c>
      <c r="E14" s="432">
        <v>5759.8</v>
      </c>
      <c r="F14" s="437">
        <v>12670.2</v>
      </c>
      <c r="G14" s="432">
        <f>E14-F14</f>
        <v>-6910.4000000000005</v>
      </c>
      <c r="H14" s="432">
        <v>265.10000000000002</v>
      </c>
      <c r="I14" s="432">
        <v>4126.3</v>
      </c>
      <c r="J14" s="432">
        <f>H14-I14</f>
        <v>-3861.2000000000003</v>
      </c>
      <c r="K14" s="432">
        <v>116.6</v>
      </c>
      <c r="L14" s="432">
        <v>32413.599999999999</v>
      </c>
      <c r="M14" s="432">
        <f>K14+L14</f>
        <v>32530.199999999997</v>
      </c>
      <c r="N14" s="438">
        <f>D14++G14+J14+M14</f>
        <v>6163.0999999999949</v>
      </c>
      <c r="O14" s="457" t="s">
        <v>2244</v>
      </c>
      <c r="P14" s="432">
        <v>1548.6</v>
      </c>
      <c r="Q14" s="432">
        <v>-3238.3</v>
      </c>
      <c r="R14" s="432">
        <v>1528.8</v>
      </c>
      <c r="S14" s="432">
        <v>-7249.6</v>
      </c>
      <c r="T14" s="437">
        <v>12228.5</v>
      </c>
      <c r="U14" s="438">
        <f t="shared" si="8"/>
        <v>3269.3999999999996</v>
      </c>
      <c r="V14" s="432">
        <f>-(N14+P14-U14)</f>
        <v>-4442.2999999999956</v>
      </c>
    </row>
    <row r="15" spans="1:22" s="251" customFormat="1" ht="11.45" customHeight="1">
      <c r="A15" s="252" t="s">
        <v>2245</v>
      </c>
      <c r="B15" s="78">
        <v>55023.1</v>
      </c>
      <c r="C15" s="78">
        <v>66242.7</v>
      </c>
      <c r="D15" s="78">
        <f>B15-C15</f>
        <v>-11219.599999999999</v>
      </c>
      <c r="E15" s="39">
        <v>5395.4</v>
      </c>
      <c r="F15" s="39">
        <v>10954.2</v>
      </c>
      <c r="G15" s="78">
        <f>E15-F15</f>
        <v>-5558.8000000000011</v>
      </c>
      <c r="H15" s="78">
        <v>152.69999999999999</v>
      </c>
      <c r="I15" s="78">
        <v>4615.1000000000004</v>
      </c>
      <c r="J15" s="78">
        <f>H15-I15</f>
        <v>-4462.4000000000005</v>
      </c>
      <c r="K15" s="78">
        <v>79.900000000000006</v>
      </c>
      <c r="L15" s="78">
        <v>30301.4</v>
      </c>
      <c r="M15" s="78">
        <f>K15+L15</f>
        <v>30381.300000000003</v>
      </c>
      <c r="N15" s="350">
        <f>D15++G15+J15+M15</f>
        <v>9140.5</v>
      </c>
      <c r="O15" s="252" t="s">
        <v>2245</v>
      </c>
      <c r="P15" s="78">
        <v>1061.0999999999999</v>
      </c>
      <c r="Q15" s="78">
        <v>-3658.2</v>
      </c>
      <c r="R15" s="78">
        <v>-6.1</v>
      </c>
      <c r="S15" s="78">
        <v>1996.8</v>
      </c>
      <c r="T15" s="78">
        <v>10823.3</v>
      </c>
      <c r="U15" s="350">
        <f t="shared" si="8"/>
        <v>9155.7999999999993</v>
      </c>
      <c r="V15" s="78">
        <f>-(N15+P15-U15)</f>
        <v>-1045.8000000000011</v>
      </c>
    </row>
    <row r="16" spans="1:22" s="251" customFormat="1" ht="11.45" customHeight="1">
      <c r="A16" s="457" t="s">
        <v>2246</v>
      </c>
      <c r="B16" s="432">
        <v>56031.4</v>
      </c>
      <c r="C16" s="432">
        <v>74168.7</v>
      </c>
      <c r="D16" s="432">
        <f>B16-C16</f>
        <v>-18137.299999999996</v>
      </c>
      <c r="E16" s="437">
        <v>5836.5</v>
      </c>
      <c r="F16" s="437">
        <v>12469.3</v>
      </c>
      <c r="G16" s="432">
        <f>E16-F16</f>
        <v>-6632.7999999999993</v>
      </c>
      <c r="H16" s="432">
        <v>197.9</v>
      </c>
      <c r="I16" s="432">
        <v>5253.8</v>
      </c>
      <c r="J16" s="432">
        <f>H16-I16</f>
        <v>-5055.9000000000005</v>
      </c>
      <c r="K16" s="432">
        <v>77.5</v>
      </c>
      <c r="L16" s="432">
        <v>27006.7</v>
      </c>
      <c r="M16" s="432">
        <f>K16+L16</f>
        <v>27084.2</v>
      </c>
      <c r="N16" s="438">
        <f>D16++G16+J16+M16</f>
        <v>-2741.7999999999956</v>
      </c>
      <c r="O16" s="457" t="s">
        <v>2246</v>
      </c>
      <c r="P16" s="432">
        <v>1030.0999999999999</v>
      </c>
      <c r="Q16" s="432">
        <v>-3637.1</v>
      </c>
      <c r="R16" s="432">
        <v>252.8</v>
      </c>
      <c r="S16" s="432">
        <v>-12808.5</v>
      </c>
      <c r="T16" s="437">
        <v>12245.2</v>
      </c>
      <c r="U16" s="438">
        <f t="shared" si="8"/>
        <v>-3947.5999999999985</v>
      </c>
      <c r="V16" s="432">
        <f>-(N16+P16-U16)</f>
        <v>-2235.9000000000028</v>
      </c>
    </row>
    <row r="17" spans="1:22" s="251" customFormat="1" ht="11.45" customHeight="1">
      <c r="A17" s="264" t="s">
        <v>1664</v>
      </c>
      <c r="B17" s="680">
        <f t="shared" ref="B17:N17" si="9">SUM(B18:B21)</f>
        <v>230946.3</v>
      </c>
      <c r="C17" s="680">
        <f t="shared" si="9"/>
        <v>286835.69999999995</v>
      </c>
      <c r="D17" s="680">
        <f t="shared" si="9"/>
        <v>-55889.4</v>
      </c>
      <c r="E17" s="680">
        <f t="shared" si="9"/>
        <v>24212.899999999998</v>
      </c>
      <c r="F17" s="680">
        <f t="shared" si="9"/>
        <v>56129.399999999994</v>
      </c>
      <c r="G17" s="680">
        <f t="shared" si="9"/>
        <v>-31916.5</v>
      </c>
      <c r="H17" s="680">
        <f t="shared" si="9"/>
        <v>1011.5000000000001</v>
      </c>
      <c r="I17" s="680">
        <f t="shared" si="9"/>
        <v>21168.1</v>
      </c>
      <c r="J17" s="680">
        <f t="shared" si="9"/>
        <v>-20156.599999999999</v>
      </c>
      <c r="K17" s="680">
        <f t="shared" si="9"/>
        <v>615.20000000000005</v>
      </c>
      <c r="L17" s="680">
        <f t="shared" si="9"/>
        <v>115425</v>
      </c>
      <c r="M17" s="680">
        <f t="shared" si="9"/>
        <v>116040.2</v>
      </c>
      <c r="N17" s="680">
        <f t="shared" si="9"/>
        <v>8077.7000000000044</v>
      </c>
      <c r="O17" s="264" t="s">
        <v>1664</v>
      </c>
      <c r="P17" s="680">
        <f t="shared" ref="P17:V17" si="10">SUM(P18:P21)</f>
        <v>5009.5</v>
      </c>
      <c r="Q17" s="680">
        <f t="shared" si="10"/>
        <v>-11562.9</v>
      </c>
      <c r="R17" s="680">
        <f t="shared" si="10"/>
        <v>-3019.8999999999996</v>
      </c>
      <c r="S17" s="680">
        <f t="shared" si="10"/>
        <v>-17019.400000000001</v>
      </c>
      <c r="T17" s="680">
        <f t="shared" si="10"/>
        <v>45942.100000000006</v>
      </c>
      <c r="U17" s="680">
        <f t="shared" si="10"/>
        <v>14339.899999999998</v>
      </c>
      <c r="V17" s="680">
        <f t="shared" si="10"/>
        <v>1252.6999999999916</v>
      </c>
    </row>
    <row r="18" spans="1:22" s="251" customFormat="1" ht="11.45" customHeight="1">
      <c r="A18" s="457" t="s">
        <v>2247</v>
      </c>
      <c r="B18" s="432">
        <v>58485.3</v>
      </c>
      <c r="C18" s="432">
        <v>69051.100000000006</v>
      </c>
      <c r="D18" s="432">
        <f>B18-C18</f>
        <v>-10565.800000000003</v>
      </c>
      <c r="E18" s="432">
        <v>5686.6</v>
      </c>
      <c r="F18" s="432">
        <v>13333.4</v>
      </c>
      <c r="G18" s="432">
        <f>E18-F18</f>
        <v>-7646.7999999999993</v>
      </c>
      <c r="H18" s="432">
        <v>371.8</v>
      </c>
      <c r="I18" s="432">
        <v>5638.6</v>
      </c>
      <c r="J18" s="432">
        <f>H18-I18</f>
        <v>-5266.8</v>
      </c>
      <c r="K18" s="432">
        <v>117.3</v>
      </c>
      <c r="L18" s="432">
        <v>26557.8</v>
      </c>
      <c r="M18" s="432">
        <f>K18+L18</f>
        <v>26675.1</v>
      </c>
      <c r="N18" s="438">
        <f>D18++G18+J18+M18</f>
        <v>3195.6999999999971</v>
      </c>
      <c r="O18" s="457" t="s">
        <v>2247</v>
      </c>
      <c r="P18" s="432">
        <v>1558.6</v>
      </c>
      <c r="Q18" s="432">
        <v>-2578.1999999999998</v>
      </c>
      <c r="R18" s="432">
        <v>-1321.4</v>
      </c>
      <c r="S18" s="432">
        <v>2920.1</v>
      </c>
      <c r="T18" s="437">
        <v>4898.7</v>
      </c>
      <c r="U18" s="438">
        <f t="shared" si="8"/>
        <v>3919.2</v>
      </c>
      <c r="V18" s="432">
        <f>-(N18+P18-U18)</f>
        <v>-835.09999999999764</v>
      </c>
    </row>
    <row r="19" spans="1:22" s="251" customFormat="1" ht="11.45" customHeight="1">
      <c r="A19" s="252" t="s">
        <v>2244</v>
      </c>
      <c r="B19" s="78">
        <v>54108.6</v>
      </c>
      <c r="C19" s="78">
        <v>63864.9</v>
      </c>
      <c r="D19" s="78">
        <f>B19-C19</f>
        <v>-9756.3000000000029</v>
      </c>
      <c r="E19" s="78">
        <v>6480.5</v>
      </c>
      <c r="F19" s="78">
        <v>14506.4</v>
      </c>
      <c r="G19" s="78">
        <f>E19-F19</f>
        <v>-8025.9</v>
      </c>
      <c r="H19" s="78">
        <v>309.3</v>
      </c>
      <c r="I19" s="78">
        <v>5102.3999999999996</v>
      </c>
      <c r="J19" s="78">
        <f>H19-I19</f>
        <v>-4793.0999999999995</v>
      </c>
      <c r="K19" s="78">
        <v>334.6</v>
      </c>
      <c r="L19" s="78">
        <v>28796.1</v>
      </c>
      <c r="M19" s="78">
        <f>K19+L19</f>
        <v>29130.699999999997</v>
      </c>
      <c r="N19" s="350">
        <f>D19++G19+J19+M19</f>
        <v>6555.3999999999942</v>
      </c>
      <c r="O19" s="252" t="s">
        <v>2244</v>
      </c>
      <c r="P19" s="78">
        <v>2009.6</v>
      </c>
      <c r="Q19" s="78">
        <v>-2579.8000000000002</v>
      </c>
      <c r="R19" s="78">
        <v>44.2</v>
      </c>
      <c r="S19" s="78">
        <v>-10405.1</v>
      </c>
      <c r="T19" s="78">
        <v>15407.7</v>
      </c>
      <c r="U19" s="350">
        <f t="shared" si="8"/>
        <v>2467</v>
      </c>
      <c r="V19" s="78">
        <f>-(N19+P19-U19)</f>
        <v>-6097.9999999999945</v>
      </c>
    </row>
    <row r="20" spans="1:22" s="251" customFormat="1" ht="11.45" customHeight="1">
      <c r="A20" s="457" t="s">
        <v>2245</v>
      </c>
      <c r="B20" s="432">
        <v>57795.4</v>
      </c>
      <c r="C20" s="432">
        <v>75040.3</v>
      </c>
      <c r="D20" s="432">
        <f>B20-C20</f>
        <v>-17244.900000000001</v>
      </c>
      <c r="E20" s="432">
        <v>5784</v>
      </c>
      <c r="F20" s="432">
        <v>12885.8</v>
      </c>
      <c r="G20" s="432">
        <f>E20-F20</f>
        <v>-7101.7999999999993</v>
      </c>
      <c r="H20" s="432">
        <v>191.8</v>
      </c>
      <c r="I20" s="432">
        <v>4686.8999999999996</v>
      </c>
      <c r="J20" s="432">
        <f>H20-I20</f>
        <v>-4495.0999999999995</v>
      </c>
      <c r="K20" s="432">
        <v>111.9</v>
      </c>
      <c r="L20" s="432">
        <v>29979.7</v>
      </c>
      <c r="M20" s="432">
        <f>K20+L20</f>
        <v>30091.600000000002</v>
      </c>
      <c r="N20" s="438">
        <f>D20++G20+J20+M20</f>
        <v>1249.8000000000029</v>
      </c>
      <c r="O20" s="457" t="s">
        <v>2245</v>
      </c>
      <c r="P20" s="432">
        <v>758</v>
      </c>
      <c r="Q20" s="432">
        <v>-3404.8</v>
      </c>
      <c r="R20" s="432">
        <v>1627.5</v>
      </c>
      <c r="S20" s="432">
        <v>2039.2</v>
      </c>
      <c r="T20" s="432">
        <v>8876.4</v>
      </c>
      <c r="U20" s="438">
        <f t="shared" si="8"/>
        <v>9138.2999999999993</v>
      </c>
      <c r="V20" s="432">
        <f>-(N20+P20-U20)</f>
        <v>7130.4999999999964</v>
      </c>
    </row>
    <row r="21" spans="1:22" s="251" customFormat="1" ht="11.45" customHeight="1">
      <c r="A21" s="252" t="s">
        <v>2246</v>
      </c>
      <c r="B21" s="78">
        <v>60557</v>
      </c>
      <c r="C21" s="78">
        <v>78879.399999999994</v>
      </c>
      <c r="D21" s="78">
        <f>B21-C21</f>
        <v>-18322.399999999994</v>
      </c>
      <c r="E21" s="78">
        <v>6261.8</v>
      </c>
      <c r="F21" s="78">
        <v>15403.8</v>
      </c>
      <c r="G21" s="78">
        <f>E21-F21</f>
        <v>-9142</v>
      </c>
      <c r="H21" s="78">
        <v>138.6</v>
      </c>
      <c r="I21" s="78">
        <v>5740.2</v>
      </c>
      <c r="J21" s="78">
        <f>H21-I21</f>
        <v>-5601.5999999999995</v>
      </c>
      <c r="K21" s="78">
        <v>51.4</v>
      </c>
      <c r="L21" s="78">
        <v>30091.4</v>
      </c>
      <c r="M21" s="78">
        <f>K21+L21</f>
        <v>30142.800000000003</v>
      </c>
      <c r="N21" s="350">
        <f>D21++G21+J21+M21</f>
        <v>-2923.1999999999898</v>
      </c>
      <c r="O21" s="252" t="s">
        <v>2246</v>
      </c>
      <c r="P21" s="78">
        <v>683.3</v>
      </c>
      <c r="Q21" s="78">
        <v>-3000.1</v>
      </c>
      <c r="R21" s="78">
        <v>-3370.2</v>
      </c>
      <c r="S21" s="78">
        <v>-11573.6</v>
      </c>
      <c r="T21" s="78">
        <v>16759.3</v>
      </c>
      <c r="U21" s="350">
        <f t="shared" si="8"/>
        <v>-1184.6000000000022</v>
      </c>
      <c r="V21" s="78">
        <f>-(N21+P21-U21)</f>
        <v>1055.2999999999874</v>
      </c>
    </row>
    <row r="22" spans="1:22" s="288" customFormat="1" ht="11.45" customHeight="1">
      <c r="A22" s="458" t="s">
        <v>1754</v>
      </c>
      <c r="B22" s="444">
        <f t="shared" ref="B22:N22" si="11">SUM(B23:B26)</f>
        <v>238483.7</v>
      </c>
      <c r="C22" s="444">
        <f t="shared" si="11"/>
        <v>284654.7</v>
      </c>
      <c r="D22" s="444">
        <f t="shared" si="11"/>
        <v>-46170.999999999993</v>
      </c>
      <c r="E22" s="444">
        <f t="shared" si="11"/>
        <v>23956.9</v>
      </c>
      <c r="F22" s="444">
        <f t="shared" si="11"/>
        <v>64556.600000000006</v>
      </c>
      <c r="G22" s="444">
        <f t="shared" si="11"/>
        <v>-40599.699999999997</v>
      </c>
      <c r="H22" s="444">
        <f t="shared" si="11"/>
        <v>582.6</v>
      </c>
      <c r="I22" s="444">
        <f t="shared" si="11"/>
        <v>22769.799999999996</v>
      </c>
      <c r="J22" s="444">
        <f t="shared" si="11"/>
        <v>-22187.200000000001</v>
      </c>
      <c r="K22" s="444">
        <f t="shared" si="11"/>
        <v>594.6</v>
      </c>
      <c r="L22" s="444">
        <f t="shared" si="11"/>
        <v>122888.8</v>
      </c>
      <c r="M22" s="444">
        <f t="shared" si="11"/>
        <v>123483.4</v>
      </c>
      <c r="N22" s="444">
        <f t="shared" si="11"/>
        <v>14525.500000000015</v>
      </c>
      <c r="O22" s="1110" t="s">
        <v>1754</v>
      </c>
      <c r="P22" s="444">
        <f t="shared" ref="P22:V22" si="12">SUM(P23:P26)</f>
        <v>4024.8999999999996</v>
      </c>
      <c r="Q22" s="444">
        <f t="shared" si="12"/>
        <v>-14216.999999999998</v>
      </c>
      <c r="R22" s="444">
        <f t="shared" si="12"/>
        <v>-4157.5</v>
      </c>
      <c r="S22" s="444">
        <f t="shared" si="12"/>
        <v>-3579.9999999999991</v>
      </c>
      <c r="T22" s="444">
        <f t="shared" si="12"/>
        <v>33041</v>
      </c>
      <c r="U22" s="444">
        <f t="shared" si="12"/>
        <v>11086.5</v>
      </c>
      <c r="V22" s="444">
        <f t="shared" si="12"/>
        <v>-7463.9000000000133</v>
      </c>
    </row>
    <row r="23" spans="1:22" s="251" customFormat="1" ht="11.45" customHeight="1">
      <c r="A23" s="252" t="s">
        <v>2247</v>
      </c>
      <c r="B23" s="78">
        <v>58763.3</v>
      </c>
      <c r="C23" s="78">
        <v>67955.600000000006</v>
      </c>
      <c r="D23" s="78">
        <f t="shared" ref="D23:D26" si="13">B23-C23</f>
        <v>-9192.3000000000029</v>
      </c>
      <c r="E23" s="78">
        <v>5790</v>
      </c>
      <c r="F23" s="78">
        <v>15003.6</v>
      </c>
      <c r="G23" s="78">
        <f t="shared" ref="G23:G26" si="14">E23-F23</f>
        <v>-9213.6</v>
      </c>
      <c r="H23" s="343">
        <v>189.5</v>
      </c>
      <c r="I23" s="343">
        <v>6243.7</v>
      </c>
      <c r="J23" s="343">
        <f t="shared" ref="J23" si="15">H23-I23</f>
        <v>-6054.2</v>
      </c>
      <c r="K23" s="343">
        <v>158</v>
      </c>
      <c r="L23" s="343">
        <v>31829.8</v>
      </c>
      <c r="M23" s="343">
        <f t="shared" ref="M23:M26" si="16">K23+L23</f>
        <v>31987.8</v>
      </c>
      <c r="N23" s="342">
        <f t="shared" ref="N23:N26" si="17">D23++G23+J23+M23</f>
        <v>7527.6999999999971</v>
      </c>
      <c r="O23" s="360" t="s">
        <v>2247</v>
      </c>
      <c r="P23" s="343">
        <v>1108.5999999999999</v>
      </c>
      <c r="Q23" s="343">
        <v>-2637.7</v>
      </c>
      <c r="R23" s="343">
        <v>-3010.8</v>
      </c>
      <c r="S23" s="343">
        <v>4057.2</v>
      </c>
      <c r="T23" s="343">
        <v>5014.2</v>
      </c>
      <c r="U23" s="342">
        <f t="shared" si="8"/>
        <v>3422.8999999999996</v>
      </c>
      <c r="V23" s="78">
        <f t="shared" ref="V23:V26" si="18">-(N23+P23-U23)</f>
        <v>-5213.3999999999978</v>
      </c>
    </row>
    <row r="24" spans="1:22" s="251" customFormat="1" ht="11.45" customHeight="1">
      <c r="A24" s="457" t="s">
        <v>2244</v>
      </c>
      <c r="B24" s="432">
        <v>55218</v>
      </c>
      <c r="C24" s="432">
        <v>68562.399999999994</v>
      </c>
      <c r="D24" s="432">
        <f t="shared" si="13"/>
        <v>-13344.399999999994</v>
      </c>
      <c r="E24" s="432">
        <v>6487.3</v>
      </c>
      <c r="F24" s="432">
        <v>17034.3</v>
      </c>
      <c r="G24" s="432">
        <f t="shared" si="14"/>
        <v>-10547</v>
      </c>
      <c r="H24" s="427">
        <v>108.8</v>
      </c>
      <c r="I24" s="427">
        <v>5131.3999999999996</v>
      </c>
      <c r="J24" s="427">
        <f>H24-I24</f>
        <v>-5022.5999999999995</v>
      </c>
      <c r="K24" s="427">
        <v>176.8</v>
      </c>
      <c r="L24" s="427">
        <v>28737</v>
      </c>
      <c r="M24" s="427">
        <f t="shared" si="16"/>
        <v>28913.8</v>
      </c>
      <c r="N24" s="426">
        <f t="shared" si="17"/>
        <v>-0.19999999999345164</v>
      </c>
      <c r="O24" s="457" t="s">
        <v>2244</v>
      </c>
      <c r="P24" s="427">
        <v>1305.5</v>
      </c>
      <c r="Q24" s="427">
        <v>-3067.2</v>
      </c>
      <c r="R24" s="427">
        <v>1173.0999999999999</v>
      </c>
      <c r="S24" s="427">
        <v>-7116</v>
      </c>
      <c r="T24" s="427">
        <v>5362.8</v>
      </c>
      <c r="U24" s="426">
        <f t="shared" si="8"/>
        <v>-3647.3</v>
      </c>
      <c r="V24" s="432">
        <f t="shared" si="18"/>
        <v>-4952.6000000000067</v>
      </c>
    </row>
    <row r="25" spans="1:22" s="251" customFormat="1" ht="11.45" customHeight="1">
      <c r="A25" s="252" t="s">
        <v>2245</v>
      </c>
      <c r="B25" s="78">
        <v>61177.1</v>
      </c>
      <c r="C25" s="78">
        <v>69187.7</v>
      </c>
      <c r="D25" s="78">
        <f t="shared" si="13"/>
        <v>-8010.5999999999985</v>
      </c>
      <c r="E25" s="78">
        <v>5508.7</v>
      </c>
      <c r="F25" s="78">
        <v>15305.2</v>
      </c>
      <c r="G25" s="78">
        <f t="shared" si="14"/>
        <v>-9796.5</v>
      </c>
      <c r="H25" s="343">
        <v>156</v>
      </c>
      <c r="I25" s="343">
        <v>5663.1</v>
      </c>
      <c r="J25" s="343">
        <f t="shared" ref="J25:J26" si="19">H25-I25</f>
        <v>-5507.1</v>
      </c>
      <c r="K25" s="343">
        <v>81.400000000000006</v>
      </c>
      <c r="L25" s="343">
        <v>30021.5</v>
      </c>
      <c r="M25" s="343">
        <f t="shared" si="16"/>
        <v>30102.9</v>
      </c>
      <c r="N25" s="342">
        <f t="shared" si="17"/>
        <v>6788.7000000000044</v>
      </c>
      <c r="O25" s="252" t="s">
        <v>2245</v>
      </c>
      <c r="P25" s="343">
        <v>542.79999999999995</v>
      </c>
      <c r="Q25" s="343">
        <v>-4719.2</v>
      </c>
      <c r="R25" s="343">
        <v>-932.7</v>
      </c>
      <c r="S25" s="343">
        <v>9475.2000000000007</v>
      </c>
      <c r="T25" s="343">
        <v>8244.6</v>
      </c>
      <c r="U25" s="342">
        <f t="shared" si="8"/>
        <v>12067.900000000001</v>
      </c>
      <c r="V25" s="78">
        <f t="shared" si="18"/>
        <v>4736.3999999999969</v>
      </c>
    </row>
    <row r="26" spans="1:22" s="251" customFormat="1" ht="11.45" customHeight="1">
      <c r="A26" s="457" t="s">
        <v>2246</v>
      </c>
      <c r="B26" s="432">
        <v>63325.3</v>
      </c>
      <c r="C26" s="432">
        <v>78949</v>
      </c>
      <c r="D26" s="432">
        <f t="shared" si="13"/>
        <v>-15623.699999999997</v>
      </c>
      <c r="E26" s="432">
        <v>6170.9</v>
      </c>
      <c r="F26" s="432">
        <v>17213.5</v>
      </c>
      <c r="G26" s="432">
        <f t="shared" si="14"/>
        <v>-11042.6</v>
      </c>
      <c r="H26" s="427">
        <v>128.30000000000001</v>
      </c>
      <c r="I26" s="427">
        <v>5731.6</v>
      </c>
      <c r="J26" s="427">
        <f t="shared" si="19"/>
        <v>-5603.3</v>
      </c>
      <c r="K26" s="427">
        <v>178.4</v>
      </c>
      <c r="L26" s="427">
        <v>32300.5</v>
      </c>
      <c r="M26" s="427">
        <f t="shared" si="16"/>
        <v>32478.9</v>
      </c>
      <c r="N26" s="426">
        <f t="shared" si="17"/>
        <v>209.30000000000655</v>
      </c>
      <c r="O26" s="457" t="s">
        <v>2246</v>
      </c>
      <c r="P26" s="427">
        <v>1068</v>
      </c>
      <c r="Q26" s="427">
        <v>-3792.9</v>
      </c>
      <c r="R26" s="427">
        <v>-1387.1</v>
      </c>
      <c r="S26" s="427">
        <v>-9996.4</v>
      </c>
      <c r="T26" s="427">
        <v>14419.4</v>
      </c>
      <c r="U26" s="426">
        <f t="shared" si="8"/>
        <v>-757</v>
      </c>
      <c r="V26" s="432">
        <f t="shared" si="18"/>
        <v>-2034.3000000000065</v>
      </c>
    </row>
    <row r="27" spans="1:22" s="251" customFormat="1" ht="11.45" customHeight="1">
      <c r="A27" s="264" t="s">
        <v>1954</v>
      </c>
      <c r="B27" s="680">
        <f t="shared" ref="B27:N27" si="20">SUM(B28:B31)</f>
        <v>261822.6</v>
      </c>
      <c r="C27" s="680">
        <f t="shared" si="20"/>
        <v>303951.89999999997</v>
      </c>
      <c r="D27" s="680">
        <f t="shared" si="20"/>
        <v>-42129.299999999996</v>
      </c>
      <c r="E27" s="680">
        <f t="shared" si="20"/>
        <v>27156.699999999997</v>
      </c>
      <c r="F27" s="680">
        <f t="shared" si="20"/>
        <v>57509.7</v>
      </c>
      <c r="G27" s="680">
        <f t="shared" si="20"/>
        <v>-30353</v>
      </c>
      <c r="H27" s="680">
        <f t="shared" si="20"/>
        <v>1200.1000000000001</v>
      </c>
      <c r="I27" s="680">
        <f t="shared" si="20"/>
        <v>20802</v>
      </c>
      <c r="J27" s="680">
        <f t="shared" si="20"/>
        <v>-19601.899999999998</v>
      </c>
      <c r="K27" s="680">
        <f t="shared" si="20"/>
        <v>532.1</v>
      </c>
      <c r="L27" s="680">
        <f t="shared" si="20"/>
        <v>119572.5</v>
      </c>
      <c r="M27" s="680">
        <f t="shared" si="20"/>
        <v>120104.59999999999</v>
      </c>
      <c r="N27" s="680">
        <f t="shared" si="20"/>
        <v>28020.399999999994</v>
      </c>
      <c r="O27" s="264" t="s">
        <v>1954</v>
      </c>
      <c r="P27" s="680">
        <f t="shared" ref="P27:V27" si="21">SUM(P28:P31)</f>
        <v>3748.4</v>
      </c>
      <c r="Q27" s="680">
        <f t="shared" si="21"/>
        <v>-15496</v>
      </c>
      <c r="R27" s="680">
        <f t="shared" si="21"/>
        <v>3977.3</v>
      </c>
      <c r="S27" s="680">
        <f t="shared" si="21"/>
        <v>-13250.5</v>
      </c>
      <c r="T27" s="680">
        <f t="shared" si="21"/>
        <v>42962.3</v>
      </c>
      <c r="U27" s="680">
        <f t="shared" si="21"/>
        <v>18193.099999999999</v>
      </c>
      <c r="V27" s="680">
        <f t="shared" si="21"/>
        <v>-13575.699999999997</v>
      </c>
    </row>
    <row r="28" spans="1:22" s="251" customFormat="1" ht="11.45" customHeight="1">
      <c r="A28" s="457" t="s">
        <v>2247</v>
      </c>
      <c r="B28" s="432">
        <v>59442.1</v>
      </c>
      <c r="C28" s="432">
        <v>66334.2</v>
      </c>
      <c r="D28" s="432">
        <f t="shared" ref="D28:D36" si="22">B28-C28</f>
        <v>-6892.0999999999985</v>
      </c>
      <c r="E28" s="432">
        <v>6720.8</v>
      </c>
      <c r="F28" s="432">
        <v>13331.9</v>
      </c>
      <c r="G28" s="432">
        <f t="shared" ref="G28:G36" si="23">E28-F28</f>
        <v>-6611.0999999999995</v>
      </c>
      <c r="H28" s="427">
        <v>438.1</v>
      </c>
      <c r="I28" s="427">
        <v>5119.5</v>
      </c>
      <c r="J28" s="427">
        <f t="shared" ref="J28:J36" si="24">H28-I28</f>
        <v>-4681.3999999999996</v>
      </c>
      <c r="K28" s="427">
        <v>106.1</v>
      </c>
      <c r="L28" s="427">
        <v>31252.799999999999</v>
      </c>
      <c r="M28" s="427">
        <f t="shared" ref="M28:M36" si="25">K28+L28</f>
        <v>31358.899999999998</v>
      </c>
      <c r="N28" s="426">
        <f t="shared" ref="N28:N36" si="26">D28++G28+J28+M28</f>
        <v>13174.3</v>
      </c>
      <c r="O28" s="476" t="s">
        <v>2247</v>
      </c>
      <c r="P28" s="427">
        <v>741</v>
      </c>
      <c r="Q28" s="427">
        <v>-4603.5</v>
      </c>
      <c r="R28" s="427">
        <v>-68.599999999999994</v>
      </c>
      <c r="S28" s="427">
        <v>3482.7</v>
      </c>
      <c r="T28" s="427">
        <v>11547</v>
      </c>
      <c r="U28" s="426">
        <f t="shared" ref="U28:U34" si="27">Q28+R28+S28+T28</f>
        <v>10357.599999999999</v>
      </c>
      <c r="V28" s="432">
        <f t="shared" ref="V28:V34" si="28">-(N28+P28-U28)</f>
        <v>-3557.7000000000007</v>
      </c>
    </row>
    <row r="29" spans="1:22" s="251" customFormat="1" ht="11.45" customHeight="1">
      <c r="A29" s="252" t="s">
        <v>2244</v>
      </c>
      <c r="B29" s="78">
        <v>63437</v>
      </c>
      <c r="C29" s="78">
        <v>80652.399999999994</v>
      </c>
      <c r="D29" s="78">
        <f>B29-C29</f>
        <v>-17215.399999999994</v>
      </c>
      <c r="E29" s="78">
        <v>6804.7</v>
      </c>
      <c r="F29" s="78">
        <v>14314.6</v>
      </c>
      <c r="G29" s="78">
        <f t="shared" si="23"/>
        <v>-7509.9000000000005</v>
      </c>
      <c r="H29" s="343">
        <v>359.3</v>
      </c>
      <c r="I29" s="343">
        <v>4697.5</v>
      </c>
      <c r="J29" s="343">
        <f t="shared" si="24"/>
        <v>-4338.2</v>
      </c>
      <c r="K29" s="343">
        <v>130.9</v>
      </c>
      <c r="L29" s="343">
        <v>28831.1</v>
      </c>
      <c r="M29" s="343">
        <f t="shared" si="25"/>
        <v>28962</v>
      </c>
      <c r="N29" s="342">
        <f t="shared" si="26"/>
        <v>-101.49999999999636</v>
      </c>
      <c r="O29" s="360" t="s">
        <v>2244</v>
      </c>
      <c r="P29" s="343">
        <v>1096.5999999999999</v>
      </c>
      <c r="Q29" s="343">
        <v>-4138.8</v>
      </c>
      <c r="R29" s="343">
        <v>811.5</v>
      </c>
      <c r="S29" s="343">
        <v>-5942.4</v>
      </c>
      <c r="T29" s="343">
        <v>9622.5</v>
      </c>
      <c r="U29" s="342">
        <f t="shared" si="27"/>
        <v>352.79999999999927</v>
      </c>
      <c r="V29" s="78">
        <f t="shared" si="28"/>
        <v>-642.30000000000427</v>
      </c>
    </row>
    <row r="30" spans="1:22" s="251" customFormat="1" ht="11.45" customHeight="1">
      <c r="A30" s="457" t="s">
        <v>2245</v>
      </c>
      <c r="B30" s="432">
        <v>67692.899999999994</v>
      </c>
      <c r="C30" s="432">
        <v>74910.100000000006</v>
      </c>
      <c r="D30" s="432">
        <f t="shared" si="22"/>
        <v>-7217.2000000000116</v>
      </c>
      <c r="E30" s="432">
        <v>6535.6</v>
      </c>
      <c r="F30" s="432">
        <v>14012.2</v>
      </c>
      <c r="G30" s="432">
        <f t="shared" si="23"/>
        <v>-7476.6</v>
      </c>
      <c r="H30" s="427">
        <v>222.1</v>
      </c>
      <c r="I30" s="427">
        <v>4594.3999999999996</v>
      </c>
      <c r="J30" s="427">
        <f t="shared" si="24"/>
        <v>-4372.2999999999993</v>
      </c>
      <c r="K30" s="427">
        <v>181.5</v>
      </c>
      <c r="L30" s="427">
        <v>28449</v>
      </c>
      <c r="M30" s="427">
        <f t="shared" si="25"/>
        <v>28630.5</v>
      </c>
      <c r="N30" s="426">
        <f t="shared" si="26"/>
        <v>9564.3999999999869</v>
      </c>
      <c r="O30" s="476" t="s">
        <v>2245</v>
      </c>
      <c r="P30" s="427">
        <v>1102.7</v>
      </c>
      <c r="Q30" s="427">
        <v>-3207.5</v>
      </c>
      <c r="R30" s="427">
        <v>-191.7</v>
      </c>
      <c r="S30" s="427">
        <v>3484</v>
      </c>
      <c r="T30" s="427">
        <v>6149.2</v>
      </c>
      <c r="U30" s="426">
        <f t="shared" si="27"/>
        <v>6234</v>
      </c>
      <c r="V30" s="432">
        <f t="shared" si="28"/>
        <v>-4433.0999999999876</v>
      </c>
    </row>
    <row r="31" spans="1:22" s="251" customFormat="1" ht="11.45" customHeight="1">
      <c r="A31" s="252" t="s">
        <v>2246</v>
      </c>
      <c r="B31" s="78">
        <v>71250.600000000006</v>
      </c>
      <c r="C31" s="78">
        <v>82055.199999999997</v>
      </c>
      <c r="D31" s="78">
        <f t="shared" si="22"/>
        <v>-10804.599999999991</v>
      </c>
      <c r="E31" s="78">
        <v>7095.6</v>
      </c>
      <c r="F31" s="78">
        <v>15851</v>
      </c>
      <c r="G31" s="78">
        <f t="shared" si="23"/>
        <v>-8755.4</v>
      </c>
      <c r="H31" s="343">
        <v>180.6</v>
      </c>
      <c r="I31" s="343">
        <v>6390.6</v>
      </c>
      <c r="J31" s="343">
        <f t="shared" si="24"/>
        <v>-6210</v>
      </c>
      <c r="K31" s="343">
        <v>113.6</v>
      </c>
      <c r="L31" s="343">
        <v>31039.599999999999</v>
      </c>
      <c r="M31" s="343">
        <f t="shared" si="25"/>
        <v>31153.199999999997</v>
      </c>
      <c r="N31" s="342">
        <f t="shared" si="26"/>
        <v>5383.2000000000044</v>
      </c>
      <c r="O31" s="360" t="s">
        <v>2246</v>
      </c>
      <c r="P31" s="343">
        <v>808.1</v>
      </c>
      <c r="Q31" s="343">
        <v>-3546.2</v>
      </c>
      <c r="R31" s="343">
        <v>3426.1</v>
      </c>
      <c r="S31" s="343">
        <v>-14274.8</v>
      </c>
      <c r="T31" s="343">
        <v>15643.6</v>
      </c>
      <c r="U31" s="342">
        <f t="shared" si="27"/>
        <v>1248.7000000000007</v>
      </c>
      <c r="V31" s="78">
        <f t="shared" si="28"/>
        <v>-4942.600000000004</v>
      </c>
    </row>
    <row r="32" spans="1:22" s="253" customFormat="1" ht="11.45" customHeight="1">
      <c r="A32" s="458" t="s">
        <v>2046</v>
      </c>
      <c r="B32" s="444">
        <f t="shared" ref="B32:N32" si="29">SUM(B33:B36)</f>
        <v>269251.7</v>
      </c>
      <c r="C32" s="444">
        <f t="shared" si="29"/>
        <v>334930</v>
      </c>
      <c r="D32" s="444">
        <f t="shared" si="29"/>
        <v>-65678.300000000017</v>
      </c>
      <c r="E32" s="444">
        <f t="shared" si="29"/>
        <v>28718.6</v>
      </c>
      <c r="F32" s="444">
        <f t="shared" si="29"/>
        <v>64385.600000000006</v>
      </c>
      <c r="G32" s="444">
        <f t="shared" si="29"/>
        <v>-35667.000000000007</v>
      </c>
      <c r="H32" s="444">
        <f t="shared" si="29"/>
        <v>812.4</v>
      </c>
      <c r="I32" s="444">
        <f t="shared" si="29"/>
        <v>21662.2</v>
      </c>
      <c r="J32" s="444">
        <f t="shared" si="29"/>
        <v>-20849.8</v>
      </c>
      <c r="K32" s="444">
        <f t="shared" si="29"/>
        <v>343.8</v>
      </c>
      <c r="L32" s="444">
        <f t="shared" si="29"/>
        <v>105172.20000000001</v>
      </c>
      <c r="M32" s="444">
        <f t="shared" si="29"/>
        <v>105516</v>
      </c>
      <c r="N32" s="444">
        <f t="shared" si="29"/>
        <v>-16679.10000000002</v>
      </c>
      <c r="O32" s="458" t="s">
        <v>2046</v>
      </c>
      <c r="P32" s="444">
        <f t="shared" ref="P32:V32" si="30">SUM(P33:P36)</f>
        <v>2486.3999999999996</v>
      </c>
      <c r="Q32" s="444">
        <f t="shared" si="30"/>
        <v>-18863.099999999999</v>
      </c>
      <c r="R32" s="444">
        <f t="shared" si="30"/>
        <v>-1288.7</v>
      </c>
      <c r="S32" s="444">
        <f t="shared" si="30"/>
        <v>-27292</v>
      </c>
      <c r="T32" s="444">
        <f t="shared" si="30"/>
        <v>26394.400000000001</v>
      </c>
      <c r="U32" s="444">
        <f t="shared" si="30"/>
        <v>-21049.4</v>
      </c>
      <c r="V32" s="444">
        <f t="shared" si="30"/>
        <v>-6856.6999999999807</v>
      </c>
    </row>
    <row r="33" spans="1:22" s="253" customFormat="1" ht="11.45" customHeight="1">
      <c r="A33" s="252" t="s">
        <v>2247</v>
      </c>
      <c r="B33" s="78">
        <v>62005.9</v>
      </c>
      <c r="C33" s="78">
        <v>72490.8</v>
      </c>
      <c r="D33" s="78">
        <f t="shared" si="22"/>
        <v>-10484.900000000001</v>
      </c>
      <c r="E33" s="78">
        <v>6787.5</v>
      </c>
      <c r="F33" s="78">
        <v>14905.5</v>
      </c>
      <c r="G33" s="78">
        <f t="shared" si="23"/>
        <v>-8118</v>
      </c>
      <c r="H33" s="343">
        <v>165.1</v>
      </c>
      <c r="I33" s="343">
        <v>5789.6</v>
      </c>
      <c r="J33" s="343">
        <f t="shared" si="24"/>
        <v>-5624.5</v>
      </c>
      <c r="K33" s="343">
        <v>103.4</v>
      </c>
      <c r="L33" s="343">
        <v>26671.1</v>
      </c>
      <c r="M33" s="343">
        <f t="shared" si="25"/>
        <v>26774.5</v>
      </c>
      <c r="N33" s="342">
        <f t="shared" si="26"/>
        <v>2547.0999999999985</v>
      </c>
      <c r="O33" s="252" t="s">
        <v>2247</v>
      </c>
      <c r="P33" s="343">
        <v>493.5</v>
      </c>
      <c r="Q33" s="343">
        <v>-4754.7</v>
      </c>
      <c r="R33" s="343">
        <v>-422.9</v>
      </c>
      <c r="S33" s="343">
        <v>1061.7</v>
      </c>
      <c r="T33" s="343">
        <v>7745.3</v>
      </c>
      <c r="U33" s="342">
        <f t="shared" si="27"/>
        <v>3629.4000000000005</v>
      </c>
      <c r="V33" s="78">
        <f t="shared" si="28"/>
        <v>588.800000000002</v>
      </c>
    </row>
    <row r="34" spans="1:22" s="253" customFormat="1" ht="11.45" customHeight="1">
      <c r="A34" s="457" t="s">
        <v>2244</v>
      </c>
      <c r="B34" s="432">
        <v>66800.100000000006</v>
      </c>
      <c r="C34" s="432">
        <v>87302</v>
      </c>
      <c r="D34" s="432">
        <f t="shared" si="22"/>
        <v>-20501.899999999994</v>
      </c>
      <c r="E34" s="432">
        <v>7364.4</v>
      </c>
      <c r="F34" s="432">
        <v>16453.2</v>
      </c>
      <c r="G34" s="432">
        <f t="shared" si="23"/>
        <v>-9088.8000000000011</v>
      </c>
      <c r="H34" s="427">
        <v>170.8</v>
      </c>
      <c r="I34" s="427">
        <v>5041.6000000000004</v>
      </c>
      <c r="J34" s="427">
        <f t="shared" si="24"/>
        <v>-4870.8</v>
      </c>
      <c r="K34" s="427">
        <v>112.6</v>
      </c>
      <c r="L34" s="427">
        <v>24143.200000000001</v>
      </c>
      <c r="M34" s="427">
        <f t="shared" si="25"/>
        <v>24255.8</v>
      </c>
      <c r="N34" s="426">
        <f t="shared" si="26"/>
        <v>-10205.700000000001</v>
      </c>
      <c r="O34" s="457" t="s">
        <v>2244</v>
      </c>
      <c r="P34" s="427">
        <v>949.8</v>
      </c>
      <c r="Q34" s="427">
        <v>-6481.3</v>
      </c>
      <c r="R34" s="427">
        <v>-3148.9</v>
      </c>
      <c r="S34" s="427">
        <v>-10725.6</v>
      </c>
      <c r="T34" s="427">
        <v>10290</v>
      </c>
      <c r="U34" s="426">
        <f t="shared" si="27"/>
        <v>-10065.800000000003</v>
      </c>
      <c r="V34" s="432">
        <f t="shared" si="28"/>
        <v>-809.90000000000146</v>
      </c>
    </row>
    <row r="35" spans="1:22" s="253" customFormat="1" ht="11.45" customHeight="1">
      <c r="A35" s="252" t="s">
        <v>2245</v>
      </c>
      <c r="B35" s="78">
        <v>70661.899999999994</v>
      </c>
      <c r="C35" s="78">
        <v>88241.600000000006</v>
      </c>
      <c r="D35" s="78">
        <f t="shared" si="22"/>
        <v>-17579.700000000012</v>
      </c>
      <c r="E35" s="78">
        <v>7320.8</v>
      </c>
      <c r="F35" s="78">
        <v>16659.400000000001</v>
      </c>
      <c r="G35" s="78">
        <f t="shared" si="23"/>
        <v>-9338.6000000000022</v>
      </c>
      <c r="H35" s="343">
        <v>204.4</v>
      </c>
      <c r="I35" s="343">
        <v>5107.5</v>
      </c>
      <c r="J35" s="343">
        <f t="shared" si="24"/>
        <v>-4903.1000000000004</v>
      </c>
      <c r="K35" s="343">
        <v>83.2</v>
      </c>
      <c r="L35" s="343">
        <v>24602.400000000001</v>
      </c>
      <c r="M35" s="343">
        <f t="shared" si="25"/>
        <v>24685.600000000002</v>
      </c>
      <c r="N35" s="342">
        <f t="shared" si="26"/>
        <v>-7135.8000000000138</v>
      </c>
      <c r="O35" s="252" t="s">
        <v>2245</v>
      </c>
      <c r="P35" s="343">
        <v>450.3</v>
      </c>
      <c r="Q35" s="343">
        <v>-3739.3</v>
      </c>
      <c r="R35" s="343">
        <v>745.3</v>
      </c>
      <c r="S35" s="343">
        <v>-4348.7</v>
      </c>
      <c r="T35" s="343">
        <v>-517.5</v>
      </c>
      <c r="U35" s="342">
        <f t="shared" ref="U35:U36" si="31">Q35+R35+S35+T35</f>
        <v>-7860.2</v>
      </c>
      <c r="V35" s="78">
        <f t="shared" ref="V35:V36" si="32">-(N35+P35-U35)</f>
        <v>-1174.6999999999862</v>
      </c>
    </row>
    <row r="36" spans="1:22" s="253" customFormat="1" ht="11.45" customHeight="1">
      <c r="A36" s="457" t="s">
        <v>2246</v>
      </c>
      <c r="B36" s="432">
        <v>69783.8</v>
      </c>
      <c r="C36" s="432">
        <v>86895.6</v>
      </c>
      <c r="D36" s="432">
        <f t="shared" si="22"/>
        <v>-17111.800000000003</v>
      </c>
      <c r="E36" s="432">
        <v>7245.9</v>
      </c>
      <c r="F36" s="432">
        <v>16367.5</v>
      </c>
      <c r="G36" s="432">
        <f t="shared" si="23"/>
        <v>-9121.6</v>
      </c>
      <c r="H36" s="427">
        <v>272.10000000000002</v>
      </c>
      <c r="I36" s="427">
        <v>5723.5</v>
      </c>
      <c r="J36" s="427">
        <f t="shared" si="24"/>
        <v>-5451.4</v>
      </c>
      <c r="K36" s="427">
        <v>44.6</v>
      </c>
      <c r="L36" s="427">
        <v>29755.5</v>
      </c>
      <c r="M36" s="427">
        <f t="shared" si="25"/>
        <v>29800.1</v>
      </c>
      <c r="N36" s="426">
        <f t="shared" si="26"/>
        <v>-1884.7000000000044</v>
      </c>
      <c r="O36" s="457" t="s">
        <v>2246</v>
      </c>
      <c r="P36" s="427">
        <v>592.79999999999995</v>
      </c>
      <c r="Q36" s="427">
        <v>-3887.8</v>
      </c>
      <c r="R36" s="427">
        <v>1537.8</v>
      </c>
      <c r="S36" s="427">
        <v>-13279.4</v>
      </c>
      <c r="T36" s="427">
        <v>8876.6</v>
      </c>
      <c r="U36" s="426">
        <f t="shared" si="31"/>
        <v>-6752.7999999999993</v>
      </c>
      <c r="V36" s="432">
        <f t="shared" si="32"/>
        <v>-5460.8999999999951</v>
      </c>
    </row>
    <row r="37" spans="1:22" s="253" customFormat="1" ht="11.45" customHeight="1">
      <c r="A37" s="264" t="s">
        <v>2268</v>
      </c>
      <c r="B37" s="680">
        <f t="shared" ref="B37:C37" si="33">SUM(B38:B41)</f>
        <v>297456.2</v>
      </c>
      <c r="C37" s="680">
        <f t="shared" si="33"/>
        <v>447422.4</v>
      </c>
      <c r="D37" s="680">
        <f t="shared" ref="D37:N37" si="34">SUM(D38:D41)</f>
        <v>-149966.20000000001</v>
      </c>
      <c r="E37" s="680">
        <f t="shared" si="34"/>
        <v>37062.899999999994</v>
      </c>
      <c r="F37" s="680">
        <f t="shared" si="34"/>
        <v>76200.299999999988</v>
      </c>
      <c r="G37" s="680">
        <f t="shared" si="34"/>
        <v>-39137.399999999994</v>
      </c>
      <c r="H37" s="680">
        <f t="shared" si="34"/>
        <v>1035.0999999999999</v>
      </c>
      <c r="I37" s="680">
        <f t="shared" si="34"/>
        <v>18647.8</v>
      </c>
      <c r="J37" s="680">
        <f t="shared" si="34"/>
        <v>-17612.7</v>
      </c>
      <c r="K37" s="680">
        <f t="shared" si="34"/>
        <v>397.6</v>
      </c>
      <c r="L37" s="680">
        <f t="shared" si="34"/>
        <v>126970.9</v>
      </c>
      <c r="M37" s="680">
        <f t="shared" si="34"/>
        <v>127368.5</v>
      </c>
      <c r="N37" s="680">
        <f t="shared" si="34"/>
        <v>-79347.799999999988</v>
      </c>
      <c r="O37" s="264" t="s">
        <v>2268</v>
      </c>
      <c r="P37" s="680">
        <f t="shared" ref="P37:V37" si="35">SUM(P38:P41)</f>
        <v>2398.6999999999998</v>
      </c>
      <c r="Q37" s="680">
        <f t="shared" si="35"/>
        <v>-14874.099999999999</v>
      </c>
      <c r="R37" s="680">
        <f t="shared" si="35"/>
        <v>664.4</v>
      </c>
      <c r="S37" s="680">
        <f t="shared" si="35"/>
        <v>-59732.399999999994</v>
      </c>
      <c r="T37" s="680">
        <f t="shared" si="35"/>
        <v>-6402.3</v>
      </c>
      <c r="U37" s="680">
        <f t="shared" si="35"/>
        <v>-80344.399999999994</v>
      </c>
      <c r="V37" s="680">
        <f t="shared" si="35"/>
        <v>-3395.299999999992</v>
      </c>
    </row>
    <row r="38" spans="1:22" s="253" customFormat="1" ht="11.45" customHeight="1">
      <c r="A38" s="457" t="s">
        <v>2247</v>
      </c>
      <c r="B38" s="432">
        <v>68969.8</v>
      </c>
      <c r="C38" s="432">
        <v>98425.8</v>
      </c>
      <c r="D38" s="432">
        <f t="shared" ref="D38:D51" si="36">B38-C38</f>
        <v>-29456</v>
      </c>
      <c r="E38" s="432">
        <v>7797.9</v>
      </c>
      <c r="F38" s="432">
        <v>16636.8</v>
      </c>
      <c r="G38" s="432">
        <f t="shared" ref="G38:G51" si="37">E38-F38</f>
        <v>-8838.9</v>
      </c>
      <c r="H38" s="427">
        <v>224.6</v>
      </c>
      <c r="I38" s="427">
        <v>4263.6000000000004</v>
      </c>
      <c r="J38" s="427">
        <f t="shared" ref="J38:J51" si="38">H38-I38</f>
        <v>-4039.0000000000005</v>
      </c>
      <c r="K38" s="427">
        <v>97.2</v>
      </c>
      <c r="L38" s="427">
        <v>27772.400000000001</v>
      </c>
      <c r="M38" s="427">
        <f t="shared" ref="M38:M51" si="39">K38+L38</f>
        <v>27869.600000000002</v>
      </c>
      <c r="N38" s="426">
        <f t="shared" ref="N38:N51" si="40">D38+G38+J38+M38</f>
        <v>-14464.3</v>
      </c>
      <c r="O38" s="457" t="s">
        <v>2247</v>
      </c>
      <c r="P38" s="427">
        <v>519.29999999999995</v>
      </c>
      <c r="Q38" s="427">
        <v>-1710.9</v>
      </c>
      <c r="R38" s="427">
        <v>573.1</v>
      </c>
      <c r="S38" s="427">
        <v>-8333.2999999999993</v>
      </c>
      <c r="T38" s="427">
        <v>-6625</v>
      </c>
      <c r="U38" s="426">
        <f t="shared" ref="U38:U50" si="41">Q38+R38+S38+T38</f>
        <v>-16096.099999999999</v>
      </c>
      <c r="V38" s="432">
        <f t="shared" ref="V38:V50" si="42">-(N38+P38-U38)</f>
        <v>-2151.0999999999985</v>
      </c>
    </row>
    <row r="39" spans="1:22" s="253" customFormat="1" ht="11.45" customHeight="1">
      <c r="A39" s="252" t="s">
        <v>2244</v>
      </c>
      <c r="B39" s="78">
        <v>74553.600000000006</v>
      </c>
      <c r="C39" s="78">
        <v>115042.6</v>
      </c>
      <c r="D39" s="78">
        <f t="shared" si="36"/>
        <v>-40489</v>
      </c>
      <c r="E39" s="78">
        <v>8780.4</v>
      </c>
      <c r="F39" s="78">
        <v>18716.099999999999</v>
      </c>
      <c r="G39" s="78">
        <f t="shared" si="37"/>
        <v>-9935.6999999999989</v>
      </c>
      <c r="H39" s="343">
        <v>191.4</v>
      </c>
      <c r="I39" s="343">
        <v>5033.5</v>
      </c>
      <c r="J39" s="343">
        <f t="shared" si="38"/>
        <v>-4842.1000000000004</v>
      </c>
      <c r="K39" s="343">
        <v>219.1</v>
      </c>
      <c r="L39" s="343">
        <v>30119.4</v>
      </c>
      <c r="M39" s="343">
        <f t="shared" si="39"/>
        <v>30338.5</v>
      </c>
      <c r="N39" s="342">
        <f t="shared" si="40"/>
        <v>-24928.299999999996</v>
      </c>
      <c r="O39" s="252" t="s">
        <v>2244</v>
      </c>
      <c r="P39" s="343">
        <v>798.6</v>
      </c>
      <c r="Q39" s="343">
        <v>-4203.1000000000004</v>
      </c>
      <c r="R39" s="343">
        <v>-1450.2</v>
      </c>
      <c r="S39" s="343">
        <v>-16810.8</v>
      </c>
      <c r="T39" s="343">
        <v>3232.9</v>
      </c>
      <c r="U39" s="342">
        <f t="shared" si="41"/>
        <v>-19231.199999999997</v>
      </c>
      <c r="V39" s="78">
        <f t="shared" si="42"/>
        <v>4898.5</v>
      </c>
    </row>
    <row r="40" spans="1:22" s="253" customFormat="1" ht="11.45" customHeight="1">
      <c r="A40" s="457" t="s">
        <v>2245</v>
      </c>
      <c r="B40" s="432">
        <v>78019.399999999994</v>
      </c>
      <c r="C40" s="432">
        <v>115941.7</v>
      </c>
      <c r="D40" s="432">
        <f t="shared" si="36"/>
        <v>-37922.300000000003</v>
      </c>
      <c r="E40" s="432">
        <v>9475.9</v>
      </c>
      <c r="F40" s="432">
        <v>18471.3</v>
      </c>
      <c r="G40" s="432">
        <f t="shared" si="37"/>
        <v>-8995.4</v>
      </c>
      <c r="H40" s="427">
        <v>251.7</v>
      </c>
      <c r="I40" s="427">
        <v>4551.7</v>
      </c>
      <c r="J40" s="427">
        <f t="shared" si="38"/>
        <v>-4300</v>
      </c>
      <c r="K40" s="427">
        <v>41.7</v>
      </c>
      <c r="L40" s="427">
        <v>32444.2</v>
      </c>
      <c r="M40" s="427">
        <f t="shared" si="39"/>
        <v>32485.9</v>
      </c>
      <c r="N40" s="426">
        <f t="shared" si="40"/>
        <v>-18731.800000000003</v>
      </c>
      <c r="O40" s="457" t="s">
        <v>2245</v>
      </c>
      <c r="P40" s="427">
        <v>554.6</v>
      </c>
      <c r="Q40" s="427">
        <v>-3082.8</v>
      </c>
      <c r="R40" s="427">
        <v>451</v>
      </c>
      <c r="S40" s="427">
        <v>-8851.2999999999993</v>
      </c>
      <c r="T40" s="427">
        <v>-8321.9</v>
      </c>
      <c r="U40" s="426">
        <f t="shared" si="41"/>
        <v>-19805</v>
      </c>
      <c r="V40" s="432">
        <f t="shared" si="42"/>
        <v>-1627.7999999999956</v>
      </c>
    </row>
    <row r="41" spans="1:22" s="253" customFormat="1" ht="11.45" customHeight="1">
      <c r="A41" s="252" t="s">
        <v>2246</v>
      </c>
      <c r="B41" s="78">
        <v>75913.399999999994</v>
      </c>
      <c r="C41" s="78">
        <v>118012.3</v>
      </c>
      <c r="D41" s="78">
        <f t="shared" si="36"/>
        <v>-42098.900000000009</v>
      </c>
      <c r="E41" s="78">
        <v>11008.7</v>
      </c>
      <c r="F41" s="78">
        <v>22376.1</v>
      </c>
      <c r="G41" s="78">
        <f t="shared" si="37"/>
        <v>-11367.399999999998</v>
      </c>
      <c r="H41" s="343">
        <v>367.4</v>
      </c>
      <c r="I41" s="343">
        <v>4799</v>
      </c>
      <c r="J41" s="343">
        <f t="shared" si="38"/>
        <v>-4431.6000000000004</v>
      </c>
      <c r="K41" s="343">
        <v>39.6</v>
      </c>
      <c r="L41" s="343">
        <v>36634.9</v>
      </c>
      <c r="M41" s="343">
        <f t="shared" si="39"/>
        <v>36674.5</v>
      </c>
      <c r="N41" s="343">
        <f t="shared" si="40"/>
        <v>-21223.4</v>
      </c>
      <c r="O41" s="252" t="s">
        <v>2246</v>
      </c>
      <c r="P41" s="343">
        <v>526.20000000000005</v>
      </c>
      <c r="Q41" s="343">
        <v>-5877.3</v>
      </c>
      <c r="R41" s="343">
        <v>1090.5</v>
      </c>
      <c r="S41" s="343">
        <v>-25737</v>
      </c>
      <c r="T41" s="343">
        <v>5311.7</v>
      </c>
      <c r="U41" s="342">
        <f t="shared" si="41"/>
        <v>-25212.1</v>
      </c>
      <c r="V41" s="78">
        <f t="shared" si="42"/>
        <v>-4514.8999999999978</v>
      </c>
    </row>
    <row r="42" spans="1:22" s="253" customFormat="1" ht="11.45" customHeight="1">
      <c r="A42" s="458" t="s">
        <v>2522</v>
      </c>
      <c r="B42" s="432"/>
      <c r="C42" s="432"/>
      <c r="D42" s="432"/>
      <c r="E42" s="432"/>
      <c r="F42" s="432"/>
      <c r="G42" s="432"/>
      <c r="H42" s="427"/>
      <c r="I42" s="427"/>
      <c r="J42" s="427"/>
      <c r="K42" s="427"/>
      <c r="L42" s="427"/>
      <c r="M42" s="427"/>
      <c r="N42" s="427"/>
      <c r="O42" s="458" t="s">
        <v>2522</v>
      </c>
      <c r="P42" s="427"/>
      <c r="Q42" s="427"/>
      <c r="R42" s="427"/>
      <c r="S42" s="427"/>
      <c r="T42" s="427"/>
      <c r="U42" s="427"/>
      <c r="V42" s="427"/>
    </row>
    <row r="43" spans="1:22" s="253" customFormat="1" ht="11.45" customHeight="1">
      <c r="A43" s="252" t="s">
        <v>818</v>
      </c>
      <c r="B43" s="78">
        <v>29645.599999999999</v>
      </c>
      <c r="C43" s="78">
        <v>38297.300000000003</v>
      </c>
      <c r="D43" s="78">
        <f t="shared" si="36"/>
        <v>-8651.7000000000044</v>
      </c>
      <c r="E43" s="78">
        <v>3969.3</v>
      </c>
      <c r="F43" s="78">
        <v>7647.7</v>
      </c>
      <c r="G43" s="78">
        <f t="shared" si="37"/>
        <v>-3678.3999999999996</v>
      </c>
      <c r="H43" s="343">
        <v>67.099999999999994</v>
      </c>
      <c r="I43" s="343">
        <v>1977.5</v>
      </c>
      <c r="J43" s="343">
        <f t="shared" si="38"/>
        <v>-1910.4</v>
      </c>
      <c r="K43" s="343">
        <v>1.4</v>
      </c>
      <c r="L43" s="343">
        <v>11206</v>
      </c>
      <c r="M43" s="343">
        <f t="shared" si="39"/>
        <v>11207.4</v>
      </c>
      <c r="N43" s="343">
        <f t="shared" si="40"/>
        <v>-3033.100000000004</v>
      </c>
      <c r="O43" s="252" t="s">
        <v>818</v>
      </c>
      <c r="P43" s="343">
        <v>18.899999999999999</v>
      </c>
      <c r="Q43" s="343">
        <v>-1567.7</v>
      </c>
      <c r="R43" s="343">
        <v>772.1</v>
      </c>
      <c r="S43" s="343">
        <v>3524.1</v>
      </c>
      <c r="T43" s="343">
        <v>-6772.7</v>
      </c>
      <c r="U43" s="343">
        <f t="shared" si="41"/>
        <v>-4044.2</v>
      </c>
      <c r="V43" s="343">
        <f t="shared" si="42"/>
        <v>-1029.9999999999959</v>
      </c>
    </row>
    <row r="44" spans="1:22" s="253" customFormat="1" ht="11.45" customHeight="1">
      <c r="A44" s="457" t="s">
        <v>819</v>
      </c>
      <c r="B44" s="432">
        <v>26619.8</v>
      </c>
      <c r="C44" s="432">
        <v>33620.199999999997</v>
      </c>
      <c r="D44" s="432">
        <f t="shared" si="36"/>
        <v>-7000.3999999999978</v>
      </c>
      <c r="E44" s="432">
        <v>4107.3999999999996</v>
      </c>
      <c r="F44" s="432">
        <v>6396</v>
      </c>
      <c r="G44" s="432">
        <f t="shared" si="37"/>
        <v>-2288.6000000000004</v>
      </c>
      <c r="H44" s="427">
        <v>72.900000000000006</v>
      </c>
      <c r="I44" s="427">
        <v>1839.5</v>
      </c>
      <c r="J44" s="427">
        <f t="shared" si="38"/>
        <v>-1766.6</v>
      </c>
      <c r="K44" s="427">
        <v>0.5</v>
      </c>
      <c r="L44" s="427">
        <v>12066.2</v>
      </c>
      <c r="M44" s="427">
        <f t="shared" si="39"/>
        <v>12066.7</v>
      </c>
      <c r="N44" s="427">
        <f t="shared" si="40"/>
        <v>1011.1000000000022</v>
      </c>
      <c r="O44" s="457" t="s">
        <v>819</v>
      </c>
      <c r="P44" s="427">
        <v>7.3</v>
      </c>
      <c r="Q44" s="427">
        <v>-1225.0999999999999</v>
      </c>
      <c r="R44" s="427">
        <v>-130.5</v>
      </c>
      <c r="S44" s="427">
        <v>-5791.3</v>
      </c>
      <c r="T44" s="427">
        <v>7323.7</v>
      </c>
      <c r="U44" s="427">
        <f t="shared" si="41"/>
        <v>176.80000000000018</v>
      </c>
      <c r="V44" s="427">
        <f t="shared" si="42"/>
        <v>-841.60000000000196</v>
      </c>
    </row>
    <row r="45" spans="1:22" s="253" customFormat="1" ht="11.45" customHeight="1">
      <c r="A45" s="252" t="s">
        <v>813</v>
      </c>
      <c r="B45" s="78">
        <v>25361.4</v>
      </c>
      <c r="C45" s="78">
        <v>38907</v>
      </c>
      <c r="D45" s="78">
        <f t="shared" si="36"/>
        <v>-13545.599999999999</v>
      </c>
      <c r="E45" s="78">
        <v>4074.3</v>
      </c>
      <c r="F45" s="78">
        <v>7487.1</v>
      </c>
      <c r="G45" s="78">
        <f t="shared" si="37"/>
        <v>-3412.8</v>
      </c>
      <c r="H45" s="343">
        <v>81.400000000000006</v>
      </c>
      <c r="I45" s="343">
        <v>2408.6</v>
      </c>
      <c r="J45" s="343">
        <f t="shared" si="38"/>
        <v>-2327.1999999999998</v>
      </c>
      <c r="K45" s="343">
        <v>90.8</v>
      </c>
      <c r="L45" s="343">
        <v>9836.6</v>
      </c>
      <c r="M45" s="343">
        <f t="shared" si="39"/>
        <v>9927.4</v>
      </c>
      <c r="N45" s="343">
        <f t="shared" si="40"/>
        <v>-9358.1999999999989</v>
      </c>
      <c r="O45" s="252" t="s">
        <v>813</v>
      </c>
      <c r="P45" s="343">
        <v>571.70000000000005</v>
      </c>
      <c r="Q45" s="343">
        <v>-2769</v>
      </c>
      <c r="R45" s="343">
        <v>103.7</v>
      </c>
      <c r="S45" s="343">
        <v>2092.5</v>
      </c>
      <c r="T45" s="343">
        <v>-7814.3</v>
      </c>
      <c r="U45" s="343">
        <f t="shared" si="41"/>
        <v>-8387.1</v>
      </c>
      <c r="V45" s="343">
        <f t="shared" si="42"/>
        <v>399.39999999999782</v>
      </c>
    </row>
    <row r="46" spans="1:22" s="253" customFormat="1" ht="11.45" customHeight="1">
      <c r="A46" s="457" t="s">
        <v>820</v>
      </c>
      <c r="B46" s="432">
        <v>30691</v>
      </c>
      <c r="C46" s="432">
        <v>41851.199999999997</v>
      </c>
      <c r="D46" s="432">
        <f t="shared" si="36"/>
        <v>-11160.199999999997</v>
      </c>
      <c r="E46" s="432">
        <v>4554.6000000000004</v>
      </c>
      <c r="F46" s="432">
        <v>8482.2000000000007</v>
      </c>
      <c r="G46" s="432">
        <f t="shared" si="37"/>
        <v>-3927.6000000000004</v>
      </c>
      <c r="H46" s="427">
        <v>89.3</v>
      </c>
      <c r="I46" s="427">
        <v>2042</v>
      </c>
      <c r="J46" s="427">
        <f t="shared" si="38"/>
        <v>-1952.7</v>
      </c>
      <c r="K46" s="427">
        <v>1.3</v>
      </c>
      <c r="L46" s="427">
        <v>10798.9</v>
      </c>
      <c r="M46" s="427">
        <f t="shared" si="39"/>
        <v>10800.199999999999</v>
      </c>
      <c r="N46" s="427">
        <f t="shared" si="40"/>
        <v>-6240.2999999999975</v>
      </c>
      <c r="O46" s="457" t="s">
        <v>820</v>
      </c>
      <c r="P46" s="427">
        <v>17.2</v>
      </c>
      <c r="Q46" s="427">
        <v>-1983.8</v>
      </c>
      <c r="R46" s="427">
        <v>542.4</v>
      </c>
      <c r="S46" s="427">
        <v>-7432.5</v>
      </c>
      <c r="T46" s="427">
        <v>1697.7</v>
      </c>
      <c r="U46" s="427">
        <f t="shared" si="41"/>
        <v>-7176.2</v>
      </c>
      <c r="V46" s="427">
        <f t="shared" si="42"/>
        <v>-953.10000000000218</v>
      </c>
    </row>
    <row r="47" spans="1:22" s="253" customFormat="1" ht="11.45" customHeight="1">
      <c r="A47" s="252" t="s">
        <v>821</v>
      </c>
      <c r="B47" s="78">
        <v>28262.799999999999</v>
      </c>
      <c r="C47" s="78">
        <v>39433.4</v>
      </c>
      <c r="D47" s="78">
        <f t="shared" si="36"/>
        <v>-11170.600000000002</v>
      </c>
      <c r="E47" s="78">
        <v>4300.5</v>
      </c>
      <c r="F47" s="78">
        <v>6962.1</v>
      </c>
      <c r="G47" s="78">
        <f t="shared" si="37"/>
        <v>-2661.6000000000004</v>
      </c>
      <c r="H47" s="343">
        <v>114.6</v>
      </c>
      <c r="I47" s="343">
        <v>1335.8</v>
      </c>
      <c r="J47" s="343">
        <f t="shared" si="38"/>
        <v>-1221.2</v>
      </c>
      <c r="K47" s="343">
        <v>1.6</v>
      </c>
      <c r="L47" s="343">
        <v>10502.9</v>
      </c>
      <c r="M47" s="343">
        <f t="shared" si="39"/>
        <v>10504.5</v>
      </c>
      <c r="N47" s="343">
        <f t="shared" si="40"/>
        <v>-4548.9000000000033</v>
      </c>
      <c r="O47" s="252" t="s">
        <v>821</v>
      </c>
      <c r="P47" s="343">
        <v>21.2</v>
      </c>
      <c r="Q47" s="343">
        <v>-1892.1</v>
      </c>
      <c r="R47" s="343">
        <v>788.6</v>
      </c>
      <c r="S47" s="343">
        <v>3996</v>
      </c>
      <c r="T47" s="343">
        <v>-8725.5</v>
      </c>
      <c r="U47" s="343">
        <f t="shared" si="41"/>
        <v>-5833</v>
      </c>
      <c r="V47" s="343">
        <f t="shared" si="42"/>
        <v>-1305.2999999999965</v>
      </c>
    </row>
    <row r="48" spans="1:22" s="253" customFormat="1" ht="11.45" customHeight="1">
      <c r="A48" s="457" t="s">
        <v>814</v>
      </c>
      <c r="B48" s="432">
        <v>28446.5</v>
      </c>
      <c r="C48" s="432">
        <v>36832.5</v>
      </c>
      <c r="D48" s="432">
        <f t="shared" si="36"/>
        <v>-8386</v>
      </c>
      <c r="E48" s="432">
        <v>4286.3</v>
      </c>
      <c r="F48" s="432">
        <v>6194.2</v>
      </c>
      <c r="G48" s="432">
        <f t="shared" si="37"/>
        <v>-1907.8999999999996</v>
      </c>
      <c r="H48" s="427">
        <v>86.1</v>
      </c>
      <c r="I48" s="427">
        <v>1699.8</v>
      </c>
      <c r="J48" s="427">
        <f t="shared" si="38"/>
        <v>-1613.7</v>
      </c>
      <c r="K48" s="427">
        <v>53.8</v>
      </c>
      <c r="L48" s="427">
        <v>10665.3</v>
      </c>
      <c r="M48" s="427">
        <f t="shared" si="39"/>
        <v>10719.099999999999</v>
      </c>
      <c r="N48" s="427">
        <f t="shared" si="40"/>
        <v>-1188.5000000000018</v>
      </c>
      <c r="O48" s="457" t="s">
        <v>814</v>
      </c>
      <c r="P48" s="427">
        <v>715.4</v>
      </c>
      <c r="Q48" s="427">
        <v>-6052.8</v>
      </c>
      <c r="R48" s="427">
        <v>985.2</v>
      </c>
      <c r="S48" s="427">
        <v>-5226.3</v>
      </c>
      <c r="T48" s="427">
        <v>8185.2</v>
      </c>
      <c r="U48" s="427">
        <f t="shared" si="41"/>
        <v>-2108.7000000000016</v>
      </c>
      <c r="V48" s="427">
        <f t="shared" si="42"/>
        <v>-1635.6</v>
      </c>
    </row>
    <row r="49" spans="1:22" s="253" customFormat="1" ht="11.45" customHeight="1">
      <c r="A49" s="252" t="s">
        <v>822</v>
      </c>
      <c r="B49" s="78">
        <v>30540.6</v>
      </c>
      <c r="C49" s="78">
        <v>47542.5</v>
      </c>
      <c r="D49" s="78">
        <f t="shared" si="36"/>
        <v>-17001.900000000001</v>
      </c>
      <c r="E49" s="78">
        <v>4311.7</v>
      </c>
      <c r="F49" s="78">
        <v>7473.5</v>
      </c>
      <c r="G49" s="78">
        <f t="shared" si="37"/>
        <v>-3161.8</v>
      </c>
      <c r="H49" s="343">
        <v>125.6</v>
      </c>
      <c r="I49" s="343">
        <v>1845.4</v>
      </c>
      <c r="J49" s="343">
        <f t="shared" si="38"/>
        <v>-1719.8000000000002</v>
      </c>
      <c r="K49" s="343">
        <v>13.6</v>
      </c>
      <c r="L49" s="343">
        <v>13731</v>
      </c>
      <c r="M49" s="343">
        <f t="shared" si="39"/>
        <v>13744.6</v>
      </c>
      <c r="N49" s="343">
        <f t="shared" si="40"/>
        <v>-8138.9</v>
      </c>
      <c r="O49" s="252" t="s">
        <v>822</v>
      </c>
      <c r="P49" s="343">
        <v>180.5</v>
      </c>
      <c r="Q49" s="343">
        <v>-930.9</v>
      </c>
      <c r="R49" s="343">
        <v>365.8</v>
      </c>
      <c r="S49" s="343">
        <v>-309.60000000000002</v>
      </c>
      <c r="T49" s="343">
        <v>-8924.2000000000007</v>
      </c>
      <c r="U49" s="343">
        <f t="shared" si="41"/>
        <v>-9798.9000000000015</v>
      </c>
      <c r="V49" s="343">
        <f t="shared" si="42"/>
        <v>-1840.5000000000018</v>
      </c>
    </row>
    <row r="50" spans="1:22" s="253" customFormat="1">
      <c r="A50" s="457" t="s">
        <v>823</v>
      </c>
      <c r="B50" s="432">
        <v>30545.8</v>
      </c>
      <c r="C50" s="432">
        <v>36577</v>
      </c>
      <c r="D50" s="432">
        <f t="shared" si="36"/>
        <v>-6031.2000000000007</v>
      </c>
      <c r="E50" s="432">
        <v>3756.1</v>
      </c>
      <c r="F50" s="432">
        <v>6209.1</v>
      </c>
      <c r="G50" s="432">
        <f t="shared" si="37"/>
        <v>-2453.0000000000005</v>
      </c>
      <c r="H50" s="427">
        <v>85.2</v>
      </c>
      <c r="I50" s="427">
        <v>1638.3</v>
      </c>
      <c r="J50" s="427">
        <f t="shared" si="38"/>
        <v>-1553.1</v>
      </c>
      <c r="K50" s="427">
        <v>0.1</v>
      </c>
      <c r="L50" s="427">
        <v>11388</v>
      </c>
      <c r="M50" s="427">
        <f t="shared" si="39"/>
        <v>11388.1</v>
      </c>
      <c r="N50" s="427">
        <f t="shared" si="40"/>
        <v>1350.7999999999993</v>
      </c>
      <c r="O50" s="457" t="s">
        <v>823</v>
      </c>
      <c r="P50" s="427">
        <v>2</v>
      </c>
      <c r="Q50" s="427">
        <v>-1421.7</v>
      </c>
      <c r="R50" s="427">
        <v>164.4</v>
      </c>
      <c r="S50" s="427">
        <v>-6183.6</v>
      </c>
      <c r="T50" s="427">
        <v>8025.6</v>
      </c>
      <c r="U50" s="426">
        <f t="shared" si="41"/>
        <v>584.69999999999982</v>
      </c>
      <c r="V50" s="432">
        <f t="shared" si="42"/>
        <v>-768.09999999999945</v>
      </c>
    </row>
    <row r="51" spans="1:22" s="253" customFormat="1" ht="12" thickBot="1">
      <c r="A51" s="1705" t="s">
        <v>815</v>
      </c>
      <c r="B51" s="1644">
        <v>27751.200000000001</v>
      </c>
      <c r="C51" s="1644">
        <v>38137.300000000003</v>
      </c>
      <c r="D51" s="1644">
        <f t="shared" si="36"/>
        <v>-10386.100000000002</v>
      </c>
      <c r="E51" s="1644">
        <v>4387.3999999999996</v>
      </c>
      <c r="F51" s="1644">
        <v>6552.6</v>
      </c>
      <c r="G51" s="1644">
        <f t="shared" si="37"/>
        <v>-2165.2000000000007</v>
      </c>
      <c r="H51" s="1087">
        <v>82.4</v>
      </c>
      <c r="I51" s="1087">
        <v>2019.2</v>
      </c>
      <c r="J51" s="1087">
        <f t="shared" si="38"/>
        <v>-1936.8</v>
      </c>
      <c r="K51" s="1087">
        <v>20.2</v>
      </c>
      <c r="L51" s="1087">
        <v>12106.3</v>
      </c>
      <c r="M51" s="1087">
        <f t="shared" si="39"/>
        <v>12126.5</v>
      </c>
      <c r="N51" s="1087">
        <f t="shared" si="40"/>
        <v>-2361.6000000000022</v>
      </c>
      <c r="O51" s="1705" t="s">
        <v>815</v>
      </c>
      <c r="P51" s="1087">
        <v>268.89999999999998</v>
      </c>
      <c r="Q51" s="1087">
        <v>-2039.6</v>
      </c>
      <c r="R51" s="1087">
        <v>334.5</v>
      </c>
      <c r="S51" s="1087">
        <v>9122.7999999999993</v>
      </c>
      <c r="T51" s="1087">
        <v>-8196.9</v>
      </c>
      <c r="U51" s="1087">
        <f t="shared" ref="U51" si="43">Q51+R51+S51+T51</f>
        <v>-779.20000000000073</v>
      </c>
      <c r="V51" s="1087">
        <f t="shared" ref="V51" si="44">-(N51+P51-U51)</f>
        <v>1313.5000000000014</v>
      </c>
    </row>
    <row r="52" spans="1:22" s="253" customFormat="1">
      <c r="A52" s="265" t="s">
        <v>2340</v>
      </c>
      <c r="B52" s="1913" t="s">
        <v>2207</v>
      </c>
      <c r="C52" s="1913"/>
      <c r="D52" s="1913"/>
      <c r="E52" s="1913"/>
      <c r="F52" s="1913"/>
      <c r="G52" s="1913"/>
      <c r="H52" s="266" t="s">
        <v>22</v>
      </c>
      <c r="I52" s="1885" t="s">
        <v>2206</v>
      </c>
      <c r="J52" s="1885"/>
      <c r="K52" s="1885"/>
      <c r="L52" s="1885"/>
      <c r="M52" s="267"/>
      <c r="N52" s="267"/>
      <c r="O52" s="150" t="s">
        <v>1139</v>
      </c>
      <c r="P52" s="268" t="s">
        <v>2341</v>
      </c>
      <c r="Q52" s="268"/>
      <c r="R52" s="268"/>
      <c r="S52" s="268"/>
      <c r="T52" s="268"/>
      <c r="U52" s="268"/>
      <c r="V52" s="268"/>
    </row>
    <row r="53" spans="1:22" s="253" customFormat="1">
      <c r="A53" s="251"/>
      <c r="B53" s="268" t="s">
        <v>437</v>
      </c>
      <c r="C53" s="251"/>
      <c r="D53" s="251"/>
      <c r="E53" s="251"/>
      <c r="F53" s="251"/>
      <c r="G53" s="251"/>
      <c r="H53" s="251"/>
      <c r="I53" s="251"/>
      <c r="J53" s="251"/>
      <c r="K53" s="251"/>
      <c r="L53" s="251"/>
      <c r="M53" s="251"/>
      <c r="N53" s="251"/>
      <c r="O53" s="251"/>
      <c r="P53" s="268" t="s">
        <v>2342</v>
      </c>
      <c r="Q53" s="268"/>
      <c r="R53" s="268"/>
      <c r="S53" s="268"/>
      <c r="T53" s="268"/>
      <c r="U53" s="268"/>
      <c r="V53" s="268"/>
    </row>
    <row r="54" spans="1:22" s="253" customFormat="1">
      <c r="P54" s="268" t="s">
        <v>437</v>
      </c>
    </row>
    <row r="55" spans="1:22" s="253" customFormat="1">
      <c r="Q55" s="684"/>
    </row>
    <row r="56" spans="1:22" s="253" customFormat="1">
      <c r="G56" s="269"/>
    </row>
    <row r="57" spans="1:22" s="253" customFormat="1"/>
    <row r="58" spans="1:22" s="253" customFormat="1"/>
    <row r="59" spans="1:22" s="253" customFormat="1">
      <c r="B59" s="269"/>
      <c r="C59" s="269"/>
      <c r="D59" s="269"/>
      <c r="E59" s="269"/>
      <c r="F59" s="269"/>
      <c r="G59" s="269"/>
      <c r="H59" s="269"/>
      <c r="I59" s="269"/>
      <c r="J59" s="269"/>
      <c r="K59" s="269"/>
      <c r="L59" s="269"/>
      <c r="M59" s="269"/>
      <c r="N59" s="269"/>
      <c r="O59" s="269"/>
      <c r="P59" s="269"/>
      <c r="Q59" s="269"/>
      <c r="R59" s="269"/>
      <c r="S59" s="269"/>
      <c r="T59" s="269"/>
      <c r="U59" s="269"/>
      <c r="V59" s="269"/>
    </row>
    <row r="60" spans="1:22" s="253" customFormat="1">
      <c r="V60" s="269"/>
    </row>
    <row r="61" spans="1:22" s="253" customFormat="1">
      <c r="G61" s="269"/>
    </row>
    <row r="62" spans="1:22" s="253" customFormat="1"/>
    <row r="63" spans="1:22" s="253" customFormat="1"/>
    <row r="64" spans="1:22" s="253" customFormat="1"/>
    <row r="65" spans="7:7" s="253" customFormat="1"/>
    <row r="66" spans="7:7" s="253" customFormat="1"/>
    <row r="67" spans="7:7" s="253" customFormat="1"/>
    <row r="68" spans="7:7" s="253" customFormat="1"/>
    <row r="69" spans="7:7" s="253" customFormat="1"/>
    <row r="70" spans="7:7" s="253" customFormat="1"/>
    <row r="71" spans="7:7" s="253" customFormat="1">
      <c r="G71" s="269"/>
    </row>
    <row r="72" spans="7:7" s="253" customFormat="1"/>
    <row r="73" spans="7:7" s="253" customFormat="1"/>
    <row r="74" spans="7:7" s="253" customFormat="1"/>
    <row r="75" spans="7:7" s="253" customFormat="1"/>
    <row r="76" spans="7:7" s="253" customFormat="1"/>
    <row r="77" spans="7:7" s="253" customFormat="1"/>
    <row r="78" spans="7:7" s="253" customFormat="1"/>
    <row r="79" spans="7:7" s="253" customFormat="1"/>
    <row r="80" spans="7:7" s="253" customFormat="1"/>
    <row r="81" s="253" customFormat="1"/>
    <row r="82" s="253" customFormat="1"/>
    <row r="83" s="253" customFormat="1"/>
    <row r="84" s="253" customFormat="1"/>
    <row r="85" s="253" customFormat="1"/>
    <row r="86" s="253" customFormat="1"/>
    <row r="87" s="253" customFormat="1"/>
    <row r="88" s="253" customFormat="1"/>
    <row r="89" s="253" customFormat="1"/>
    <row r="90" s="253" customFormat="1"/>
    <row r="91" s="253" customFormat="1"/>
    <row r="92" s="253" customFormat="1"/>
    <row r="93" s="253" customFormat="1"/>
    <row r="94" s="253" customFormat="1"/>
    <row r="95" s="253" customFormat="1"/>
    <row r="96" s="253" customFormat="1"/>
    <row r="97" s="253" customFormat="1"/>
    <row r="98" s="253" customFormat="1"/>
    <row r="99" s="253" customFormat="1"/>
    <row r="100" s="253" customFormat="1"/>
    <row r="101" s="253" customFormat="1"/>
    <row r="102" s="253" customFormat="1"/>
    <row r="103" s="253" customFormat="1"/>
    <row r="104" s="253" customFormat="1"/>
    <row r="105" s="253" customFormat="1"/>
    <row r="106" s="253" customFormat="1"/>
    <row r="107" s="253" customFormat="1"/>
    <row r="108" s="253" customFormat="1"/>
    <row r="109" s="253" customFormat="1"/>
    <row r="110" s="253" customFormat="1"/>
    <row r="111" s="253" customFormat="1"/>
    <row r="112" s="253" customFormat="1"/>
    <row r="113" s="253" customFormat="1"/>
    <row r="114" s="253" customFormat="1"/>
    <row r="115" s="253" customFormat="1"/>
    <row r="116" s="253" customFormat="1"/>
    <row r="117" s="253" customFormat="1"/>
    <row r="118" s="253" customFormat="1"/>
    <row r="119" s="253" customFormat="1"/>
    <row r="120" s="253" customFormat="1"/>
    <row r="121" s="253" customFormat="1"/>
    <row r="122" s="253" customFormat="1"/>
    <row r="123" s="253" customFormat="1"/>
    <row r="124" s="253" customFormat="1"/>
    <row r="125" s="253" customFormat="1"/>
    <row r="126" s="253" customFormat="1"/>
    <row r="127" s="253" customFormat="1"/>
    <row r="128" s="253" customFormat="1"/>
    <row r="129" s="253" customFormat="1"/>
    <row r="130" s="253" customFormat="1"/>
    <row r="131" s="253" customFormat="1"/>
    <row r="132" s="253" customFormat="1"/>
    <row r="133" s="253" customFormat="1"/>
    <row r="134" s="253" customFormat="1"/>
    <row r="135" s="253" customFormat="1"/>
    <row r="136" s="253" customFormat="1"/>
    <row r="137" s="253" customFormat="1"/>
    <row r="138" s="253" customFormat="1"/>
    <row r="139" s="253" customFormat="1"/>
    <row r="140" s="253" customFormat="1"/>
    <row r="141" s="253" customFormat="1"/>
    <row r="142" s="253" customFormat="1"/>
    <row r="143" s="253" customFormat="1"/>
    <row r="144" s="253" customFormat="1"/>
    <row r="145" s="253" customFormat="1"/>
    <row r="146" s="253" customFormat="1"/>
    <row r="147" s="253" customFormat="1"/>
    <row r="148" s="253" customFormat="1"/>
    <row r="149" s="253" customFormat="1"/>
    <row r="150" s="253" customFormat="1"/>
    <row r="151" s="253" customFormat="1"/>
    <row r="152" s="253" customFormat="1"/>
    <row r="153" s="253" customFormat="1"/>
    <row r="154" s="253" customFormat="1"/>
    <row r="155" s="253" customFormat="1"/>
    <row r="156" s="253" customFormat="1"/>
    <row r="157" s="253" customFormat="1"/>
    <row r="158" s="253" customFormat="1"/>
    <row r="159" s="253" customFormat="1"/>
    <row r="160" s="253" customFormat="1"/>
    <row r="161" spans="1:22" s="253" customFormat="1"/>
    <row r="162" spans="1:22" s="253" customFormat="1"/>
    <row r="163" spans="1:22">
      <c r="A163" s="253"/>
      <c r="B163" s="253"/>
      <c r="C163" s="253"/>
      <c r="D163" s="253"/>
      <c r="E163" s="253"/>
      <c r="F163" s="253"/>
      <c r="G163" s="253"/>
      <c r="H163" s="253"/>
      <c r="I163" s="253"/>
      <c r="J163" s="253"/>
      <c r="K163" s="253"/>
      <c r="L163" s="253"/>
      <c r="M163" s="253"/>
      <c r="N163" s="253"/>
      <c r="O163" s="253"/>
      <c r="P163" s="253"/>
      <c r="Q163" s="253"/>
      <c r="R163" s="253"/>
      <c r="S163" s="253"/>
      <c r="T163" s="253"/>
      <c r="U163" s="253"/>
      <c r="V163" s="253"/>
    </row>
    <row r="164" spans="1:22">
      <c r="A164" s="253"/>
      <c r="B164" s="253"/>
      <c r="C164" s="253"/>
      <c r="D164" s="253"/>
      <c r="E164" s="253"/>
      <c r="F164" s="253"/>
      <c r="G164" s="253"/>
      <c r="H164" s="253"/>
      <c r="I164" s="253"/>
      <c r="J164" s="253"/>
      <c r="K164" s="253"/>
      <c r="L164" s="253"/>
      <c r="M164" s="253"/>
      <c r="N164" s="253"/>
      <c r="O164" s="253"/>
      <c r="P164" s="253"/>
      <c r="Q164" s="253"/>
      <c r="R164" s="253"/>
      <c r="S164" s="253"/>
      <c r="T164" s="253"/>
      <c r="U164" s="253"/>
      <c r="V164" s="253"/>
    </row>
    <row r="165" spans="1:22">
      <c r="A165" s="253"/>
      <c r="B165" s="253"/>
      <c r="C165" s="253"/>
      <c r="D165" s="253"/>
      <c r="E165" s="253"/>
      <c r="F165" s="253"/>
      <c r="G165" s="253"/>
      <c r="H165" s="253"/>
      <c r="I165" s="253"/>
      <c r="J165" s="253"/>
      <c r="K165" s="253"/>
      <c r="L165" s="253"/>
      <c r="M165" s="253"/>
      <c r="N165" s="253"/>
      <c r="O165" s="253"/>
      <c r="P165" s="253"/>
      <c r="Q165" s="253"/>
      <c r="R165" s="253"/>
      <c r="S165" s="253"/>
      <c r="T165" s="253"/>
      <c r="U165" s="253"/>
      <c r="V165" s="253"/>
    </row>
    <row r="166" spans="1:22">
      <c r="A166" s="253"/>
      <c r="B166" s="253"/>
      <c r="C166" s="253"/>
      <c r="D166" s="253"/>
      <c r="E166" s="253"/>
      <c r="F166" s="253"/>
      <c r="G166" s="253"/>
      <c r="H166" s="253"/>
      <c r="I166" s="253"/>
      <c r="J166" s="253"/>
      <c r="K166" s="253"/>
      <c r="L166" s="253"/>
      <c r="M166" s="253"/>
      <c r="N166" s="253"/>
      <c r="O166" s="253"/>
      <c r="P166" s="253"/>
      <c r="Q166" s="253"/>
      <c r="R166" s="253"/>
      <c r="S166" s="253"/>
      <c r="T166" s="253"/>
      <c r="U166" s="253"/>
      <c r="V166" s="253"/>
    </row>
    <row r="167" spans="1:22">
      <c r="A167" s="253"/>
      <c r="B167" s="253"/>
      <c r="C167" s="253"/>
      <c r="D167" s="253"/>
      <c r="E167" s="253"/>
      <c r="F167" s="253"/>
      <c r="G167" s="253"/>
      <c r="H167" s="253"/>
      <c r="I167" s="253"/>
      <c r="J167" s="253"/>
      <c r="K167" s="253"/>
      <c r="L167" s="253"/>
      <c r="M167" s="253"/>
      <c r="N167" s="253"/>
      <c r="O167" s="253"/>
      <c r="P167" s="253"/>
      <c r="Q167" s="253"/>
      <c r="R167" s="253"/>
      <c r="S167" s="253"/>
      <c r="T167" s="253"/>
      <c r="U167" s="253"/>
      <c r="V167" s="253"/>
    </row>
    <row r="168" spans="1:22">
      <c r="A168" s="253"/>
      <c r="B168" s="253"/>
      <c r="C168" s="253"/>
      <c r="D168" s="253"/>
      <c r="E168" s="253"/>
      <c r="F168" s="253"/>
      <c r="G168" s="253"/>
      <c r="H168" s="253"/>
      <c r="I168" s="253"/>
      <c r="J168" s="253"/>
      <c r="K168" s="253"/>
      <c r="L168" s="253"/>
      <c r="M168" s="253"/>
      <c r="N168" s="253"/>
      <c r="O168" s="253"/>
      <c r="P168" s="253"/>
      <c r="Q168" s="253"/>
      <c r="R168" s="253"/>
      <c r="S168" s="253"/>
      <c r="T168" s="253"/>
      <c r="U168" s="253"/>
      <c r="V168" s="253"/>
    </row>
    <row r="169" spans="1:22">
      <c r="A169" s="253"/>
      <c r="B169" s="253"/>
      <c r="C169" s="253"/>
      <c r="D169" s="253"/>
      <c r="E169" s="253"/>
      <c r="F169" s="253"/>
      <c r="G169" s="253"/>
      <c r="H169" s="253"/>
      <c r="I169" s="253"/>
      <c r="J169" s="253"/>
      <c r="K169" s="253"/>
      <c r="L169" s="253"/>
      <c r="M169" s="253"/>
      <c r="N169" s="253"/>
      <c r="O169" s="253"/>
      <c r="P169" s="253"/>
      <c r="Q169" s="253"/>
      <c r="R169" s="253"/>
      <c r="S169" s="253"/>
      <c r="T169" s="253"/>
      <c r="U169" s="253"/>
      <c r="V169" s="253"/>
    </row>
    <row r="170" spans="1:22">
      <c r="A170" s="253"/>
      <c r="B170" s="253"/>
      <c r="C170" s="253"/>
      <c r="D170" s="253"/>
      <c r="E170" s="253"/>
      <c r="F170" s="253"/>
      <c r="G170" s="253"/>
      <c r="H170" s="253"/>
      <c r="I170" s="253"/>
      <c r="J170" s="253"/>
      <c r="K170" s="253"/>
      <c r="L170" s="253"/>
      <c r="M170" s="253"/>
      <c r="N170" s="253"/>
      <c r="O170" s="253"/>
      <c r="P170" s="253"/>
      <c r="Q170" s="253"/>
      <c r="R170" s="253"/>
      <c r="S170" s="253"/>
      <c r="T170" s="253"/>
      <c r="U170" s="253"/>
      <c r="V170" s="253"/>
    </row>
    <row r="171" spans="1:22">
      <c r="A171" s="253"/>
      <c r="B171" s="253"/>
      <c r="C171" s="253"/>
      <c r="D171" s="253"/>
      <c r="E171" s="253"/>
      <c r="F171" s="253"/>
      <c r="G171" s="253"/>
      <c r="H171" s="253"/>
      <c r="I171" s="253"/>
      <c r="J171" s="253"/>
      <c r="K171" s="253"/>
      <c r="L171" s="253"/>
      <c r="M171" s="253"/>
      <c r="N171" s="253"/>
      <c r="O171" s="253"/>
      <c r="P171" s="253"/>
      <c r="Q171" s="253"/>
      <c r="R171" s="253"/>
      <c r="S171" s="253"/>
      <c r="T171" s="253"/>
      <c r="U171" s="253"/>
      <c r="V171" s="253"/>
    </row>
    <row r="172" spans="1:22">
      <c r="A172" s="253"/>
      <c r="B172" s="253"/>
      <c r="C172" s="253"/>
      <c r="D172" s="253"/>
      <c r="E172" s="253"/>
      <c r="F172" s="253"/>
      <c r="G172" s="253"/>
      <c r="H172" s="253"/>
      <c r="I172" s="253"/>
      <c r="J172" s="253"/>
      <c r="K172" s="253"/>
      <c r="L172" s="253"/>
      <c r="M172" s="253"/>
      <c r="N172" s="253"/>
      <c r="O172" s="253"/>
      <c r="P172" s="253"/>
      <c r="Q172" s="253"/>
      <c r="R172" s="253"/>
      <c r="S172" s="253"/>
      <c r="T172" s="253"/>
      <c r="U172" s="253"/>
      <c r="V172" s="253"/>
    </row>
    <row r="173" spans="1:22">
      <c r="A173" s="253"/>
      <c r="B173" s="253"/>
      <c r="C173" s="253"/>
      <c r="D173" s="253"/>
      <c r="E173" s="253"/>
      <c r="F173" s="253"/>
      <c r="G173" s="253"/>
      <c r="H173" s="253"/>
      <c r="I173" s="253"/>
      <c r="J173" s="253"/>
      <c r="K173" s="253"/>
      <c r="L173" s="253"/>
      <c r="M173" s="253"/>
      <c r="N173" s="253"/>
      <c r="O173" s="253"/>
      <c r="P173" s="253"/>
      <c r="Q173" s="253"/>
      <c r="R173" s="253"/>
      <c r="S173" s="253"/>
      <c r="T173" s="253"/>
      <c r="U173" s="253"/>
      <c r="V173" s="253"/>
    </row>
    <row r="174" spans="1:22">
      <c r="A174" s="253"/>
      <c r="B174" s="253"/>
      <c r="C174" s="253"/>
      <c r="D174" s="253"/>
      <c r="E174" s="253"/>
      <c r="F174" s="253"/>
      <c r="G174" s="253"/>
      <c r="H174" s="253"/>
      <c r="I174" s="253"/>
      <c r="J174" s="253"/>
      <c r="K174" s="253"/>
      <c r="L174" s="253"/>
      <c r="M174" s="253"/>
      <c r="N174" s="253"/>
      <c r="O174" s="253"/>
      <c r="P174" s="253"/>
      <c r="Q174" s="253"/>
      <c r="R174" s="253"/>
      <c r="S174" s="253"/>
      <c r="T174" s="253"/>
      <c r="U174" s="253"/>
      <c r="V174" s="253"/>
    </row>
  </sheetData>
  <mergeCells count="19">
    <mergeCell ref="A3:A5"/>
    <mergeCell ref="O3:O5"/>
    <mergeCell ref="H1:I1"/>
    <mergeCell ref="L1:N1"/>
    <mergeCell ref="L2:N2"/>
    <mergeCell ref="F1:G1"/>
    <mergeCell ref="K3:M3"/>
    <mergeCell ref="O1:S1"/>
    <mergeCell ref="E3:G3"/>
    <mergeCell ref="Q3:U3"/>
    <mergeCell ref="V3:V5"/>
    <mergeCell ref="B52:G52"/>
    <mergeCell ref="U2:V2"/>
    <mergeCell ref="T1:V1"/>
    <mergeCell ref="H3:J3"/>
    <mergeCell ref="N3:N4"/>
    <mergeCell ref="B3:D3"/>
    <mergeCell ref="I52:L52"/>
    <mergeCell ref="P3:P4"/>
  </mergeCells>
  <phoneticPr fontId="0" type="noConversion"/>
  <pageMargins left="0.62992125984252001" right="0.511811023622047" top="0.511811023622047" bottom="0.511811023622047" header="0" footer="0.47244094488188998"/>
  <pageSetup paperSize="448" firstPageNumber="28" orientation="portrait" useFirstPageNumber="1" r:id="rId1"/>
  <headerFooter alignWithMargins="0">
    <oddFooter>&amp;C&amp;"Times New Roman,Regular"&amp;8&amp;P</oddFooter>
  </headerFooter>
  <ignoredErrors>
    <ignoredError sqref="D12 G12 J12 M12:N12 U12:V12 D17 G17 J17 M17:N17 V17" formula="1"/>
  </ignoredErrors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14"/>
  <dimension ref="A1:I75"/>
  <sheetViews>
    <sheetView zoomScale="160" zoomScaleNormal="160" workbookViewId="0">
      <pane xSplit="1" ySplit="5" topLeftCell="B55" activePane="bottomRight" state="frozen"/>
      <selection pane="topRight" activeCell="B1" sqref="B1"/>
      <selection pane="bottomLeft" activeCell="A7" sqref="A7"/>
      <selection pane="bottomRight" activeCell="I67" sqref="I67"/>
    </sheetView>
  </sheetViews>
  <sheetFormatPr defaultRowHeight="12.75"/>
  <cols>
    <col min="1" max="1" width="7.85546875" customWidth="1"/>
    <col min="2" max="2" width="8.28515625" customWidth="1"/>
    <col min="3" max="3" width="9.42578125" customWidth="1"/>
    <col min="5" max="6" width="8.28515625" customWidth="1"/>
    <col min="8" max="8" width="8.5703125" customWidth="1"/>
    <col min="9" max="9" width="8.42578125" customWidth="1"/>
  </cols>
  <sheetData>
    <row r="1" spans="1:9" ht="15.75" customHeight="1">
      <c r="A1" s="1992" t="s">
        <v>2165</v>
      </c>
      <c r="B1" s="1992"/>
      <c r="C1" s="1992"/>
      <c r="D1" s="1992"/>
      <c r="E1" s="1992"/>
      <c r="F1" s="1992"/>
      <c r="G1" s="1992"/>
      <c r="H1" s="219"/>
      <c r="I1" s="220" t="s">
        <v>530</v>
      </c>
    </row>
    <row r="2" spans="1:9" ht="15" customHeight="1">
      <c r="A2" s="1992"/>
      <c r="B2" s="1992"/>
      <c r="C2" s="1992"/>
      <c r="D2" s="1992"/>
      <c r="E2" s="1992"/>
      <c r="F2" s="1992"/>
      <c r="G2" s="1992"/>
      <c r="H2" s="219"/>
    </row>
    <row r="3" spans="1:9" ht="10.5" customHeight="1">
      <c r="A3" s="221"/>
      <c r="B3" s="222"/>
      <c r="C3" s="222"/>
      <c r="D3" s="222"/>
      <c r="F3" s="223"/>
      <c r="H3" s="1993" t="s">
        <v>0</v>
      </c>
      <c r="I3" s="1993"/>
    </row>
    <row r="4" spans="1:9" s="224" customFormat="1" ht="12.95" customHeight="1">
      <c r="A4" s="1994" t="s">
        <v>739</v>
      </c>
      <c r="B4" s="1996" t="s">
        <v>553</v>
      </c>
      <c r="C4" s="1997"/>
      <c r="D4" s="1997"/>
      <c r="E4" s="1998"/>
      <c r="F4" s="1996" t="s">
        <v>554</v>
      </c>
      <c r="G4" s="1997"/>
      <c r="H4" s="1997"/>
      <c r="I4" s="1998"/>
    </row>
    <row r="5" spans="1:9" ht="36">
      <c r="A5" s="1995"/>
      <c r="B5" s="225" t="s">
        <v>1210</v>
      </c>
      <c r="C5" s="225" t="s">
        <v>1237</v>
      </c>
      <c r="D5" s="225" t="s">
        <v>1239</v>
      </c>
      <c r="E5" s="1152" t="s">
        <v>555</v>
      </c>
      <c r="F5" s="225" t="s">
        <v>1211</v>
      </c>
      <c r="G5" s="225" t="s">
        <v>1240</v>
      </c>
      <c r="H5" s="225" t="s">
        <v>1238</v>
      </c>
      <c r="I5" s="1152" t="s">
        <v>556</v>
      </c>
    </row>
    <row r="6" spans="1:9" s="113" customFormat="1" ht="9" customHeight="1">
      <c r="A6" s="228" t="s">
        <v>812</v>
      </c>
      <c r="B6" s="229">
        <v>361.14</v>
      </c>
      <c r="C6" s="233">
        <v>297.11</v>
      </c>
      <c r="D6" s="233">
        <v>145.53</v>
      </c>
      <c r="E6" s="352">
        <v>803.78</v>
      </c>
      <c r="F6" s="233">
        <v>2123.5</v>
      </c>
      <c r="G6" s="233">
        <v>880.01</v>
      </c>
      <c r="H6" s="234">
        <v>362.1</v>
      </c>
      <c r="I6" s="234">
        <v>3365.61</v>
      </c>
    </row>
    <row r="7" spans="1:9" s="113" customFormat="1" ht="9" customHeight="1">
      <c r="A7" s="459" t="s">
        <v>817</v>
      </c>
      <c r="B7" s="460">
        <v>447.22</v>
      </c>
      <c r="C7" s="461">
        <v>198.64</v>
      </c>
      <c r="D7" s="461">
        <v>98.75</v>
      </c>
      <c r="E7" s="460">
        <v>744.61</v>
      </c>
      <c r="F7" s="461">
        <v>2468.63</v>
      </c>
      <c r="G7" s="461">
        <v>974.18</v>
      </c>
      <c r="H7" s="461">
        <v>322.72000000000003</v>
      </c>
      <c r="I7" s="465">
        <v>3765.5299999999997</v>
      </c>
    </row>
    <row r="8" spans="1:9" s="113" customFormat="1" ht="9" customHeight="1">
      <c r="A8" s="228" t="s">
        <v>826</v>
      </c>
      <c r="B8" s="229">
        <v>464.5</v>
      </c>
      <c r="C8" s="233">
        <v>281</v>
      </c>
      <c r="D8" s="233">
        <v>47.24</v>
      </c>
      <c r="E8" s="233">
        <v>792.74</v>
      </c>
      <c r="F8" s="233">
        <v>2857.96</v>
      </c>
      <c r="G8" s="233">
        <v>1146.22</v>
      </c>
      <c r="H8" s="234">
        <v>364.23</v>
      </c>
      <c r="I8" s="234">
        <v>4368.41</v>
      </c>
    </row>
    <row r="9" spans="1:9" s="113" customFormat="1" ht="9" customHeight="1">
      <c r="A9" s="459" t="s">
        <v>549</v>
      </c>
      <c r="B9" s="460">
        <v>545.69000000000005</v>
      </c>
      <c r="C9" s="461">
        <v>197.71</v>
      </c>
      <c r="D9" s="461">
        <v>25.29</v>
      </c>
      <c r="E9" s="460">
        <f t="shared" ref="E9" si="0">SUM(B9:D9)</f>
        <v>768.69</v>
      </c>
      <c r="F9" s="465">
        <v>3719.99</v>
      </c>
      <c r="G9" s="461">
        <v>873.76</v>
      </c>
      <c r="H9" s="461">
        <v>210.68</v>
      </c>
      <c r="I9" s="465">
        <f t="shared" ref="I9:I25" si="1">SUM(F9:H9)</f>
        <v>4804.43</v>
      </c>
    </row>
    <row r="10" spans="1:9" s="23" customFormat="1" ht="9" customHeight="1">
      <c r="A10" s="230" t="s">
        <v>462</v>
      </c>
      <c r="B10" s="231">
        <v>166.78</v>
      </c>
      <c r="C10" s="232">
        <v>101.7</v>
      </c>
      <c r="D10" s="232">
        <v>16.55</v>
      </c>
      <c r="E10" s="808">
        <f t="shared" ref="E10:E11" si="2">SUM(B10:D10)</f>
        <v>285.03000000000003</v>
      </c>
      <c r="F10" s="232">
        <v>3068.07</v>
      </c>
      <c r="G10" s="232">
        <v>1109.5899999999999</v>
      </c>
      <c r="H10" s="236">
        <v>221.12</v>
      </c>
      <c r="I10" s="237">
        <f t="shared" si="1"/>
        <v>4398.78</v>
      </c>
    </row>
    <row r="11" spans="1:9" s="23" customFormat="1" ht="9" customHeight="1">
      <c r="A11" s="462" t="s">
        <v>463</v>
      </c>
      <c r="B11" s="463">
        <v>378.91</v>
      </c>
      <c r="C11" s="464">
        <v>96.01</v>
      </c>
      <c r="D11" s="464">
        <v>8.74</v>
      </c>
      <c r="E11" s="464">
        <f t="shared" si="2"/>
        <v>483.66</v>
      </c>
      <c r="F11" s="466">
        <v>3719.99</v>
      </c>
      <c r="G11" s="464">
        <v>873.76</v>
      </c>
      <c r="H11" s="464">
        <v>210.68</v>
      </c>
      <c r="I11" s="464">
        <f t="shared" si="1"/>
        <v>4804.43</v>
      </c>
    </row>
    <row r="12" spans="1:9" s="113" customFormat="1" ht="9" customHeight="1">
      <c r="A12" s="228" t="s">
        <v>102</v>
      </c>
      <c r="B12" s="229">
        <v>535.41999999999996</v>
      </c>
      <c r="C12" s="233">
        <v>336.61</v>
      </c>
      <c r="D12" s="233">
        <v>88.56</v>
      </c>
      <c r="E12" s="233">
        <f t="shared" ref="E12:E13" si="3">SUM(B12:D12)</f>
        <v>960.58999999999992</v>
      </c>
      <c r="F12" s="235">
        <v>3909.6</v>
      </c>
      <c r="G12" s="234">
        <v>903.65</v>
      </c>
      <c r="H12" s="234">
        <v>325.94</v>
      </c>
      <c r="I12" s="234">
        <f t="shared" si="1"/>
        <v>5139.1899999999996</v>
      </c>
    </row>
    <row r="13" spans="1:9" s="23" customFormat="1" ht="9" customHeight="1">
      <c r="A13" s="462" t="s">
        <v>462</v>
      </c>
      <c r="B13" s="463">
        <v>430.34</v>
      </c>
      <c r="C13" s="464">
        <v>149.72</v>
      </c>
      <c r="D13" s="464">
        <v>22.59</v>
      </c>
      <c r="E13" s="464">
        <f t="shared" si="3"/>
        <v>602.65</v>
      </c>
      <c r="F13" s="466">
        <v>3823.32</v>
      </c>
      <c r="G13" s="466">
        <v>742.04</v>
      </c>
      <c r="H13" s="466">
        <v>250.66</v>
      </c>
      <c r="I13" s="464">
        <f t="shared" si="1"/>
        <v>4816.0200000000004</v>
      </c>
    </row>
    <row r="14" spans="1:9" s="62" customFormat="1" ht="9" customHeight="1">
      <c r="A14" s="230" t="s">
        <v>463</v>
      </c>
      <c r="B14" s="231">
        <v>105.08</v>
      </c>
      <c r="C14" s="231">
        <v>186.89</v>
      </c>
      <c r="D14" s="231">
        <v>65.97</v>
      </c>
      <c r="E14" s="808">
        <f t="shared" ref="E14:E15" si="4">SUM(B14:D14)</f>
        <v>357.93999999999994</v>
      </c>
      <c r="F14" s="242">
        <v>3909.6</v>
      </c>
      <c r="G14" s="242">
        <v>903.65</v>
      </c>
      <c r="H14" s="242">
        <v>325.94</v>
      </c>
      <c r="I14" s="237">
        <f t="shared" si="1"/>
        <v>5139.1899999999996</v>
      </c>
    </row>
    <row r="15" spans="1:9" s="76" customFormat="1" ht="9" customHeight="1">
      <c r="A15" s="459" t="s">
        <v>98</v>
      </c>
      <c r="B15" s="460">
        <f>B16+B17</f>
        <v>515.14</v>
      </c>
      <c r="C15" s="460">
        <f>C16+C17</f>
        <v>331.1</v>
      </c>
      <c r="D15" s="460">
        <f>D16+D17</f>
        <v>66.78</v>
      </c>
      <c r="E15" s="460">
        <f t="shared" si="4"/>
        <v>913.02</v>
      </c>
      <c r="F15" s="460">
        <f>F17</f>
        <v>5014.96</v>
      </c>
      <c r="G15" s="460">
        <f>G17</f>
        <v>544.21</v>
      </c>
      <c r="H15" s="460">
        <f>H17</f>
        <v>410.29</v>
      </c>
      <c r="I15" s="465">
        <f t="shared" si="1"/>
        <v>5969.46</v>
      </c>
    </row>
    <row r="16" spans="1:9" s="62" customFormat="1" ht="9" customHeight="1">
      <c r="A16" s="230" t="s">
        <v>462</v>
      </c>
      <c r="B16" s="231">
        <v>113.47</v>
      </c>
      <c r="C16" s="231">
        <v>178.05</v>
      </c>
      <c r="D16" s="231">
        <v>50.7</v>
      </c>
      <c r="E16" s="808">
        <f t="shared" ref="E16:E17" si="5">SUM(B16:D16)</f>
        <v>342.21999999999997</v>
      </c>
      <c r="F16" s="242">
        <v>4426.6899999999996</v>
      </c>
      <c r="G16" s="242">
        <v>474.06</v>
      </c>
      <c r="H16" s="242">
        <v>378.17</v>
      </c>
      <c r="I16" s="237">
        <f t="shared" si="1"/>
        <v>5278.92</v>
      </c>
    </row>
    <row r="17" spans="1:9" s="62" customFormat="1" ht="9" customHeight="1">
      <c r="A17" s="462" t="s">
        <v>463</v>
      </c>
      <c r="B17" s="463">
        <v>401.67</v>
      </c>
      <c r="C17" s="463">
        <v>153.05000000000001</v>
      </c>
      <c r="D17" s="463">
        <v>16.079999999999998</v>
      </c>
      <c r="E17" s="464">
        <f t="shared" si="5"/>
        <v>570.80000000000007</v>
      </c>
      <c r="F17" s="467">
        <v>5014.96</v>
      </c>
      <c r="G17" s="467">
        <v>544.21</v>
      </c>
      <c r="H17" s="467">
        <v>410.29</v>
      </c>
      <c r="I17" s="464">
        <f t="shared" si="1"/>
        <v>5969.46</v>
      </c>
    </row>
    <row r="18" spans="1:9" s="62" customFormat="1" ht="9" customHeight="1">
      <c r="A18" s="228" t="s">
        <v>241</v>
      </c>
      <c r="B18" s="352">
        <f>B19+B20</f>
        <v>249.95</v>
      </c>
      <c r="C18" s="352">
        <f>C19+C20</f>
        <v>445.19</v>
      </c>
      <c r="D18" s="352">
        <f>D19+D20</f>
        <v>83.9</v>
      </c>
      <c r="E18" s="233">
        <f t="shared" ref="E18:E19" si="6">SUM(B18:D18)</f>
        <v>779.04</v>
      </c>
      <c r="F18" s="352">
        <f>F20</f>
        <v>5143.7</v>
      </c>
      <c r="G18" s="352">
        <f>G20</f>
        <v>612.69000000000005</v>
      </c>
      <c r="H18" s="352">
        <f>H20</f>
        <v>462.67</v>
      </c>
      <c r="I18" s="234">
        <f t="shared" si="1"/>
        <v>6219.0599999999995</v>
      </c>
    </row>
    <row r="19" spans="1:9" s="62" customFormat="1" ht="9" customHeight="1">
      <c r="A19" s="462" t="s">
        <v>462</v>
      </c>
      <c r="B19" s="463">
        <v>118.31</v>
      </c>
      <c r="C19" s="463">
        <v>211.57</v>
      </c>
      <c r="D19" s="463">
        <v>12.64</v>
      </c>
      <c r="E19" s="464">
        <f t="shared" si="6"/>
        <v>342.52</v>
      </c>
      <c r="F19" s="467">
        <v>5196.21</v>
      </c>
      <c r="G19" s="467">
        <v>533.65</v>
      </c>
      <c r="H19" s="467">
        <v>342.21</v>
      </c>
      <c r="I19" s="464">
        <f t="shared" si="1"/>
        <v>6072.07</v>
      </c>
    </row>
    <row r="20" spans="1:9" s="62" customFormat="1" ht="9" customHeight="1">
      <c r="A20" s="230" t="s">
        <v>463</v>
      </c>
      <c r="B20" s="231">
        <v>131.63999999999999</v>
      </c>
      <c r="C20" s="231">
        <v>233.62</v>
      </c>
      <c r="D20" s="231">
        <v>71.260000000000005</v>
      </c>
      <c r="E20" s="808">
        <f t="shared" ref="E20:E21" si="7">SUM(B20:D20)</f>
        <v>436.52</v>
      </c>
      <c r="F20" s="242">
        <v>5143.7</v>
      </c>
      <c r="G20" s="242">
        <v>612.69000000000005</v>
      </c>
      <c r="H20" s="242">
        <v>462.67</v>
      </c>
      <c r="I20" s="237">
        <f t="shared" si="1"/>
        <v>6219.0599999999995</v>
      </c>
    </row>
    <row r="21" spans="1:9" s="62" customFormat="1" ht="9" customHeight="1">
      <c r="A21" s="459" t="s">
        <v>1142</v>
      </c>
      <c r="B21" s="460">
        <f>B22+B23</f>
        <v>454.09999999999997</v>
      </c>
      <c r="C21" s="460">
        <f>C22+C23</f>
        <v>542.34999999999991</v>
      </c>
      <c r="D21" s="460">
        <f>D22+D23</f>
        <v>198.42999999999998</v>
      </c>
      <c r="E21" s="460">
        <f t="shared" si="7"/>
        <v>1194.8799999999999</v>
      </c>
      <c r="F21" s="460">
        <f>F23</f>
        <v>4855.47</v>
      </c>
      <c r="G21" s="460">
        <f>G23</f>
        <v>861.44</v>
      </c>
      <c r="H21" s="460">
        <f>H23</f>
        <v>533.95000000000005</v>
      </c>
      <c r="I21" s="465">
        <f t="shared" si="1"/>
        <v>6250.86</v>
      </c>
    </row>
    <row r="22" spans="1:9" s="62" customFormat="1" ht="9" customHeight="1">
      <c r="A22" s="230" t="s">
        <v>462</v>
      </c>
      <c r="B22" s="231">
        <v>300.20999999999998</v>
      </c>
      <c r="C22" s="231">
        <v>256.01</v>
      </c>
      <c r="D22" s="231">
        <v>143.63999999999999</v>
      </c>
      <c r="E22" s="808">
        <f t="shared" ref="E22:E23" si="8">SUM(B22:D22)</f>
        <v>699.86</v>
      </c>
      <c r="F22" s="242">
        <v>4943.83</v>
      </c>
      <c r="G22" s="242">
        <v>670.37</v>
      </c>
      <c r="H22" s="242">
        <v>551.61</v>
      </c>
      <c r="I22" s="237">
        <f t="shared" si="1"/>
        <v>6165.8099999999995</v>
      </c>
    </row>
    <row r="23" spans="1:9" s="62" customFormat="1" ht="9" customHeight="1">
      <c r="A23" s="462" t="s">
        <v>463</v>
      </c>
      <c r="B23" s="463">
        <v>153.88999999999999</v>
      </c>
      <c r="C23" s="463">
        <v>286.33999999999997</v>
      </c>
      <c r="D23" s="463">
        <v>54.79</v>
      </c>
      <c r="E23" s="464">
        <f t="shared" si="8"/>
        <v>495.02</v>
      </c>
      <c r="F23" s="467">
        <v>4855.47</v>
      </c>
      <c r="G23" s="467">
        <v>861.44</v>
      </c>
      <c r="H23" s="467">
        <v>533.95000000000005</v>
      </c>
      <c r="I23" s="464">
        <f t="shared" si="1"/>
        <v>6250.86</v>
      </c>
    </row>
    <row r="24" spans="1:9" s="62" customFormat="1" ht="9" customHeight="1">
      <c r="A24" s="354" t="s">
        <v>1333</v>
      </c>
      <c r="B24" s="352">
        <f>B25+B26</f>
        <v>761.03</v>
      </c>
      <c r="C24" s="352">
        <f>C25+C26</f>
        <v>645.64</v>
      </c>
      <c r="D24" s="352">
        <f>D25+D26</f>
        <v>323.96000000000004</v>
      </c>
      <c r="E24" s="233">
        <f t="shared" ref="E24:E25" si="9">SUM(B24:D24)</f>
        <v>1730.63</v>
      </c>
      <c r="F24" s="352">
        <f>F26</f>
        <v>6333.41</v>
      </c>
      <c r="G24" s="352">
        <f>G26</f>
        <v>995.87</v>
      </c>
      <c r="H24" s="352">
        <f>H26</f>
        <v>1033.78</v>
      </c>
      <c r="I24" s="234">
        <f t="shared" si="1"/>
        <v>8363.06</v>
      </c>
    </row>
    <row r="25" spans="1:9" s="62" customFormat="1" ht="9" customHeight="1">
      <c r="A25" s="462" t="s">
        <v>462</v>
      </c>
      <c r="B25" s="463">
        <v>343.74</v>
      </c>
      <c r="C25" s="463">
        <v>301.19</v>
      </c>
      <c r="D25" s="463">
        <v>152.61000000000001</v>
      </c>
      <c r="E25" s="464">
        <f t="shared" si="9"/>
        <v>797.54000000000008</v>
      </c>
      <c r="F25" s="467">
        <v>6085.39</v>
      </c>
      <c r="G25" s="467">
        <v>846.55</v>
      </c>
      <c r="H25" s="467">
        <v>818.3</v>
      </c>
      <c r="I25" s="464">
        <f t="shared" si="1"/>
        <v>7750.2400000000007</v>
      </c>
    </row>
    <row r="26" spans="1:9" s="62" customFormat="1" ht="9" customHeight="1">
      <c r="A26" s="230" t="s">
        <v>463</v>
      </c>
      <c r="B26" s="808">
        <v>417.29</v>
      </c>
      <c r="C26" s="808">
        <v>344.45</v>
      </c>
      <c r="D26" s="808">
        <v>171.35</v>
      </c>
      <c r="E26" s="808">
        <f t="shared" ref="E26:E27" si="10">SUM(B26:D26)</f>
        <v>933.09</v>
      </c>
      <c r="F26" s="750">
        <v>6333.41</v>
      </c>
      <c r="G26" s="750">
        <v>995.87</v>
      </c>
      <c r="H26" s="750">
        <v>1033.78</v>
      </c>
      <c r="I26" s="237">
        <f t="shared" ref="I26:I45" si="11">SUM(F26:H26)</f>
        <v>8363.06</v>
      </c>
    </row>
    <row r="27" spans="1:9" s="62" customFormat="1" ht="9" customHeight="1">
      <c r="A27" s="459" t="s">
        <v>1664</v>
      </c>
      <c r="B27" s="460">
        <f>B28+B31+B30</f>
        <v>233.83999999999997</v>
      </c>
      <c r="C27" s="460">
        <f>C28+C31+C30</f>
        <v>795.78</v>
      </c>
      <c r="D27" s="460">
        <f>D28+D31+D30</f>
        <v>450.71999999999997</v>
      </c>
      <c r="E27" s="460">
        <f t="shared" si="10"/>
        <v>1480.34</v>
      </c>
      <c r="F27" s="460">
        <f>F31</f>
        <v>6375.35</v>
      </c>
      <c r="G27" s="460">
        <f>G31</f>
        <v>964.83</v>
      </c>
      <c r="H27" s="460">
        <f>H31</f>
        <v>2000.05</v>
      </c>
      <c r="I27" s="465">
        <f t="shared" si="11"/>
        <v>9340.23</v>
      </c>
    </row>
    <row r="28" spans="1:9" s="62" customFormat="1" ht="9" customHeight="1">
      <c r="A28" s="846" t="s">
        <v>462</v>
      </c>
      <c r="B28" s="808">
        <v>123.77</v>
      </c>
      <c r="C28" s="808">
        <v>352.66</v>
      </c>
      <c r="D28" s="808">
        <v>189.64</v>
      </c>
      <c r="E28" s="808">
        <f t="shared" ref="E28:E31" si="12">SUM(B28:D28)</f>
        <v>666.06999999999994</v>
      </c>
      <c r="F28" s="750">
        <v>6345.56</v>
      </c>
      <c r="G28" s="750">
        <v>969.93</v>
      </c>
      <c r="H28" s="750">
        <v>1278</v>
      </c>
      <c r="I28" s="237">
        <f t="shared" si="11"/>
        <v>8593.4900000000016</v>
      </c>
    </row>
    <row r="29" spans="1:9" s="62" customFormat="1" ht="9" customHeight="1">
      <c r="A29" s="462" t="s">
        <v>463</v>
      </c>
      <c r="B29" s="463">
        <f>B30+B31</f>
        <v>110.07</v>
      </c>
      <c r="C29" s="463">
        <f>C30+C31</f>
        <v>443.12</v>
      </c>
      <c r="D29" s="463">
        <f>D30+D31</f>
        <v>261.08</v>
      </c>
      <c r="E29" s="464">
        <f t="shared" si="12"/>
        <v>814.27</v>
      </c>
      <c r="F29" s="467">
        <v>6375.35</v>
      </c>
      <c r="G29" s="467">
        <v>964.83</v>
      </c>
      <c r="H29" s="467">
        <v>2000.05</v>
      </c>
      <c r="I29" s="464">
        <f t="shared" si="11"/>
        <v>9340.23</v>
      </c>
    </row>
    <row r="30" spans="1:9" s="62" customFormat="1" ht="9" customHeight="1">
      <c r="A30" s="1003" t="s">
        <v>1993</v>
      </c>
      <c r="B30" s="808">
        <v>71.7</v>
      </c>
      <c r="C30" s="808">
        <v>246.42</v>
      </c>
      <c r="D30" s="808">
        <v>129.38</v>
      </c>
      <c r="E30" s="808">
        <f t="shared" ref="E30" si="13">SUM(B30:D30)</f>
        <v>447.5</v>
      </c>
      <c r="F30" s="750">
        <v>6228.02</v>
      </c>
      <c r="G30" s="750">
        <v>850.53</v>
      </c>
      <c r="H30" s="750">
        <v>1768.18</v>
      </c>
      <c r="I30" s="237">
        <f t="shared" si="11"/>
        <v>8846.73</v>
      </c>
    </row>
    <row r="31" spans="1:9" s="62" customFormat="1" ht="9" customHeight="1">
      <c r="A31" s="462" t="s">
        <v>1994</v>
      </c>
      <c r="B31" s="463">
        <v>38.369999999999997</v>
      </c>
      <c r="C31" s="463">
        <v>196.7</v>
      </c>
      <c r="D31" s="463">
        <v>131.69999999999999</v>
      </c>
      <c r="E31" s="464">
        <f t="shared" si="12"/>
        <v>366.77</v>
      </c>
      <c r="F31" s="467">
        <v>6375.35</v>
      </c>
      <c r="G31" s="467">
        <v>964.83</v>
      </c>
      <c r="H31" s="467">
        <v>2000.05</v>
      </c>
      <c r="I31" s="464">
        <f t="shared" si="11"/>
        <v>9340.23</v>
      </c>
    </row>
    <row r="32" spans="1:9" s="62" customFormat="1" ht="9" customHeight="1">
      <c r="A32" s="354" t="s">
        <v>1754</v>
      </c>
      <c r="B32" s="352">
        <f>B33+B36</f>
        <v>528.03</v>
      </c>
      <c r="C32" s="352">
        <f>C33+C36</f>
        <v>1141.3400000000001</v>
      </c>
      <c r="D32" s="352">
        <f>D33+D36</f>
        <v>164.5</v>
      </c>
      <c r="E32" s="233">
        <f t="shared" ref="E32:E33" si="14">SUM(B32:D32)</f>
        <v>1833.8700000000001</v>
      </c>
      <c r="F32" s="912">
        <f>F38</f>
        <v>9027.07</v>
      </c>
      <c r="G32" s="912">
        <f>G38</f>
        <v>1326.11</v>
      </c>
      <c r="H32" s="912">
        <f>H38</f>
        <v>2147.9499999999998</v>
      </c>
      <c r="I32" s="234">
        <f t="shared" si="11"/>
        <v>12501.130000000001</v>
      </c>
    </row>
    <row r="33" spans="1:9" s="62" customFormat="1" ht="9" customHeight="1">
      <c r="A33" s="462" t="s">
        <v>462</v>
      </c>
      <c r="B33" s="463">
        <f>B34+B35</f>
        <v>170.23000000000002</v>
      </c>
      <c r="C33" s="463">
        <f>C34+C35</f>
        <v>545.69000000000005</v>
      </c>
      <c r="D33" s="463">
        <f>D34+D35</f>
        <v>21.090000000000003</v>
      </c>
      <c r="E33" s="464">
        <f t="shared" si="14"/>
        <v>737.0100000000001</v>
      </c>
      <c r="F33" s="969">
        <v>6717.59</v>
      </c>
      <c r="G33" s="969">
        <v>1142.17</v>
      </c>
      <c r="H33" s="969">
        <v>2169.04</v>
      </c>
      <c r="I33" s="464">
        <f t="shared" si="11"/>
        <v>10028.799999999999</v>
      </c>
    </row>
    <row r="34" spans="1:9" s="62" customFormat="1" ht="9" customHeight="1">
      <c r="A34" s="846" t="s">
        <v>1995</v>
      </c>
      <c r="B34" s="808">
        <v>51.06</v>
      </c>
      <c r="C34" s="808">
        <v>260.08</v>
      </c>
      <c r="D34" s="808">
        <v>29.96</v>
      </c>
      <c r="E34" s="808">
        <f t="shared" ref="E34:E45" si="15">SUM(B34:D34)</f>
        <v>341.09999999999997</v>
      </c>
      <c r="F34" s="750">
        <v>6372.25</v>
      </c>
      <c r="G34" s="750">
        <v>1086.7</v>
      </c>
      <c r="H34" s="750">
        <v>2120.88</v>
      </c>
      <c r="I34" s="237">
        <f t="shared" si="11"/>
        <v>9579.83</v>
      </c>
    </row>
    <row r="35" spans="1:9" s="62" customFormat="1" ht="9" customHeight="1">
      <c r="A35" s="967" t="s">
        <v>2213</v>
      </c>
      <c r="B35" s="968">
        <v>119.17</v>
      </c>
      <c r="C35" s="968">
        <v>285.61</v>
      </c>
      <c r="D35" s="968">
        <v>-8.8699999999999992</v>
      </c>
      <c r="E35" s="464">
        <f t="shared" si="15"/>
        <v>395.91</v>
      </c>
      <c r="F35" s="969">
        <v>6717.59</v>
      </c>
      <c r="G35" s="969">
        <v>1142.17</v>
      </c>
      <c r="H35" s="969">
        <v>2169.04</v>
      </c>
      <c r="I35" s="464">
        <f t="shared" si="11"/>
        <v>10028.799999999999</v>
      </c>
    </row>
    <row r="36" spans="1:9" s="62" customFormat="1" ht="9" customHeight="1">
      <c r="A36" s="355" t="s">
        <v>463</v>
      </c>
      <c r="B36" s="808">
        <f>B37+B38</f>
        <v>357.8</v>
      </c>
      <c r="C36" s="808">
        <f>C37+C38</f>
        <v>595.65</v>
      </c>
      <c r="D36" s="808">
        <f>D37+D38</f>
        <v>143.41</v>
      </c>
      <c r="E36" s="808">
        <f t="shared" si="15"/>
        <v>1096.8600000000001</v>
      </c>
      <c r="F36" s="990">
        <v>9027.07</v>
      </c>
      <c r="G36" s="990">
        <v>1326.11</v>
      </c>
      <c r="H36" s="990">
        <v>2147.9499999999998</v>
      </c>
      <c r="I36" s="237">
        <f t="shared" si="11"/>
        <v>12501.130000000001</v>
      </c>
    </row>
    <row r="37" spans="1:9" s="62" customFormat="1" ht="9" customHeight="1">
      <c r="A37" s="967" t="s">
        <v>1993</v>
      </c>
      <c r="B37" s="968">
        <v>195.69</v>
      </c>
      <c r="C37" s="968">
        <v>330.5</v>
      </c>
      <c r="D37" s="968">
        <v>80.73</v>
      </c>
      <c r="E37" s="464">
        <f t="shared" si="15"/>
        <v>606.92000000000007</v>
      </c>
      <c r="F37" s="969">
        <v>8996.68</v>
      </c>
      <c r="G37" s="969">
        <v>1401.28</v>
      </c>
      <c r="H37" s="969">
        <v>2287.89</v>
      </c>
      <c r="I37" s="464">
        <f t="shared" si="11"/>
        <v>12685.85</v>
      </c>
    </row>
    <row r="38" spans="1:9" s="62" customFormat="1" ht="9" customHeight="1">
      <c r="A38" s="355" t="s">
        <v>1994</v>
      </c>
      <c r="B38" s="1004">
        <v>162.11000000000001</v>
      </c>
      <c r="C38" s="1004">
        <v>265.14999999999998</v>
      </c>
      <c r="D38" s="1004">
        <v>62.68</v>
      </c>
      <c r="E38" s="808">
        <f t="shared" si="15"/>
        <v>489.94</v>
      </c>
      <c r="F38" s="990">
        <v>9027.07</v>
      </c>
      <c r="G38" s="990">
        <v>1326.11</v>
      </c>
      <c r="H38" s="990">
        <v>2147.9499999999998</v>
      </c>
      <c r="I38" s="237">
        <f t="shared" si="11"/>
        <v>12501.130000000001</v>
      </c>
    </row>
    <row r="39" spans="1:9" s="62" customFormat="1" ht="9" customHeight="1">
      <c r="A39" s="1006" t="s">
        <v>1954</v>
      </c>
      <c r="B39" s="460">
        <f>B40+B43</f>
        <v>505.55</v>
      </c>
      <c r="C39" s="460">
        <f>C40+C43</f>
        <v>1154.4499999999998</v>
      </c>
      <c r="D39" s="460">
        <f>D40+D43</f>
        <v>343.53</v>
      </c>
      <c r="E39" s="460">
        <f t="shared" si="15"/>
        <v>2003.5299999999997</v>
      </c>
      <c r="F39" s="1049">
        <f>F45</f>
        <v>9549.39</v>
      </c>
      <c r="G39" s="1049">
        <f>G45</f>
        <v>1585.21</v>
      </c>
      <c r="H39" s="1049">
        <f>H45</f>
        <v>2311.54</v>
      </c>
      <c r="I39" s="465">
        <f t="shared" si="11"/>
        <v>13446.14</v>
      </c>
    </row>
    <row r="40" spans="1:9" s="62" customFormat="1" ht="9" customHeight="1">
      <c r="A40" s="355" t="s">
        <v>462</v>
      </c>
      <c r="B40" s="1004">
        <f>B41+B42</f>
        <v>338.87</v>
      </c>
      <c r="C40" s="1004">
        <f>C41+C42</f>
        <v>549.08999999999992</v>
      </c>
      <c r="D40" s="1004">
        <f>D41+D42</f>
        <v>250.57</v>
      </c>
      <c r="E40" s="808">
        <f t="shared" si="15"/>
        <v>1138.53</v>
      </c>
      <c r="F40" s="990">
        <v>9276.15</v>
      </c>
      <c r="G40" s="990">
        <v>1325.46</v>
      </c>
      <c r="H40" s="990">
        <v>2310.5300000000002</v>
      </c>
      <c r="I40" s="237">
        <f t="shared" si="11"/>
        <v>12912.140000000001</v>
      </c>
    </row>
    <row r="41" spans="1:9" s="62" customFormat="1" ht="9" customHeight="1">
      <c r="A41" s="967" t="s">
        <v>1995</v>
      </c>
      <c r="B41" s="968">
        <v>224.91</v>
      </c>
      <c r="C41" s="968">
        <v>244.38</v>
      </c>
      <c r="D41" s="968">
        <v>128.79</v>
      </c>
      <c r="E41" s="464">
        <f t="shared" si="15"/>
        <v>598.07999999999993</v>
      </c>
      <c r="F41" s="969">
        <v>9211.5499999999993</v>
      </c>
      <c r="G41" s="969">
        <v>1257.28</v>
      </c>
      <c r="H41" s="969">
        <v>2141.58</v>
      </c>
      <c r="I41" s="464">
        <f t="shared" si="11"/>
        <v>12610.41</v>
      </c>
    </row>
    <row r="42" spans="1:9" s="62" customFormat="1" ht="9" customHeight="1">
      <c r="A42" s="355" t="s">
        <v>2213</v>
      </c>
      <c r="B42" s="1004">
        <v>113.96</v>
      </c>
      <c r="C42" s="1004">
        <v>304.70999999999998</v>
      </c>
      <c r="D42" s="1004">
        <v>121.78</v>
      </c>
      <c r="E42" s="808">
        <f t="shared" si="15"/>
        <v>540.44999999999993</v>
      </c>
      <c r="F42" s="990">
        <v>9276.15</v>
      </c>
      <c r="G42" s="990">
        <v>1325.46</v>
      </c>
      <c r="H42" s="990">
        <v>2310.5300000000002</v>
      </c>
      <c r="I42" s="237">
        <f t="shared" si="11"/>
        <v>12912.140000000001</v>
      </c>
    </row>
    <row r="43" spans="1:9" s="62" customFormat="1" ht="9" customHeight="1">
      <c r="A43" s="967" t="s">
        <v>463</v>
      </c>
      <c r="B43" s="968">
        <f>B44+B45</f>
        <v>166.68</v>
      </c>
      <c r="C43" s="968">
        <f>C44+C45</f>
        <v>605.36</v>
      </c>
      <c r="D43" s="968">
        <f>D44+D45</f>
        <v>92.960000000000008</v>
      </c>
      <c r="E43" s="464">
        <f t="shared" si="15"/>
        <v>865</v>
      </c>
      <c r="F43" s="969">
        <f>F45</f>
        <v>9549.39</v>
      </c>
      <c r="G43" s="969">
        <f>G45</f>
        <v>1585.21</v>
      </c>
      <c r="H43" s="969">
        <f>H45</f>
        <v>2311.54</v>
      </c>
      <c r="I43" s="464">
        <f t="shared" si="11"/>
        <v>13446.14</v>
      </c>
    </row>
    <row r="44" spans="1:9" s="62" customFormat="1" ht="9" customHeight="1">
      <c r="A44" s="355" t="s">
        <v>1993</v>
      </c>
      <c r="B44" s="1004">
        <v>90.29</v>
      </c>
      <c r="C44" s="1004">
        <v>299.86</v>
      </c>
      <c r="D44" s="1004">
        <v>20.53</v>
      </c>
      <c r="E44" s="808">
        <f t="shared" si="15"/>
        <v>410.68000000000006</v>
      </c>
      <c r="F44" s="990">
        <v>9674.09</v>
      </c>
      <c r="G44" s="990">
        <v>1567.33</v>
      </c>
      <c r="H44" s="990">
        <v>2298.65</v>
      </c>
      <c r="I44" s="237">
        <f t="shared" si="11"/>
        <v>13540.07</v>
      </c>
    </row>
    <row r="45" spans="1:9" s="62" customFormat="1" ht="9" customHeight="1">
      <c r="A45" s="967" t="s">
        <v>1994</v>
      </c>
      <c r="B45" s="968">
        <v>76.39</v>
      </c>
      <c r="C45" s="968">
        <v>305.5</v>
      </c>
      <c r="D45" s="968">
        <v>72.430000000000007</v>
      </c>
      <c r="E45" s="464">
        <f t="shared" si="15"/>
        <v>454.32</v>
      </c>
      <c r="F45" s="969">
        <v>9549.39</v>
      </c>
      <c r="G45" s="969">
        <v>1585.21</v>
      </c>
      <c r="H45" s="969">
        <v>2311.54</v>
      </c>
      <c r="I45" s="464">
        <f t="shared" si="11"/>
        <v>13446.14</v>
      </c>
    </row>
    <row r="46" spans="1:9" s="62" customFormat="1" ht="9" customHeight="1">
      <c r="A46" s="354" t="s">
        <v>2046</v>
      </c>
      <c r="B46" s="1242">
        <f>B47+B50</f>
        <v>1006.74</v>
      </c>
      <c r="C46" s="1242">
        <f>C47+C50</f>
        <v>1253</v>
      </c>
      <c r="D46" s="1242">
        <f>D47+D50</f>
        <v>195.07</v>
      </c>
      <c r="E46" s="1242">
        <f t="shared" ref="E46" si="16">SUM(B46:D46)</f>
        <v>2454.81</v>
      </c>
      <c r="F46" s="1241">
        <f>F52</f>
        <v>9527.51</v>
      </c>
      <c r="G46" s="1241">
        <f>G52</f>
        <v>2699.93</v>
      </c>
      <c r="H46" s="1241">
        <f>H52</f>
        <v>2239.13</v>
      </c>
      <c r="I46" s="1243">
        <f t="shared" ref="I46" si="17">SUM(F46:H46)</f>
        <v>14466.57</v>
      </c>
    </row>
    <row r="47" spans="1:9" s="62" customFormat="1" ht="9" customHeight="1">
      <c r="A47" s="967" t="s">
        <v>462</v>
      </c>
      <c r="B47" s="968">
        <f>B48+B49</f>
        <v>744.7</v>
      </c>
      <c r="C47" s="968">
        <f>C48+C49</f>
        <v>610.03</v>
      </c>
      <c r="D47" s="968">
        <f>D48+D49</f>
        <v>112.99000000000001</v>
      </c>
      <c r="E47" s="464">
        <f t="shared" ref="E47" si="18">SUM(B47:D47)</f>
        <v>1467.72</v>
      </c>
      <c r="F47" s="969">
        <v>10735.38</v>
      </c>
      <c r="G47" s="969">
        <v>1640.2</v>
      </c>
      <c r="H47" s="969">
        <v>2163.7399999999998</v>
      </c>
      <c r="I47" s="464">
        <f>SUM(F47:H47)</f>
        <v>14539.32</v>
      </c>
    </row>
    <row r="48" spans="1:9" s="62" customFormat="1" ht="9" customHeight="1">
      <c r="A48" s="355" t="s">
        <v>1995</v>
      </c>
      <c r="B48" s="1004">
        <v>258.52</v>
      </c>
      <c r="C48" s="1004">
        <v>294.55</v>
      </c>
      <c r="D48" s="1004">
        <v>60.92</v>
      </c>
      <c r="E48" s="808">
        <f t="shared" ref="E48" si="19">SUM(B48:D48)</f>
        <v>613.9899999999999</v>
      </c>
      <c r="F48" s="990">
        <v>9846.48</v>
      </c>
      <c r="G48" s="990">
        <v>1517.16</v>
      </c>
      <c r="H48" s="990">
        <v>2430.59</v>
      </c>
      <c r="I48" s="237">
        <f>SUM(F48:H48)</f>
        <v>13794.23</v>
      </c>
    </row>
    <row r="49" spans="1:9" s="62" customFormat="1" ht="9" customHeight="1">
      <c r="A49" s="967" t="s">
        <v>2213</v>
      </c>
      <c r="B49" s="968">
        <v>486.18</v>
      </c>
      <c r="C49" s="968">
        <v>315.48</v>
      </c>
      <c r="D49" s="968">
        <v>52.07</v>
      </c>
      <c r="E49" s="968">
        <f t="shared" ref="E49" si="20">SUM(B49:D49)</f>
        <v>853.73000000000013</v>
      </c>
      <c r="F49" s="969">
        <v>10735.38</v>
      </c>
      <c r="G49" s="969">
        <v>1640.2</v>
      </c>
      <c r="H49" s="969">
        <v>2163.7399999999998</v>
      </c>
      <c r="I49" s="464">
        <f>SUM(F49:H49)</f>
        <v>14539.32</v>
      </c>
    </row>
    <row r="50" spans="1:9" s="594" customFormat="1" ht="9" customHeight="1">
      <c r="A50" s="355" t="s">
        <v>463</v>
      </c>
      <c r="B50" s="1004">
        <f>B51+B52</f>
        <v>262.03999999999996</v>
      </c>
      <c r="C50" s="1004">
        <f>C51+C52</f>
        <v>642.97</v>
      </c>
      <c r="D50" s="1004">
        <f>D51+D52</f>
        <v>82.08</v>
      </c>
      <c r="E50" s="237">
        <f t="shared" ref="E50" si="21">SUM(B50:D50)</f>
        <v>987.09</v>
      </c>
      <c r="F50" s="990">
        <f>F52</f>
        <v>9527.51</v>
      </c>
      <c r="G50" s="990">
        <f>G52</f>
        <v>2699.93</v>
      </c>
      <c r="H50" s="990">
        <f>H52</f>
        <v>2239.13</v>
      </c>
      <c r="I50" s="237">
        <f t="shared" ref="I50" si="22">SUM(F50:H50)</f>
        <v>14466.57</v>
      </c>
    </row>
    <row r="51" spans="1:9" s="62" customFormat="1" ht="9" customHeight="1">
      <c r="A51" s="967" t="s">
        <v>1993</v>
      </c>
      <c r="B51" s="968">
        <v>140.35</v>
      </c>
      <c r="C51" s="968">
        <v>319.3</v>
      </c>
      <c r="D51" s="968">
        <v>36.19</v>
      </c>
      <c r="E51" s="463">
        <f t="shared" ref="E51:E63" si="23">SUM(B51:D51)</f>
        <v>495.84</v>
      </c>
      <c r="F51" s="969">
        <v>9528.91</v>
      </c>
      <c r="G51" s="969">
        <v>2705.15</v>
      </c>
      <c r="H51" s="969">
        <v>2144.1</v>
      </c>
      <c r="I51" s="463">
        <f>SUM(F51:H51)</f>
        <v>14378.16</v>
      </c>
    </row>
    <row r="52" spans="1:9" s="62" customFormat="1" ht="9" customHeight="1">
      <c r="A52" s="355" t="s">
        <v>1994</v>
      </c>
      <c r="B52" s="1004">
        <v>121.69</v>
      </c>
      <c r="C52" s="1004">
        <v>323.67</v>
      </c>
      <c r="D52" s="1004">
        <v>45.89</v>
      </c>
      <c r="E52" s="1004">
        <f t="shared" si="23"/>
        <v>491.25</v>
      </c>
      <c r="F52" s="990">
        <v>9527.51</v>
      </c>
      <c r="G52" s="990">
        <v>2699.93</v>
      </c>
      <c r="H52" s="990">
        <v>2239.13</v>
      </c>
      <c r="I52" s="808">
        <f>SUM(F52:H52)</f>
        <v>14466.57</v>
      </c>
    </row>
    <row r="53" spans="1:9" s="62" customFormat="1" ht="9" customHeight="1">
      <c r="A53" s="459" t="s">
        <v>2268</v>
      </c>
      <c r="B53" s="1495">
        <f>B54+B57</f>
        <v>614.76</v>
      </c>
      <c r="C53" s="1495">
        <f>C54+C57</f>
        <v>1253.44</v>
      </c>
      <c r="D53" s="1495">
        <f>D54+D57</f>
        <v>712.24</v>
      </c>
      <c r="E53" s="1495">
        <f t="shared" ref="E53" si="24">SUM(B53:D53)</f>
        <v>2580.44</v>
      </c>
      <c r="F53" s="1049">
        <f>F59</f>
        <v>9895.7800000000007</v>
      </c>
      <c r="G53" s="1049">
        <f>G59</f>
        <v>3080.35</v>
      </c>
      <c r="H53" s="1049">
        <f>H59</f>
        <v>2815.21</v>
      </c>
      <c r="I53" s="1496">
        <f t="shared" ref="I53" si="25">SUM(F53:H53)</f>
        <v>15791.34</v>
      </c>
    </row>
    <row r="54" spans="1:9" s="594" customFormat="1" ht="9" customHeight="1">
      <c r="A54" s="355" t="s">
        <v>462</v>
      </c>
      <c r="B54" s="1004">
        <f>B55+B56</f>
        <v>276.86</v>
      </c>
      <c r="C54" s="1004">
        <f>C55+C56</f>
        <v>636.45000000000005</v>
      </c>
      <c r="D54" s="1004">
        <f>D55+D56</f>
        <v>251.16000000000003</v>
      </c>
      <c r="E54" s="237">
        <f t="shared" ref="E54" si="26">SUM(B54:D54)</f>
        <v>1164.47</v>
      </c>
      <c r="F54" s="990">
        <v>9601.6299999999992</v>
      </c>
      <c r="G54" s="990">
        <v>2697.3</v>
      </c>
      <c r="H54" s="990">
        <v>2258.29</v>
      </c>
      <c r="I54" s="237">
        <v>14557.220000000001</v>
      </c>
    </row>
    <row r="55" spans="1:9" s="594" customFormat="1" ht="9" customHeight="1">
      <c r="A55" s="967" t="s">
        <v>1995</v>
      </c>
      <c r="B55" s="968">
        <v>154.41</v>
      </c>
      <c r="C55" s="968">
        <v>291.88</v>
      </c>
      <c r="D55" s="968">
        <v>60.86</v>
      </c>
      <c r="E55" s="968">
        <f t="shared" si="23"/>
        <v>507.15</v>
      </c>
      <c r="F55" s="969">
        <v>9696.59</v>
      </c>
      <c r="G55" s="969">
        <v>2787.24</v>
      </c>
      <c r="H55" s="969">
        <v>2263.13</v>
      </c>
      <c r="I55" s="969">
        <f>SUM(F55:H55)</f>
        <v>14746.96</v>
      </c>
    </row>
    <row r="56" spans="1:9" s="594" customFormat="1" ht="9" customHeight="1">
      <c r="A56" s="355" t="s">
        <v>2213</v>
      </c>
      <c r="B56" s="1004">
        <v>122.45</v>
      </c>
      <c r="C56" s="1004">
        <v>344.57</v>
      </c>
      <c r="D56" s="1004">
        <v>190.3</v>
      </c>
      <c r="E56" s="1004">
        <f t="shared" si="23"/>
        <v>657.31999999999994</v>
      </c>
      <c r="F56" s="990">
        <v>9601.6299999999992</v>
      </c>
      <c r="G56" s="990">
        <v>2697.3</v>
      </c>
      <c r="H56" s="990">
        <v>2258.29</v>
      </c>
      <c r="I56" s="990">
        <f>SUM(F56:H56)</f>
        <v>14557.220000000001</v>
      </c>
    </row>
    <row r="57" spans="1:9" s="594" customFormat="1" ht="9" customHeight="1">
      <c r="A57" s="967" t="s">
        <v>463</v>
      </c>
      <c r="B57" s="968">
        <f>B58+B59</f>
        <v>337.9</v>
      </c>
      <c r="C57" s="968">
        <f>C58+C59</f>
        <v>616.99</v>
      </c>
      <c r="D57" s="968">
        <f>D58+D59</f>
        <v>461.08000000000004</v>
      </c>
      <c r="E57" s="464">
        <f t="shared" si="23"/>
        <v>1415.97</v>
      </c>
      <c r="F57" s="969">
        <v>9895.7800000000007</v>
      </c>
      <c r="G57" s="969">
        <v>3080.35</v>
      </c>
      <c r="H57" s="969">
        <v>2815.21</v>
      </c>
      <c r="I57" s="969">
        <v>15791.34</v>
      </c>
    </row>
    <row r="58" spans="1:9" s="594" customFormat="1" ht="9" customHeight="1">
      <c r="A58" s="355" t="s">
        <v>1993</v>
      </c>
      <c r="B58" s="990">
        <v>111.22</v>
      </c>
      <c r="C58" s="990">
        <v>324.95999999999998</v>
      </c>
      <c r="D58" s="990">
        <v>67.599999999999994</v>
      </c>
      <c r="E58" s="990">
        <f t="shared" si="23"/>
        <v>503.78</v>
      </c>
      <c r="F58" s="990">
        <v>9470.5</v>
      </c>
      <c r="G58" s="990">
        <v>2885.89</v>
      </c>
      <c r="H58" s="990">
        <v>2283.5</v>
      </c>
      <c r="I58" s="990">
        <f>SUM(F58:H58)</f>
        <v>14639.89</v>
      </c>
    </row>
    <row r="59" spans="1:9" s="594" customFormat="1" ht="9" customHeight="1">
      <c r="A59" s="967" t="s">
        <v>1994</v>
      </c>
      <c r="B59" s="969">
        <v>226.68</v>
      </c>
      <c r="C59" s="969">
        <v>292.02999999999997</v>
      </c>
      <c r="D59" s="969">
        <v>393.48</v>
      </c>
      <c r="E59" s="969">
        <f t="shared" si="23"/>
        <v>912.19</v>
      </c>
      <c r="F59" s="969">
        <v>9895.7800000000007</v>
      </c>
      <c r="G59" s="969">
        <v>3080.35</v>
      </c>
      <c r="H59" s="969">
        <v>2815.21</v>
      </c>
      <c r="I59" s="969">
        <f>SUM(F59:H59)</f>
        <v>15791.34</v>
      </c>
    </row>
    <row r="60" spans="1:9" s="594" customFormat="1" ht="9" customHeight="1">
      <c r="A60" s="1574" t="s">
        <v>2524</v>
      </c>
      <c r="B60" s="990"/>
      <c r="C60" s="990"/>
      <c r="D60" s="990"/>
      <c r="E60" s="990"/>
      <c r="F60" s="990"/>
      <c r="G60" s="990"/>
      <c r="H60" s="990"/>
      <c r="I60" s="990"/>
    </row>
    <row r="61" spans="1:9" s="594" customFormat="1" ht="9" customHeight="1">
      <c r="A61" s="967" t="s">
        <v>462</v>
      </c>
      <c r="B61" s="968">
        <f>B62+B63</f>
        <v>786.23</v>
      </c>
      <c r="C61" s="968">
        <f>C62+C63</f>
        <v>692.11999999999989</v>
      </c>
      <c r="D61" s="968">
        <f>D62+D63</f>
        <v>718.98</v>
      </c>
      <c r="E61" s="464">
        <f t="shared" ref="E61" si="27">SUM(B61:D61)</f>
        <v>2197.33</v>
      </c>
      <c r="F61" s="969">
        <v>10865.73</v>
      </c>
      <c r="G61" s="969">
        <v>2721.98</v>
      </c>
      <c r="H61" s="969">
        <v>3473.92</v>
      </c>
      <c r="I61" s="969">
        <v>17061.629999999997</v>
      </c>
    </row>
    <row r="62" spans="1:9" s="594" customFormat="1" ht="9" customHeight="1">
      <c r="A62" s="355" t="s">
        <v>1995</v>
      </c>
      <c r="B62" s="990">
        <v>267.47000000000003</v>
      </c>
      <c r="C62" s="990">
        <v>311.27999999999997</v>
      </c>
      <c r="D62" s="990">
        <v>270.87</v>
      </c>
      <c r="E62" s="990">
        <f t="shared" si="23"/>
        <v>849.62</v>
      </c>
      <c r="F62" s="990">
        <v>10364.040000000001</v>
      </c>
      <c r="G62" s="990">
        <v>3076.04</v>
      </c>
      <c r="H62" s="990">
        <v>3202.41</v>
      </c>
      <c r="I62" s="990">
        <f>SUM(F62:H62)</f>
        <v>16642.490000000002</v>
      </c>
    </row>
    <row r="63" spans="1:9" s="594" customFormat="1" ht="9" customHeight="1" thickBot="1">
      <c r="A63" s="1494" t="s">
        <v>2213</v>
      </c>
      <c r="B63" s="1403">
        <v>518.76</v>
      </c>
      <c r="C63" s="1403">
        <v>380.84</v>
      </c>
      <c r="D63" s="1403">
        <v>448.11</v>
      </c>
      <c r="E63" s="1403">
        <f t="shared" si="23"/>
        <v>1347.71</v>
      </c>
      <c r="F63" s="1403">
        <v>10865.73</v>
      </c>
      <c r="G63" s="1403">
        <v>2721.98</v>
      </c>
      <c r="H63" s="1403">
        <v>3473.92</v>
      </c>
      <c r="I63" s="1403">
        <f>SUM(F63:H63)</f>
        <v>17061.629999999997</v>
      </c>
    </row>
    <row r="64" spans="1:9" s="335" customFormat="1" ht="10.5" customHeight="1">
      <c r="A64" s="354" t="s">
        <v>872</v>
      </c>
      <c r="B64" s="1990" t="s">
        <v>2231</v>
      </c>
      <c r="C64" s="1990"/>
      <c r="D64" s="1990"/>
      <c r="E64" s="1990"/>
      <c r="F64" s="1990"/>
      <c r="G64" s="1990"/>
      <c r="H64" s="1990"/>
      <c r="I64" s="1990"/>
    </row>
    <row r="65" spans="1:9" s="226" customFormat="1" ht="11.25" customHeight="1">
      <c r="A65" s="23"/>
      <c r="B65" s="1991" t="s">
        <v>2232</v>
      </c>
      <c r="C65" s="1991"/>
      <c r="D65" s="1991"/>
      <c r="E65" s="1991"/>
      <c r="F65" s="1991"/>
      <c r="G65" s="1991"/>
      <c r="H65" s="1991"/>
      <c r="I65" s="1991"/>
    </row>
    <row r="66" spans="1:9" ht="8.25" customHeight="1">
      <c r="A66" s="1"/>
      <c r="B66" s="93"/>
      <c r="C66" s="353"/>
      <c r="D66" s="18"/>
      <c r="E66" s="1093"/>
      <c r="F66" s="353"/>
      <c r="G66" s="353"/>
      <c r="H66" s="353"/>
      <c r="I66" s="353"/>
    </row>
    <row r="67" spans="1:9" ht="8.25" customHeight="1">
      <c r="A67" s="846" t="s">
        <v>1331</v>
      </c>
      <c r="B67" s="1989" t="s">
        <v>2123</v>
      </c>
      <c r="C67" s="1989"/>
      <c r="D67" s="1989"/>
      <c r="E67" s="1989"/>
      <c r="F67" s="44"/>
      <c r="G67" s="353"/>
      <c r="H67" s="353"/>
      <c r="I67" s="353"/>
    </row>
    <row r="68" spans="1:9" ht="10.5" customHeight="1"/>
    <row r="69" spans="1:9" ht="11.25" customHeight="1">
      <c r="E69" s="1005"/>
    </row>
    <row r="70" spans="1:9" ht="11.25" customHeight="1">
      <c r="E70" s="1005"/>
    </row>
    <row r="71" spans="1:9" ht="12" customHeight="1"/>
    <row r="72" spans="1:9" ht="11.25" customHeight="1"/>
    <row r="73" spans="1:9" ht="9.75" customHeight="1"/>
    <row r="74" spans="1:9" ht="11.25" customHeight="1"/>
    <row r="75" spans="1:9" ht="10.5" customHeight="1"/>
  </sheetData>
  <mergeCells count="8">
    <mergeCell ref="B67:E67"/>
    <mergeCell ref="B64:I64"/>
    <mergeCell ref="B65:I65"/>
    <mergeCell ref="A1:G2"/>
    <mergeCell ref="H3:I3"/>
    <mergeCell ref="A4:A5"/>
    <mergeCell ref="B4:E4"/>
    <mergeCell ref="F4:I4"/>
  </mergeCells>
  <phoneticPr fontId="57" type="noConversion"/>
  <pageMargins left="0.59055118110236204" right="0.511811023622047" top="0.39370078740157499" bottom="0.511811023622047" header="0" footer="0.39370078740157499"/>
  <pageSetup paperSize="448" firstPageNumber="31" orientation="portrait" useFirstPageNumber="1" r:id="rId1"/>
  <headerFooter>
    <oddFooter>&amp;C&amp;"Times New Roman,Regular"&amp;8&amp;P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15"/>
  <dimension ref="A1:AP58"/>
  <sheetViews>
    <sheetView zoomScale="130" zoomScaleNormal="130" workbookViewId="0">
      <pane xSplit="1" ySplit="6" topLeftCell="B42" activePane="bottomRight" state="frozen"/>
      <selection pane="topRight" activeCell="B1" sqref="B1"/>
      <selection pane="bottomLeft" activeCell="A7" sqref="A7"/>
      <selection pane="bottomRight" activeCell="L56" sqref="L56"/>
    </sheetView>
  </sheetViews>
  <sheetFormatPr defaultColWidth="9.140625" defaultRowHeight="9"/>
  <cols>
    <col min="1" max="1" width="9.85546875" style="93" customWidth="1"/>
    <col min="2" max="2" width="5.28515625" style="44" customWidth="1"/>
    <col min="3" max="3" width="6.85546875" style="44" customWidth="1"/>
    <col min="4" max="4" width="4.85546875" style="44" customWidth="1"/>
    <col min="5" max="5" width="5.5703125" style="44" customWidth="1"/>
    <col min="6" max="6" width="5.42578125" style="44" customWidth="1"/>
    <col min="7" max="7" width="8.85546875" style="44" customWidth="1"/>
    <col min="8" max="8" width="6.85546875" style="44" customWidth="1"/>
    <col min="9" max="9" width="5.42578125" style="44" customWidth="1"/>
    <col min="10" max="10" width="5.5703125" style="44" customWidth="1"/>
    <col min="11" max="12" width="6.42578125" style="44" customWidth="1"/>
    <col min="13" max="13" width="8.28515625" style="44" customWidth="1"/>
    <col min="14" max="14" width="8.85546875" style="44" customWidth="1"/>
    <col min="15" max="15" width="8.5703125" style="44" customWidth="1"/>
    <col min="16" max="16" width="9" style="44" customWidth="1"/>
    <col min="17" max="17" width="8.140625" style="44" customWidth="1"/>
    <col min="18" max="18" width="7.7109375" style="44" customWidth="1"/>
    <col min="19" max="19" width="7.42578125" style="44" customWidth="1"/>
    <col min="20" max="20" width="7.85546875" style="44" customWidth="1"/>
    <col min="21" max="21" width="9.5703125" style="93" customWidth="1"/>
    <col min="22" max="22" width="9.7109375" style="93" customWidth="1"/>
    <col min="23" max="24" width="6" style="44" customWidth="1"/>
    <col min="25" max="25" width="7.5703125" style="44" customWidth="1"/>
    <col min="26" max="26" width="6.85546875" style="44" customWidth="1"/>
    <col min="27" max="27" width="6.7109375" style="44" customWidth="1"/>
    <col min="28" max="28" width="6.85546875" style="44" customWidth="1"/>
    <col min="29" max="29" width="6.5703125" style="44" customWidth="1"/>
    <col min="30" max="30" width="7.28515625" style="44" customWidth="1"/>
    <col min="31" max="31" width="8.140625" style="44" customWidth="1"/>
    <col min="32" max="32" width="6.85546875" style="44" customWidth="1"/>
    <col min="33" max="33" width="6.42578125" style="44" customWidth="1"/>
    <col min="34" max="34" width="7.7109375" style="44" customWidth="1"/>
    <col min="35" max="35" width="7" style="44" customWidth="1"/>
    <col min="36" max="36" width="7.140625" style="44" customWidth="1"/>
    <col min="37" max="37" width="7.7109375" style="44" customWidth="1"/>
    <col min="38" max="38" width="7.85546875" style="44" customWidth="1"/>
    <col min="39" max="39" width="9.7109375" style="44" customWidth="1"/>
    <col min="40" max="40" width="7.7109375" style="44" customWidth="1"/>
    <col min="41" max="41" width="8.28515625" style="44" customWidth="1"/>
    <col min="42" max="42" width="9.7109375" style="93" customWidth="1"/>
    <col min="43" max="16384" width="9.140625" style="44"/>
  </cols>
  <sheetData>
    <row r="1" spans="1:42" s="31" customFormat="1" ht="15.75">
      <c r="A1" s="2006" t="s">
        <v>911</v>
      </c>
      <c r="B1" s="2006"/>
      <c r="C1" s="2006"/>
      <c r="D1" s="2006"/>
      <c r="E1" s="83"/>
      <c r="F1" s="83"/>
      <c r="J1" s="2012" t="s">
        <v>154</v>
      </c>
      <c r="K1" s="2012"/>
      <c r="L1" s="2012"/>
      <c r="M1" s="2011" t="s">
        <v>153</v>
      </c>
      <c r="N1" s="2011"/>
      <c r="S1" s="2012" t="s">
        <v>178</v>
      </c>
      <c r="T1" s="2012"/>
      <c r="U1" s="2012"/>
      <c r="AE1" s="2012" t="s">
        <v>154</v>
      </c>
      <c r="AF1" s="2012"/>
      <c r="AG1" s="2011" t="s">
        <v>153</v>
      </c>
      <c r="AH1" s="2011"/>
      <c r="AI1" s="2011"/>
      <c r="AN1" s="2012" t="s">
        <v>276</v>
      </c>
      <c r="AO1" s="2012"/>
      <c r="AP1" s="2012"/>
    </row>
    <row r="2" spans="1:42" s="29" customFormat="1" ht="11.25" customHeight="1">
      <c r="A2" s="84"/>
      <c r="B2" s="84"/>
      <c r="C2" s="84"/>
      <c r="D2" s="84"/>
      <c r="E2" s="85"/>
      <c r="F2" s="85"/>
      <c r="G2" s="86"/>
      <c r="H2" s="86"/>
      <c r="I2" s="86"/>
      <c r="M2" s="86"/>
      <c r="S2" s="84"/>
      <c r="T2" s="2007" t="s">
        <v>31</v>
      </c>
      <c r="U2" s="2007"/>
      <c r="AO2" s="2007" t="s">
        <v>31</v>
      </c>
      <c r="AP2" s="2007"/>
    </row>
    <row r="3" spans="1:42" s="161" customFormat="1" ht="13.5" customHeight="1">
      <c r="A3" s="2015" t="s">
        <v>28</v>
      </c>
      <c r="B3" s="2008" t="s">
        <v>213</v>
      </c>
      <c r="C3" s="2009"/>
      <c r="D3" s="2009"/>
      <c r="E3" s="2009"/>
      <c r="F3" s="2009"/>
      <c r="G3" s="2009"/>
      <c r="H3" s="2009"/>
      <c r="I3" s="2009"/>
      <c r="J3" s="2009"/>
      <c r="K3" s="2009"/>
      <c r="L3" s="2010"/>
      <c r="M3" s="2008" t="s">
        <v>214</v>
      </c>
      <c r="N3" s="2009"/>
      <c r="O3" s="2009"/>
      <c r="P3" s="2009"/>
      <c r="Q3" s="2009"/>
      <c r="R3" s="2009"/>
      <c r="S3" s="2009"/>
      <c r="T3" s="2010"/>
      <c r="U3" s="2015" t="s">
        <v>28</v>
      </c>
      <c r="V3" s="2021" t="s">
        <v>28</v>
      </c>
      <c r="W3" s="2008" t="s">
        <v>215</v>
      </c>
      <c r="X3" s="2009"/>
      <c r="Y3" s="2009"/>
      <c r="Z3" s="2009"/>
      <c r="AA3" s="2009"/>
      <c r="AB3" s="2009"/>
      <c r="AC3" s="2009"/>
      <c r="AD3" s="2009"/>
      <c r="AE3" s="2009"/>
      <c r="AF3" s="2009"/>
      <c r="AG3" s="2009"/>
      <c r="AH3" s="2009" t="s">
        <v>216</v>
      </c>
      <c r="AI3" s="2009"/>
      <c r="AJ3" s="2009"/>
      <c r="AK3" s="2009"/>
      <c r="AL3" s="2009"/>
      <c r="AM3" s="2009"/>
      <c r="AN3" s="2010"/>
      <c r="AO3" s="2018" t="s">
        <v>1485</v>
      </c>
      <c r="AP3" s="2015" t="s">
        <v>739</v>
      </c>
    </row>
    <row r="4" spans="1:42" s="110" customFormat="1" ht="11.25" customHeight="1">
      <c r="A4" s="2016"/>
      <c r="B4" s="2000" t="s">
        <v>1504</v>
      </c>
      <c r="C4" s="2001" t="s">
        <v>129</v>
      </c>
      <c r="D4" s="2002" t="s">
        <v>130</v>
      </c>
      <c r="E4" s="2002" t="s">
        <v>1185</v>
      </c>
      <c r="F4" s="2002" t="s">
        <v>131</v>
      </c>
      <c r="G4" s="2013" t="s">
        <v>1186</v>
      </c>
      <c r="H4" s="2001" t="s">
        <v>2167</v>
      </c>
      <c r="I4" s="2002" t="s">
        <v>1187</v>
      </c>
      <c r="J4" s="2002" t="s">
        <v>1188</v>
      </c>
      <c r="K4" s="2002" t="s">
        <v>930</v>
      </c>
      <c r="L4" s="2003" t="s">
        <v>274</v>
      </c>
      <c r="M4" s="1999" t="s">
        <v>749</v>
      </c>
      <c r="N4" s="1999"/>
      <c r="O4" s="1999"/>
      <c r="P4" s="1999" t="s">
        <v>270</v>
      </c>
      <c r="Q4" s="1999"/>
      <c r="R4" s="1999"/>
      <c r="S4" s="1999"/>
      <c r="T4" s="1999"/>
      <c r="U4" s="2016"/>
      <c r="V4" s="2016"/>
      <c r="W4" s="2022" t="s">
        <v>275</v>
      </c>
      <c r="X4" s="2023"/>
      <c r="Y4" s="2023"/>
      <c r="Z4" s="2023"/>
      <c r="AA4" s="2023"/>
      <c r="AB4" s="2023"/>
      <c r="AC4" s="2023"/>
      <c r="AD4" s="2023"/>
      <c r="AE4" s="2023"/>
      <c r="AF4" s="2023"/>
      <c r="AG4" s="2023"/>
      <c r="AH4" s="2023"/>
      <c r="AI4" s="2023"/>
      <c r="AJ4" s="2023"/>
      <c r="AK4" s="2023"/>
      <c r="AL4" s="2023"/>
      <c r="AM4" s="2023"/>
      <c r="AN4" s="2024"/>
      <c r="AO4" s="2019"/>
      <c r="AP4" s="2016"/>
    </row>
    <row r="5" spans="1:42" s="88" customFormat="1" ht="44.25" customHeight="1">
      <c r="A5" s="2016"/>
      <c r="B5" s="2000"/>
      <c r="C5" s="2001"/>
      <c r="D5" s="2002"/>
      <c r="E5" s="2002"/>
      <c r="F5" s="2002"/>
      <c r="G5" s="2014"/>
      <c r="H5" s="2001"/>
      <c r="I5" s="2002"/>
      <c r="J5" s="2002"/>
      <c r="K5" s="2002"/>
      <c r="L5" s="2003"/>
      <c r="M5" s="1254" t="s">
        <v>750</v>
      </c>
      <c r="N5" s="42" t="s">
        <v>751</v>
      </c>
      <c r="O5" s="42" t="s">
        <v>926</v>
      </c>
      <c r="P5" s="42" t="s">
        <v>2033</v>
      </c>
      <c r="Q5" s="42" t="s">
        <v>752</v>
      </c>
      <c r="R5" s="42" t="s">
        <v>1189</v>
      </c>
      <c r="S5" s="42" t="s">
        <v>1190</v>
      </c>
      <c r="T5" s="168" t="s">
        <v>1243</v>
      </c>
      <c r="U5" s="2016"/>
      <c r="V5" s="2016"/>
      <c r="W5" s="169" t="s">
        <v>866</v>
      </c>
      <c r="X5" s="209" t="s">
        <v>149</v>
      </c>
      <c r="Y5" s="209" t="s">
        <v>1482</v>
      </c>
      <c r="Z5" s="209" t="s">
        <v>1241</v>
      </c>
      <c r="AA5" s="209" t="s">
        <v>1191</v>
      </c>
      <c r="AB5" s="209" t="s">
        <v>272</v>
      </c>
      <c r="AC5" s="209" t="s">
        <v>1188</v>
      </c>
      <c r="AD5" s="209" t="s">
        <v>150</v>
      </c>
      <c r="AE5" s="1100" t="s">
        <v>2168</v>
      </c>
      <c r="AF5" s="209" t="s">
        <v>151</v>
      </c>
      <c r="AG5" s="209" t="s">
        <v>753</v>
      </c>
      <c r="AH5" s="1099" t="s">
        <v>2169</v>
      </c>
      <c r="AI5" s="42" t="s">
        <v>1192</v>
      </c>
      <c r="AJ5" s="42" t="s">
        <v>1193</v>
      </c>
      <c r="AK5" s="42" t="s">
        <v>273</v>
      </c>
      <c r="AL5" s="42" t="s">
        <v>1242</v>
      </c>
      <c r="AM5" s="42" t="s">
        <v>1484</v>
      </c>
      <c r="AN5" s="168" t="s">
        <v>1483</v>
      </c>
      <c r="AO5" s="2020"/>
      <c r="AP5" s="2016"/>
    </row>
    <row r="6" spans="1:42" s="94" customFormat="1" ht="12" customHeight="1">
      <c r="A6" s="2017"/>
      <c r="B6" s="90">
        <v>1</v>
      </c>
      <c r="C6" s="74">
        <v>2</v>
      </c>
      <c r="D6" s="74">
        <v>3</v>
      </c>
      <c r="E6" s="74">
        <v>4</v>
      </c>
      <c r="F6" s="74">
        <v>5</v>
      </c>
      <c r="G6" s="74">
        <v>6</v>
      </c>
      <c r="H6" s="74">
        <v>7</v>
      </c>
      <c r="I6" s="74">
        <v>8</v>
      </c>
      <c r="J6" s="74">
        <v>9</v>
      </c>
      <c r="K6" s="74">
        <v>10</v>
      </c>
      <c r="L6" s="74">
        <v>11</v>
      </c>
      <c r="M6" s="75">
        <v>12</v>
      </c>
      <c r="N6" s="74">
        <v>13</v>
      </c>
      <c r="O6" s="74" t="s">
        <v>927</v>
      </c>
      <c r="P6" s="74">
        <v>15</v>
      </c>
      <c r="Q6" s="74">
        <v>16</v>
      </c>
      <c r="R6" s="74">
        <v>17</v>
      </c>
      <c r="S6" s="74">
        <v>18</v>
      </c>
      <c r="T6" s="75">
        <v>19</v>
      </c>
      <c r="U6" s="2017"/>
      <c r="V6" s="2017"/>
      <c r="W6" s="90">
        <v>20</v>
      </c>
      <c r="X6" s="74">
        <v>21</v>
      </c>
      <c r="Y6" s="74">
        <v>22</v>
      </c>
      <c r="Z6" s="74">
        <v>23</v>
      </c>
      <c r="AA6" s="74">
        <v>24</v>
      </c>
      <c r="AB6" s="74">
        <v>25</v>
      </c>
      <c r="AC6" s="74">
        <v>26</v>
      </c>
      <c r="AD6" s="74">
        <v>27</v>
      </c>
      <c r="AE6" s="74">
        <v>28</v>
      </c>
      <c r="AF6" s="74">
        <v>29</v>
      </c>
      <c r="AG6" s="74">
        <v>30</v>
      </c>
      <c r="AH6" s="74">
        <v>31</v>
      </c>
      <c r="AI6" s="74">
        <v>32</v>
      </c>
      <c r="AJ6" s="74">
        <v>33</v>
      </c>
      <c r="AK6" s="74">
        <v>34</v>
      </c>
      <c r="AL6" s="74">
        <v>35</v>
      </c>
      <c r="AM6" s="74">
        <v>36</v>
      </c>
      <c r="AN6" s="74" t="s">
        <v>928</v>
      </c>
      <c r="AO6" s="91" t="s">
        <v>929</v>
      </c>
      <c r="AP6" s="2017"/>
    </row>
    <row r="7" spans="1:42" s="80" customFormat="1" ht="11.25" customHeight="1">
      <c r="A7" s="468" t="s">
        <v>102</v>
      </c>
      <c r="B7" s="469">
        <v>923</v>
      </c>
      <c r="C7" s="441">
        <v>2348</v>
      </c>
      <c r="D7" s="441">
        <v>82</v>
      </c>
      <c r="E7" s="441">
        <v>1963</v>
      </c>
      <c r="F7" s="441">
        <v>3131</v>
      </c>
      <c r="G7" s="441">
        <v>67257</v>
      </c>
      <c r="H7" s="469">
        <v>661</v>
      </c>
      <c r="I7" s="469">
        <v>0</v>
      </c>
      <c r="J7" s="469">
        <v>712</v>
      </c>
      <c r="K7" s="469">
        <v>20421</v>
      </c>
      <c r="L7" s="469">
        <v>97498</v>
      </c>
      <c r="M7" s="469">
        <v>1645.4</v>
      </c>
      <c r="N7" s="469">
        <v>4428.7</v>
      </c>
      <c r="O7" s="469">
        <v>6070.1</v>
      </c>
      <c r="P7" s="469">
        <v>664.1</v>
      </c>
      <c r="Q7" s="469">
        <v>428</v>
      </c>
      <c r="R7" s="469">
        <v>1095</v>
      </c>
      <c r="S7" s="469">
        <v>5951.6</v>
      </c>
      <c r="T7" s="469">
        <v>1610</v>
      </c>
      <c r="U7" s="470" t="s">
        <v>102</v>
      </c>
      <c r="V7" s="468" t="s">
        <v>102</v>
      </c>
      <c r="W7" s="437">
        <v>2843</v>
      </c>
      <c r="X7" s="437">
        <v>2160</v>
      </c>
      <c r="Y7" s="437">
        <v>4011</v>
      </c>
      <c r="Z7" s="437">
        <v>13729</v>
      </c>
      <c r="AA7" s="437">
        <v>6604.8</v>
      </c>
      <c r="AB7" s="437">
        <v>548</v>
      </c>
      <c r="AC7" s="437">
        <v>6559.5</v>
      </c>
      <c r="AD7" s="437">
        <v>1779</v>
      </c>
      <c r="AE7" s="437">
        <v>5779</v>
      </c>
      <c r="AF7" s="437">
        <v>8880</v>
      </c>
      <c r="AG7" s="437">
        <v>5448</v>
      </c>
      <c r="AH7" s="437">
        <v>14444</v>
      </c>
      <c r="AI7" s="471">
        <v>774</v>
      </c>
      <c r="AJ7" s="471">
        <v>10336</v>
      </c>
      <c r="AK7" s="471">
        <v>9764</v>
      </c>
      <c r="AL7" s="471">
        <v>45346.400000000001</v>
      </c>
      <c r="AM7" s="471">
        <v>148752.4</v>
      </c>
      <c r="AN7" s="469">
        <v>154822.5</v>
      </c>
      <c r="AO7" s="469">
        <v>-57324.5</v>
      </c>
      <c r="AP7" s="455" t="s">
        <v>102</v>
      </c>
    </row>
    <row r="8" spans="1:42" s="80" customFormat="1" ht="11.25" customHeight="1">
      <c r="A8" s="1119" t="s">
        <v>98</v>
      </c>
      <c r="B8" s="1120">
        <v>1328</v>
      </c>
      <c r="C8" s="41">
        <v>3656</v>
      </c>
      <c r="D8" s="41">
        <v>37</v>
      </c>
      <c r="E8" s="41">
        <v>2431</v>
      </c>
      <c r="F8" s="41">
        <v>3208</v>
      </c>
      <c r="G8" s="41">
        <v>67248</v>
      </c>
      <c r="H8" s="1120">
        <v>993</v>
      </c>
      <c r="I8" s="1120">
        <v>0</v>
      </c>
      <c r="J8" s="1120">
        <v>236</v>
      </c>
      <c r="K8" s="1120">
        <v>23011</v>
      </c>
      <c r="L8" s="1120">
        <v>102148</v>
      </c>
      <c r="M8" s="1120">
        <v>522</v>
      </c>
      <c r="N8" s="1120">
        <v>5267</v>
      </c>
      <c r="O8" s="1120">
        <v>5789</v>
      </c>
      <c r="P8" s="1120">
        <v>736</v>
      </c>
      <c r="Q8" s="1120">
        <v>755</v>
      </c>
      <c r="R8" s="1120">
        <v>900</v>
      </c>
      <c r="S8" s="1120">
        <v>7260</v>
      </c>
      <c r="T8" s="1120">
        <v>2422</v>
      </c>
      <c r="U8" s="1121" t="s">
        <v>98</v>
      </c>
      <c r="V8" s="1119" t="s">
        <v>98</v>
      </c>
      <c r="W8" s="35">
        <v>4497</v>
      </c>
      <c r="X8" s="35">
        <v>2305</v>
      </c>
      <c r="Y8" s="35">
        <v>3700</v>
      </c>
      <c r="Z8" s="35">
        <v>13984</v>
      </c>
      <c r="AA8" s="35">
        <v>6722</v>
      </c>
      <c r="AB8" s="35">
        <v>713</v>
      </c>
      <c r="AC8" s="35">
        <v>4960</v>
      </c>
      <c r="AD8" s="35">
        <v>1899</v>
      </c>
      <c r="AE8" s="35">
        <v>6683</v>
      </c>
      <c r="AF8" s="35">
        <v>9959</v>
      </c>
      <c r="AG8" s="35">
        <v>4971</v>
      </c>
      <c r="AH8" s="35">
        <v>13742</v>
      </c>
      <c r="AI8" s="1109">
        <v>814</v>
      </c>
      <c r="AJ8" s="1109">
        <v>10052</v>
      </c>
      <c r="AK8" s="1109">
        <v>11032</v>
      </c>
      <c r="AL8" s="1109">
        <v>50346</v>
      </c>
      <c r="AM8" s="1109">
        <v>158452</v>
      </c>
      <c r="AN8" s="1120">
        <v>164241</v>
      </c>
      <c r="AO8" s="1120">
        <v>-62093</v>
      </c>
      <c r="AP8" s="99" t="s">
        <v>98</v>
      </c>
    </row>
    <row r="9" spans="1:42" s="80" customFormat="1" ht="11.25" customHeight="1">
      <c r="A9" s="468" t="s">
        <v>241</v>
      </c>
      <c r="B9" s="469">
        <v>1888</v>
      </c>
      <c r="C9" s="441">
        <v>4750</v>
      </c>
      <c r="D9" s="441">
        <v>19</v>
      </c>
      <c r="E9" s="441">
        <v>3365</v>
      </c>
      <c r="F9" s="441">
        <v>4149</v>
      </c>
      <c r="G9" s="441">
        <v>96711</v>
      </c>
      <c r="H9" s="469">
        <v>851</v>
      </c>
      <c r="I9" s="469">
        <v>0</v>
      </c>
      <c r="J9" s="469">
        <v>182</v>
      </c>
      <c r="K9" s="469">
        <v>32516.062909</v>
      </c>
      <c r="L9" s="469">
        <v>144431.062909</v>
      </c>
      <c r="M9" s="469">
        <v>5943</v>
      </c>
      <c r="N9" s="469">
        <v>7721</v>
      </c>
      <c r="O9" s="469">
        <v>13664</v>
      </c>
      <c r="P9" s="469">
        <v>1153</v>
      </c>
      <c r="Q9" s="469">
        <v>898</v>
      </c>
      <c r="R9" s="469">
        <v>736</v>
      </c>
      <c r="S9" s="469">
        <v>7600</v>
      </c>
      <c r="T9" s="469">
        <v>2073</v>
      </c>
      <c r="U9" s="470" t="s">
        <v>241</v>
      </c>
      <c r="V9" s="468" t="s">
        <v>241</v>
      </c>
      <c r="W9" s="437">
        <v>4667</v>
      </c>
      <c r="X9" s="437">
        <v>3182</v>
      </c>
      <c r="Y9" s="437">
        <v>6350</v>
      </c>
      <c r="Z9" s="437">
        <v>23060</v>
      </c>
      <c r="AA9" s="437">
        <v>8938</v>
      </c>
      <c r="AB9" s="437">
        <v>824</v>
      </c>
      <c r="AC9" s="437">
        <v>8817</v>
      </c>
      <c r="AD9" s="437">
        <v>2371</v>
      </c>
      <c r="AE9" s="437">
        <v>9278</v>
      </c>
      <c r="AF9" s="437">
        <v>19115</v>
      </c>
      <c r="AG9" s="437">
        <v>9927</v>
      </c>
      <c r="AH9" s="437">
        <v>19102</v>
      </c>
      <c r="AI9" s="471">
        <v>1283</v>
      </c>
      <c r="AJ9" s="471">
        <v>14290</v>
      </c>
      <c r="AK9" s="471">
        <v>16589</v>
      </c>
      <c r="AL9" s="471">
        <v>66111</v>
      </c>
      <c r="AM9" s="471">
        <v>226364</v>
      </c>
      <c r="AN9" s="469">
        <v>240028</v>
      </c>
      <c r="AO9" s="469">
        <v>-95596.937090999985</v>
      </c>
      <c r="AP9" s="455" t="s">
        <v>241</v>
      </c>
    </row>
    <row r="10" spans="1:42" s="94" customFormat="1" ht="11.25" customHeight="1">
      <c r="A10" s="373" t="s">
        <v>1142</v>
      </c>
      <c r="B10" s="97">
        <v>1866</v>
      </c>
      <c r="C10" s="97">
        <v>5200</v>
      </c>
      <c r="D10" s="97">
        <v>28</v>
      </c>
      <c r="E10" s="97">
        <v>4115</v>
      </c>
      <c r="F10" s="97">
        <v>4758</v>
      </c>
      <c r="G10" s="97">
        <v>122701</v>
      </c>
      <c r="H10" s="97">
        <v>975</v>
      </c>
      <c r="I10" s="97">
        <v>0</v>
      </c>
      <c r="J10" s="97">
        <v>130</v>
      </c>
      <c r="K10" s="1122">
        <v>40540.264029999998</v>
      </c>
      <c r="L10" s="1122">
        <v>180313.26402999999</v>
      </c>
      <c r="M10" s="97">
        <v>2188</v>
      </c>
      <c r="N10" s="97">
        <v>4763</v>
      </c>
      <c r="O10" s="97">
        <v>6951</v>
      </c>
      <c r="P10" s="97">
        <v>1750</v>
      </c>
      <c r="Q10" s="97">
        <v>1080</v>
      </c>
      <c r="R10" s="97">
        <v>1420</v>
      </c>
      <c r="S10" s="97">
        <v>13051</v>
      </c>
      <c r="T10" s="97">
        <v>1911</v>
      </c>
      <c r="U10" s="1018" t="s">
        <v>1142</v>
      </c>
      <c r="V10" s="373" t="s">
        <v>1142</v>
      </c>
      <c r="W10" s="97">
        <v>9390</v>
      </c>
      <c r="X10" s="97">
        <v>3994</v>
      </c>
      <c r="Y10" s="97">
        <v>8387</v>
      </c>
      <c r="Z10" s="97">
        <v>30484</v>
      </c>
      <c r="AA10" s="97">
        <v>9575</v>
      </c>
      <c r="AB10" s="97">
        <v>934</v>
      </c>
      <c r="AC10" s="97">
        <v>10907</v>
      </c>
      <c r="AD10" s="97">
        <v>2977</v>
      </c>
      <c r="AE10" s="97">
        <v>10835</v>
      </c>
      <c r="AF10" s="97">
        <v>16601</v>
      </c>
      <c r="AG10" s="97">
        <v>10833</v>
      </c>
      <c r="AH10" s="97">
        <v>24168</v>
      </c>
      <c r="AI10" s="97">
        <v>3250</v>
      </c>
      <c r="AJ10" s="97">
        <v>17637</v>
      </c>
      <c r="AK10" s="97">
        <v>15765</v>
      </c>
      <c r="AL10" s="97">
        <v>79063</v>
      </c>
      <c r="AM10" s="97">
        <v>274012</v>
      </c>
      <c r="AN10" s="97">
        <v>280963</v>
      </c>
      <c r="AO10" s="1122">
        <v>-100649.73597000001</v>
      </c>
      <c r="AP10" s="1018" t="s">
        <v>1142</v>
      </c>
    </row>
    <row r="11" spans="1:42" s="400" customFormat="1" ht="11.25" customHeight="1">
      <c r="A11" s="468" t="s">
        <v>1333</v>
      </c>
      <c r="B11" s="469">
        <v>1699</v>
      </c>
      <c r="C11" s="441">
        <v>5989</v>
      </c>
      <c r="D11" s="441">
        <v>17</v>
      </c>
      <c r="E11" s="441">
        <v>4778</v>
      </c>
      <c r="F11" s="441">
        <v>3399</v>
      </c>
      <c r="G11" s="441">
        <v>128285</v>
      </c>
      <c r="H11" s="469">
        <v>431</v>
      </c>
      <c r="I11" s="469">
        <v>0</v>
      </c>
      <c r="J11" s="469">
        <v>0</v>
      </c>
      <c r="K11" s="469">
        <v>44838.842640000003</v>
      </c>
      <c r="L11" s="469">
        <v>189436.84263999999</v>
      </c>
      <c r="M11" s="469">
        <v>239</v>
      </c>
      <c r="N11" s="469">
        <v>5575</v>
      </c>
      <c r="O11" s="469">
        <v>5814</v>
      </c>
      <c r="P11" s="469">
        <v>1708</v>
      </c>
      <c r="Q11" s="469">
        <v>947</v>
      </c>
      <c r="R11" s="469">
        <v>1932</v>
      </c>
      <c r="S11" s="469">
        <v>11185</v>
      </c>
      <c r="T11" s="469">
        <v>3373</v>
      </c>
      <c r="U11" s="470" t="s">
        <v>1333</v>
      </c>
      <c r="V11" s="468" t="s">
        <v>1333</v>
      </c>
      <c r="W11" s="437">
        <v>5853</v>
      </c>
      <c r="X11" s="437">
        <v>3888</v>
      </c>
      <c r="Y11" s="437">
        <v>8801</v>
      </c>
      <c r="Z11" s="437">
        <v>29122</v>
      </c>
      <c r="AA11" s="437">
        <v>10405</v>
      </c>
      <c r="AB11" s="437">
        <v>952</v>
      </c>
      <c r="AC11" s="437">
        <v>9563</v>
      </c>
      <c r="AD11" s="437">
        <v>3190</v>
      </c>
      <c r="AE11" s="437">
        <v>10905</v>
      </c>
      <c r="AF11" s="437">
        <v>16004</v>
      </c>
      <c r="AG11" s="437">
        <v>10849</v>
      </c>
      <c r="AH11" s="437">
        <v>26133</v>
      </c>
      <c r="AI11" s="471">
        <v>3627</v>
      </c>
      <c r="AJ11" s="471">
        <v>18642</v>
      </c>
      <c r="AK11" s="471">
        <v>14672</v>
      </c>
      <c r="AL11" s="471">
        <v>74763</v>
      </c>
      <c r="AM11" s="471">
        <v>266514</v>
      </c>
      <c r="AN11" s="469">
        <v>272328</v>
      </c>
      <c r="AO11" s="469">
        <v>-82891.157360000012</v>
      </c>
      <c r="AP11" s="455" t="s">
        <v>1333</v>
      </c>
    </row>
    <row r="12" spans="1:42" s="386" customFormat="1" ht="11.25" customHeight="1">
      <c r="A12" s="722" t="s">
        <v>1664</v>
      </c>
      <c r="B12" s="39">
        <v>948</v>
      </c>
      <c r="C12" s="39">
        <v>5315</v>
      </c>
      <c r="D12" s="39">
        <v>17</v>
      </c>
      <c r="E12" s="39">
        <v>3759</v>
      </c>
      <c r="F12" s="39">
        <v>4098</v>
      </c>
      <c r="G12" s="39">
        <v>146626</v>
      </c>
      <c r="H12" s="39">
        <v>134</v>
      </c>
      <c r="I12" s="39">
        <v>0</v>
      </c>
      <c r="J12" s="39">
        <v>0</v>
      </c>
      <c r="K12" s="211">
        <v>52476.544890000005</v>
      </c>
      <c r="L12" s="211">
        <v>213373.54489000002</v>
      </c>
      <c r="M12" s="39">
        <v>2701</v>
      </c>
      <c r="N12" s="39">
        <v>8685</v>
      </c>
      <c r="O12" s="39">
        <v>11386</v>
      </c>
      <c r="P12" s="39">
        <v>2249</v>
      </c>
      <c r="Q12" s="39">
        <v>1423</v>
      </c>
      <c r="R12" s="39">
        <v>3952</v>
      </c>
      <c r="S12" s="39">
        <v>13686</v>
      </c>
      <c r="T12" s="39">
        <v>3536</v>
      </c>
      <c r="U12" s="723" t="s">
        <v>1664</v>
      </c>
      <c r="V12" s="722" t="s">
        <v>1664</v>
      </c>
      <c r="W12" s="39">
        <v>7014</v>
      </c>
      <c r="X12" s="39">
        <v>4812</v>
      </c>
      <c r="Y12" s="39">
        <v>7218</v>
      </c>
      <c r="Z12" s="39">
        <v>31628</v>
      </c>
      <c r="AA12" s="39">
        <v>11644</v>
      </c>
      <c r="AB12" s="39">
        <v>931</v>
      </c>
      <c r="AC12" s="39">
        <v>7977</v>
      </c>
      <c r="AD12" s="39">
        <v>4185</v>
      </c>
      <c r="AE12" s="39">
        <v>13937</v>
      </c>
      <c r="AF12" s="39">
        <v>18850</v>
      </c>
      <c r="AG12" s="39">
        <v>11705</v>
      </c>
      <c r="AH12" s="39">
        <v>27853</v>
      </c>
      <c r="AI12" s="39">
        <v>3833</v>
      </c>
      <c r="AJ12" s="39">
        <v>20654</v>
      </c>
      <c r="AK12" s="39">
        <v>18122</v>
      </c>
      <c r="AL12" s="39">
        <v>89977</v>
      </c>
      <c r="AM12" s="39">
        <v>305186</v>
      </c>
      <c r="AN12" s="39">
        <v>316572</v>
      </c>
      <c r="AO12" s="211">
        <v>-103198.45510999998</v>
      </c>
      <c r="AP12" s="723" t="s">
        <v>1664</v>
      </c>
    </row>
    <row r="13" spans="1:42" s="356" customFormat="1" ht="11.25" customHeight="1">
      <c r="A13" s="468" t="s">
        <v>1754</v>
      </c>
      <c r="B13" s="469">
        <v>856</v>
      </c>
      <c r="C13" s="469">
        <v>5351</v>
      </c>
      <c r="D13" s="469">
        <v>33</v>
      </c>
      <c r="E13" s="469">
        <v>3081</v>
      </c>
      <c r="F13" s="469">
        <v>3988</v>
      </c>
      <c r="G13" s="469">
        <v>156045</v>
      </c>
      <c r="H13" s="469">
        <v>291</v>
      </c>
      <c r="I13" s="469">
        <v>0</v>
      </c>
      <c r="J13" s="469">
        <v>0</v>
      </c>
      <c r="K13" s="469">
        <v>56840.869556799982</v>
      </c>
      <c r="L13" s="469">
        <v>226485.8695568</v>
      </c>
      <c r="M13" s="469">
        <v>4309.6000000000004</v>
      </c>
      <c r="N13" s="469">
        <v>7914.6</v>
      </c>
      <c r="O13" s="469">
        <v>12224.2</v>
      </c>
      <c r="P13" s="469">
        <v>2409</v>
      </c>
      <c r="Q13" s="469">
        <v>1668</v>
      </c>
      <c r="R13" s="469">
        <v>2745</v>
      </c>
      <c r="S13" s="469">
        <v>12223</v>
      </c>
      <c r="T13" s="469">
        <v>3057</v>
      </c>
      <c r="U13" s="470" t="s">
        <v>1754</v>
      </c>
      <c r="V13" s="468" t="s">
        <v>1754</v>
      </c>
      <c r="W13" s="1466">
        <v>5770</v>
      </c>
      <c r="X13" s="1466">
        <v>4632</v>
      </c>
      <c r="Y13" s="1466">
        <v>6629</v>
      </c>
      <c r="Z13" s="1466">
        <v>26175</v>
      </c>
      <c r="AA13" s="1466">
        <v>12192</v>
      </c>
      <c r="AB13" s="1466">
        <v>875</v>
      </c>
      <c r="AC13" s="1466">
        <v>9647</v>
      </c>
      <c r="AD13" s="1466">
        <v>4312</v>
      </c>
      <c r="AE13" s="1466">
        <v>14333</v>
      </c>
      <c r="AF13" s="1466">
        <v>17672</v>
      </c>
      <c r="AG13" s="1466">
        <v>12377</v>
      </c>
      <c r="AH13" s="1466">
        <v>28569</v>
      </c>
      <c r="AI13" s="1466">
        <v>4078</v>
      </c>
      <c r="AJ13" s="1466">
        <v>22909</v>
      </c>
      <c r="AK13" s="1466">
        <v>20294</v>
      </c>
      <c r="AL13" s="1466">
        <v>90395</v>
      </c>
      <c r="AM13" s="1466">
        <v>302961</v>
      </c>
      <c r="AN13" s="1467">
        <v>315185.2</v>
      </c>
      <c r="AO13" s="1467">
        <v>-88699.330443200015</v>
      </c>
      <c r="AP13" s="470" t="s">
        <v>1754</v>
      </c>
    </row>
    <row r="14" spans="1:42" s="386" customFormat="1" ht="11.25" customHeight="1">
      <c r="A14" s="970" t="s">
        <v>1954</v>
      </c>
      <c r="B14" s="1025">
        <v>1257</v>
      </c>
      <c r="C14" s="1025">
        <v>5700</v>
      </c>
      <c r="D14" s="1025">
        <v>15</v>
      </c>
      <c r="E14" s="1025">
        <v>2133</v>
      </c>
      <c r="F14" s="1025">
        <v>3003</v>
      </c>
      <c r="G14" s="1025">
        <v>163120</v>
      </c>
      <c r="H14" s="1025">
        <v>101</v>
      </c>
      <c r="I14" s="1025">
        <v>0</v>
      </c>
      <c r="J14" s="1025">
        <v>0</v>
      </c>
      <c r="K14" s="1025">
        <v>61472.895545300002</v>
      </c>
      <c r="L14" s="1025">
        <v>236801.89554530004</v>
      </c>
      <c r="M14" s="1025">
        <v>931.40000000000009</v>
      </c>
      <c r="N14" s="1025">
        <v>7159.0999999999995</v>
      </c>
      <c r="O14" s="1025">
        <v>8090.4999999999991</v>
      </c>
      <c r="P14" s="1025">
        <v>1766.1999999999998</v>
      </c>
      <c r="Q14" s="1025">
        <v>1597.8</v>
      </c>
      <c r="R14" s="1025">
        <v>4083.2</v>
      </c>
      <c r="S14" s="1025">
        <v>10409.300000000001</v>
      </c>
      <c r="T14" s="1025">
        <v>3625.2000000000003</v>
      </c>
      <c r="U14" s="971" t="s">
        <v>1954</v>
      </c>
      <c r="V14" s="970" t="s">
        <v>1954</v>
      </c>
      <c r="W14" s="1025">
        <v>5171.3999999999996</v>
      </c>
      <c r="X14" s="1025">
        <v>3467.4</v>
      </c>
      <c r="Y14" s="1025">
        <v>2985.2</v>
      </c>
      <c r="Z14" s="1025">
        <v>17826.600000000002</v>
      </c>
      <c r="AA14" s="1025">
        <v>13214.499999999998</v>
      </c>
      <c r="AB14" s="1025">
        <v>937.49999999999989</v>
      </c>
      <c r="AC14" s="1025">
        <v>8170.1</v>
      </c>
      <c r="AD14" s="1025">
        <v>4271.7</v>
      </c>
      <c r="AE14" s="1025">
        <v>14233.1</v>
      </c>
      <c r="AF14" s="1025">
        <v>16844</v>
      </c>
      <c r="AG14" s="1025">
        <v>12884.699999999999</v>
      </c>
      <c r="AH14" s="1025">
        <v>32259.099999999995</v>
      </c>
      <c r="AI14" s="1025">
        <v>4713.0999999999995</v>
      </c>
      <c r="AJ14" s="1025">
        <v>21924.899999999998</v>
      </c>
      <c r="AK14" s="1025">
        <v>23920.3</v>
      </c>
      <c r="AL14" s="1025">
        <v>101483.00000000001</v>
      </c>
      <c r="AM14" s="1025">
        <v>305788.3</v>
      </c>
      <c r="AN14" s="1025">
        <v>313878.80000000005</v>
      </c>
      <c r="AO14" s="1025">
        <v>-77076.904454699994</v>
      </c>
      <c r="AP14" s="971" t="s">
        <v>1954</v>
      </c>
    </row>
    <row r="15" spans="1:42" s="386" customFormat="1" ht="11.25" customHeight="1">
      <c r="A15" s="1031" t="s">
        <v>2046</v>
      </c>
      <c r="B15" s="879">
        <f>SUM(B16:B27)</f>
        <v>1381</v>
      </c>
      <c r="C15" s="879">
        <f t="shared" ref="C15:T15" si="0">SUM(C16:C27)</f>
        <v>6117</v>
      </c>
      <c r="D15" s="879">
        <f t="shared" si="0"/>
        <v>30</v>
      </c>
      <c r="E15" s="879">
        <f t="shared" si="0"/>
        <v>1463</v>
      </c>
      <c r="F15" s="879">
        <f t="shared" si="0"/>
        <v>3681</v>
      </c>
      <c r="G15" s="879">
        <f t="shared" si="0"/>
        <v>166762</v>
      </c>
      <c r="H15" s="879">
        <f t="shared" si="0"/>
        <v>130</v>
      </c>
      <c r="I15" s="879">
        <f t="shared" si="0"/>
        <v>0</v>
      </c>
      <c r="J15" s="879">
        <f t="shared" si="0"/>
        <v>44</v>
      </c>
      <c r="K15" s="879">
        <f t="shared" si="0"/>
        <v>60048.485022404995</v>
      </c>
      <c r="L15" s="879">
        <f t="shared" si="0"/>
        <v>239656.48502240499</v>
      </c>
      <c r="M15" s="879">
        <f t="shared" si="0"/>
        <v>604.1</v>
      </c>
      <c r="N15" s="879">
        <f t="shared" si="0"/>
        <v>8157.0999999999995</v>
      </c>
      <c r="O15" s="879">
        <f t="shared" si="0"/>
        <v>8761.1999999999989</v>
      </c>
      <c r="P15" s="879">
        <f t="shared" si="0"/>
        <v>1998.8999999999999</v>
      </c>
      <c r="Q15" s="879">
        <f t="shared" si="0"/>
        <v>2051.1</v>
      </c>
      <c r="R15" s="879">
        <f t="shared" si="0"/>
        <v>3273.5</v>
      </c>
      <c r="S15" s="879">
        <f t="shared" si="0"/>
        <v>11837.800000000001</v>
      </c>
      <c r="T15" s="879">
        <f t="shared" si="0"/>
        <v>4669.3999999999996</v>
      </c>
      <c r="U15" s="1032" t="s">
        <v>2046</v>
      </c>
      <c r="V15" s="1031" t="s">
        <v>2046</v>
      </c>
      <c r="W15" s="879">
        <f t="shared" ref="W15:AO15" si="1">SUM(W16:W27)</f>
        <v>6647.9999999999991</v>
      </c>
      <c r="X15" s="879">
        <f t="shared" si="1"/>
        <v>3764.1999999999994</v>
      </c>
      <c r="Y15" s="879">
        <f t="shared" si="1"/>
        <v>4222.1000000000004</v>
      </c>
      <c r="Z15" s="879">
        <f t="shared" si="1"/>
        <v>21980.199999999997</v>
      </c>
      <c r="AA15" s="879">
        <f t="shared" si="1"/>
        <v>14792.9</v>
      </c>
      <c r="AB15" s="879">
        <f t="shared" si="1"/>
        <v>1159.8999999999999</v>
      </c>
      <c r="AC15" s="879">
        <f t="shared" si="1"/>
        <v>5742.4</v>
      </c>
      <c r="AD15" s="879">
        <f t="shared" si="1"/>
        <v>4436.5000000000009</v>
      </c>
      <c r="AE15" s="879">
        <f t="shared" si="1"/>
        <v>15330.1</v>
      </c>
      <c r="AF15" s="879">
        <f t="shared" si="1"/>
        <v>20702.7</v>
      </c>
      <c r="AG15" s="879">
        <f t="shared" si="1"/>
        <v>13181.199999999999</v>
      </c>
      <c r="AH15" s="879">
        <f t="shared" si="1"/>
        <v>32746.7</v>
      </c>
      <c r="AI15" s="879">
        <f t="shared" si="1"/>
        <v>4836.7999999999993</v>
      </c>
      <c r="AJ15" s="879">
        <f t="shared" si="1"/>
        <v>25854.7</v>
      </c>
      <c r="AK15" s="879">
        <f t="shared" si="1"/>
        <v>28625.800000000007</v>
      </c>
      <c r="AL15" s="879">
        <f t="shared" si="1"/>
        <v>107960.99999999999</v>
      </c>
      <c r="AM15" s="879">
        <f t="shared" si="1"/>
        <v>335815.89999999997</v>
      </c>
      <c r="AN15" s="879">
        <f t="shared" si="1"/>
        <v>344577.1</v>
      </c>
      <c r="AO15" s="879">
        <f t="shared" si="1"/>
        <v>-104920.61497759499</v>
      </c>
      <c r="AP15" s="1032" t="s">
        <v>2046</v>
      </c>
    </row>
    <row r="16" spans="1:42" s="386" customFormat="1" ht="11.25" customHeight="1">
      <c r="A16" s="722" t="s">
        <v>818</v>
      </c>
      <c r="B16" s="576">
        <v>158</v>
      </c>
      <c r="C16" s="576">
        <v>471</v>
      </c>
      <c r="D16" s="576">
        <v>1</v>
      </c>
      <c r="E16" s="576">
        <v>108</v>
      </c>
      <c r="F16" s="345">
        <f>25+274</f>
        <v>299</v>
      </c>
      <c r="G16" s="345">
        <v>13232</v>
      </c>
      <c r="H16" s="576">
        <v>0</v>
      </c>
      <c r="I16" s="576">
        <v>0</v>
      </c>
      <c r="J16" s="576">
        <v>0</v>
      </c>
      <c r="K16" s="576">
        <f t="shared" ref="K16:K24" si="2">L16-SUM(B16:J16)</f>
        <v>3971.4079999999994</v>
      </c>
      <c r="L16" s="577">
        <f>15585+33.87*78.4</f>
        <v>18240.407999999999</v>
      </c>
      <c r="M16" s="577">
        <v>17.7</v>
      </c>
      <c r="N16" s="577">
        <v>454.59999999999997</v>
      </c>
      <c r="O16" s="577">
        <f t="shared" ref="O16:O27" si="3">M16+N16</f>
        <v>472.29999999999995</v>
      </c>
      <c r="P16" s="577">
        <v>150.5</v>
      </c>
      <c r="Q16" s="577">
        <v>128.6</v>
      </c>
      <c r="R16" s="577">
        <v>383.3</v>
      </c>
      <c r="S16" s="577">
        <v>689.2</v>
      </c>
      <c r="T16" s="577">
        <v>210.8</v>
      </c>
      <c r="U16" s="723" t="s">
        <v>818</v>
      </c>
      <c r="V16" s="722" t="s">
        <v>818</v>
      </c>
      <c r="W16" s="1011">
        <v>566.29999999999995</v>
      </c>
      <c r="X16" s="1011">
        <v>234.7</v>
      </c>
      <c r="Y16" s="577">
        <v>305.10000000000002</v>
      </c>
      <c r="Z16" s="577">
        <v>1331.8</v>
      </c>
      <c r="AA16" s="577">
        <v>1141.9000000000001</v>
      </c>
      <c r="AB16" s="577">
        <v>64.900000000000006</v>
      </c>
      <c r="AC16" s="577">
        <v>418</v>
      </c>
      <c r="AD16" s="577">
        <v>398.2</v>
      </c>
      <c r="AE16" s="577">
        <v>1033.3</v>
      </c>
      <c r="AF16" s="577">
        <v>1093.0999999999999</v>
      </c>
      <c r="AG16" s="577">
        <v>1130.4000000000001</v>
      </c>
      <c r="AH16" s="577">
        <v>2622.1</v>
      </c>
      <c r="AI16" s="577">
        <v>382.7</v>
      </c>
      <c r="AJ16" s="577">
        <v>1631</v>
      </c>
      <c r="AK16" s="577">
        <v>1988</v>
      </c>
      <c r="AL16" s="577">
        <v>6991.9000000000024</v>
      </c>
      <c r="AM16" s="577">
        <f t="shared" ref="AM16:AM23" si="4">SUM(P16:T16)+SUM(W16:AL16)</f>
        <v>22895.800000000003</v>
      </c>
      <c r="AN16" s="577">
        <f t="shared" ref="AN16:AN23" si="5">O16+AM16</f>
        <v>23368.100000000002</v>
      </c>
      <c r="AO16" s="345">
        <f t="shared" ref="AO16:AO27" si="6">L16-AN16</f>
        <v>-5127.6920000000027</v>
      </c>
      <c r="AP16" s="723" t="s">
        <v>818</v>
      </c>
    </row>
    <row r="17" spans="1:42" s="386" customFormat="1" ht="11.25" customHeight="1">
      <c r="A17" s="468" t="s">
        <v>148</v>
      </c>
      <c r="B17" s="597">
        <v>143</v>
      </c>
      <c r="C17" s="597">
        <v>455</v>
      </c>
      <c r="D17" s="597">
        <v>1</v>
      </c>
      <c r="E17" s="597">
        <v>98</v>
      </c>
      <c r="F17" s="429">
        <f>33+340</f>
        <v>373</v>
      </c>
      <c r="G17" s="429">
        <v>15147</v>
      </c>
      <c r="H17" s="597">
        <v>0</v>
      </c>
      <c r="I17" s="597">
        <v>0</v>
      </c>
      <c r="J17" s="597">
        <v>44</v>
      </c>
      <c r="K17" s="597">
        <f t="shared" si="2"/>
        <v>5576.9392000000007</v>
      </c>
      <c r="L17" s="435">
        <f>17864+78.4*50.688</f>
        <v>21837.939200000001</v>
      </c>
      <c r="M17" s="435">
        <v>10</v>
      </c>
      <c r="N17" s="435">
        <v>509.29999999999995</v>
      </c>
      <c r="O17" s="435">
        <f t="shared" si="3"/>
        <v>519.29999999999995</v>
      </c>
      <c r="P17" s="435">
        <v>139.30000000000001</v>
      </c>
      <c r="Q17" s="435">
        <v>186</v>
      </c>
      <c r="R17" s="435">
        <v>126.7</v>
      </c>
      <c r="S17" s="435">
        <v>650.4</v>
      </c>
      <c r="T17" s="435">
        <v>234.89999999999998</v>
      </c>
      <c r="U17" s="470" t="s">
        <v>148</v>
      </c>
      <c r="V17" s="468" t="s">
        <v>819</v>
      </c>
      <c r="W17" s="1015">
        <v>497.4</v>
      </c>
      <c r="X17" s="1015">
        <v>338.6</v>
      </c>
      <c r="Y17" s="435">
        <v>288.29999999999995</v>
      </c>
      <c r="Z17" s="435">
        <v>1584.1000000000001</v>
      </c>
      <c r="AA17" s="435">
        <v>1143.5</v>
      </c>
      <c r="AB17" s="435">
        <v>86.3</v>
      </c>
      <c r="AC17" s="435">
        <v>492.9</v>
      </c>
      <c r="AD17" s="435">
        <v>387</v>
      </c>
      <c r="AE17" s="435">
        <v>1155.5</v>
      </c>
      <c r="AF17" s="435">
        <v>1383.8000000000002</v>
      </c>
      <c r="AG17" s="435">
        <v>1298.5</v>
      </c>
      <c r="AH17" s="435">
        <v>3089.3999999999996</v>
      </c>
      <c r="AI17" s="435">
        <v>352.3</v>
      </c>
      <c r="AJ17" s="435">
        <v>2003.6999999999998</v>
      </c>
      <c r="AK17" s="435">
        <v>2032.5</v>
      </c>
      <c r="AL17" s="435">
        <v>9150.4999999999964</v>
      </c>
      <c r="AM17" s="435">
        <f t="shared" si="4"/>
        <v>26621.599999999995</v>
      </c>
      <c r="AN17" s="435">
        <f t="shared" si="5"/>
        <v>27140.899999999994</v>
      </c>
      <c r="AO17" s="429">
        <f t="shared" si="6"/>
        <v>-5302.9607999999935</v>
      </c>
      <c r="AP17" s="470" t="s">
        <v>819</v>
      </c>
    </row>
    <row r="18" spans="1:42" s="386" customFormat="1" ht="11.25" customHeight="1">
      <c r="A18" s="722" t="s">
        <v>813</v>
      </c>
      <c r="B18" s="576">
        <v>92</v>
      </c>
      <c r="C18" s="576">
        <v>463</v>
      </c>
      <c r="D18" s="576">
        <v>0</v>
      </c>
      <c r="E18" s="576">
        <v>142</v>
      </c>
      <c r="F18" s="345">
        <f>30+306</f>
        <v>336</v>
      </c>
      <c r="G18" s="345">
        <v>13712</v>
      </c>
      <c r="H18" s="576">
        <v>0</v>
      </c>
      <c r="I18" s="576">
        <v>0</v>
      </c>
      <c r="J18" s="576">
        <v>0</v>
      </c>
      <c r="K18" s="576">
        <f t="shared" si="2"/>
        <v>3944.2335999999996</v>
      </c>
      <c r="L18" s="577">
        <f>16235+78.4*31.304</f>
        <v>18689.2336</v>
      </c>
      <c r="M18" s="577">
        <v>7.8</v>
      </c>
      <c r="N18" s="577">
        <v>636.29999999999995</v>
      </c>
      <c r="O18" s="577">
        <f t="shared" si="3"/>
        <v>644.09999999999991</v>
      </c>
      <c r="P18" s="577">
        <v>75.8</v>
      </c>
      <c r="Q18" s="577">
        <v>169.3</v>
      </c>
      <c r="R18" s="577">
        <v>91.6</v>
      </c>
      <c r="S18" s="577">
        <v>897</v>
      </c>
      <c r="T18" s="577">
        <v>131.5</v>
      </c>
      <c r="U18" s="723" t="s">
        <v>813</v>
      </c>
      <c r="V18" s="722" t="s">
        <v>813</v>
      </c>
      <c r="W18" s="1011">
        <v>324.09999999999997</v>
      </c>
      <c r="X18" s="1011">
        <v>259.39999999999998</v>
      </c>
      <c r="Y18" s="577">
        <v>260.39999999999998</v>
      </c>
      <c r="Z18" s="577">
        <v>1590.6</v>
      </c>
      <c r="AA18" s="577">
        <v>1073</v>
      </c>
      <c r="AB18" s="577">
        <v>84.9</v>
      </c>
      <c r="AC18" s="577">
        <v>585.29999999999995</v>
      </c>
      <c r="AD18" s="577">
        <v>310.89999999999998</v>
      </c>
      <c r="AE18" s="577">
        <v>1097.1999999999998</v>
      </c>
      <c r="AF18" s="577">
        <v>1426</v>
      </c>
      <c r="AG18" s="577">
        <v>1113.9000000000001</v>
      </c>
      <c r="AH18" s="577">
        <v>2675.9</v>
      </c>
      <c r="AI18" s="577">
        <v>388.6</v>
      </c>
      <c r="AJ18" s="577">
        <v>2083.4</v>
      </c>
      <c r="AK18" s="577">
        <v>2024.3</v>
      </c>
      <c r="AL18" s="577">
        <v>7720.8999999999987</v>
      </c>
      <c r="AM18" s="577">
        <f t="shared" si="4"/>
        <v>24383.999999999996</v>
      </c>
      <c r="AN18" s="577">
        <f t="shared" si="5"/>
        <v>25028.099999999995</v>
      </c>
      <c r="AO18" s="345">
        <f t="shared" si="6"/>
        <v>-6338.8663999999953</v>
      </c>
      <c r="AP18" s="723" t="s">
        <v>813</v>
      </c>
    </row>
    <row r="19" spans="1:42" s="386" customFormat="1" ht="11.25" customHeight="1">
      <c r="A19" s="644" t="s">
        <v>820</v>
      </c>
      <c r="B19" s="597">
        <v>102</v>
      </c>
      <c r="C19" s="597">
        <v>493</v>
      </c>
      <c r="D19" s="597">
        <v>1</v>
      </c>
      <c r="E19" s="597">
        <v>118</v>
      </c>
      <c r="F19" s="597">
        <f>35+298</f>
        <v>333</v>
      </c>
      <c r="G19" s="597">
        <v>13710</v>
      </c>
      <c r="H19" s="597">
        <v>0</v>
      </c>
      <c r="I19" s="597">
        <v>0</v>
      </c>
      <c r="J19" s="597">
        <v>0</v>
      </c>
      <c r="K19" s="597">
        <f t="shared" si="2"/>
        <v>4635.3020047999998</v>
      </c>
      <c r="L19" s="597">
        <f>16295+78.4008*39.506</f>
        <v>19392.3020048</v>
      </c>
      <c r="M19" s="597">
        <v>18.100000000000001</v>
      </c>
      <c r="N19" s="597">
        <v>1403.9</v>
      </c>
      <c r="O19" s="597">
        <f t="shared" si="3"/>
        <v>1422</v>
      </c>
      <c r="P19" s="429">
        <v>89.6</v>
      </c>
      <c r="Q19" s="429">
        <v>141.19999999999999</v>
      </c>
      <c r="R19" s="429">
        <v>448.7</v>
      </c>
      <c r="S19" s="429">
        <v>919.6</v>
      </c>
      <c r="T19" s="429">
        <v>298.39999999999998</v>
      </c>
      <c r="U19" s="1058" t="s">
        <v>820</v>
      </c>
      <c r="V19" s="1059" t="s">
        <v>820</v>
      </c>
      <c r="W19" s="429">
        <v>606</v>
      </c>
      <c r="X19" s="429">
        <v>264.5</v>
      </c>
      <c r="Y19" s="429">
        <v>520.70000000000005</v>
      </c>
      <c r="Z19" s="429">
        <v>1590.3</v>
      </c>
      <c r="AA19" s="429">
        <v>1147.8</v>
      </c>
      <c r="AB19" s="429">
        <v>75.800000000000011</v>
      </c>
      <c r="AC19" s="429">
        <v>711</v>
      </c>
      <c r="AD19" s="429">
        <v>373.6</v>
      </c>
      <c r="AE19" s="429">
        <v>1232.0999999999999</v>
      </c>
      <c r="AF19" s="429">
        <v>1286.5999999999999</v>
      </c>
      <c r="AG19" s="429">
        <v>1139.1999999999998</v>
      </c>
      <c r="AH19" s="429">
        <v>2482</v>
      </c>
      <c r="AI19" s="429">
        <v>377.40000000000003</v>
      </c>
      <c r="AJ19" s="429">
        <v>1952.6</v>
      </c>
      <c r="AK19" s="429">
        <v>2483.7999999999997</v>
      </c>
      <c r="AL19" s="429">
        <v>8559.3000000000011</v>
      </c>
      <c r="AM19" s="429">
        <f t="shared" si="4"/>
        <v>26700.200000000004</v>
      </c>
      <c r="AN19" s="429">
        <f t="shared" si="5"/>
        <v>28122.200000000004</v>
      </c>
      <c r="AO19" s="429">
        <f t="shared" si="6"/>
        <v>-8729.8979952000045</v>
      </c>
      <c r="AP19" s="1058" t="s">
        <v>820</v>
      </c>
    </row>
    <row r="20" spans="1:42" s="386" customFormat="1" ht="11.25" customHeight="1">
      <c r="A20" s="575" t="s">
        <v>821</v>
      </c>
      <c r="B20" s="576">
        <v>139</v>
      </c>
      <c r="C20" s="576">
        <v>514</v>
      </c>
      <c r="D20" s="576">
        <v>1</v>
      </c>
      <c r="E20" s="576">
        <v>160</v>
      </c>
      <c r="F20" s="576">
        <f>49+346</f>
        <v>395</v>
      </c>
      <c r="G20" s="576">
        <v>14010</v>
      </c>
      <c r="H20" s="576">
        <v>0</v>
      </c>
      <c r="I20" s="576">
        <v>0</v>
      </c>
      <c r="J20" s="576">
        <v>0</v>
      </c>
      <c r="K20" s="576">
        <f t="shared" si="2"/>
        <v>4522.152646399998</v>
      </c>
      <c r="L20" s="576">
        <f>16832+78.5472*37.037</f>
        <v>19741.152646399998</v>
      </c>
      <c r="M20" s="576">
        <v>19.3</v>
      </c>
      <c r="N20" s="576">
        <v>591.5</v>
      </c>
      <c r="O20" s="576">
        <f t="shared" si="3"/>
        <v>610.79999999999995</v>
      </c>
      <c r="P20" s="345">
        <v>143.80000000000001</v>
      </c>
      <c r="Q20" s="345">
        <v>160.60000000000002</v>
      </c>
      <c r="R20" s="345">
        <v>299.39999999999998</v>
      </c>
      <c r="S20" s="345">
        <v>1189.4000000000001</v>
      </c>
      <c r="T20" s="345">
        <v>425.79999999999995</v>
      </c>
      <c r="U20" s="1073" t="s">
        <v>821</v>
      </c>
      <c r="V20" s="1074" t="s">
        <v>821</v>
      </c>
      <c r="W20" s="345">
        <v>366</v>
      </c>
      <c r="X20" s="345">
        <v>327.2</v>
      </c>
      <c r="Y20" s="345">
        <v>299.3</v>
      </c>
      <c r="Z20" s="345">
        <v>2542.2999999999997</v>
      </c>
      <c r="AA20" s="345">
        <v>1308</v>
      </c>
      <c r="AB20" s="345">
        <v>107.9</v>
      </c>
      <c r="AC20" s="345">
        <v>605.9</v>
      </c>
      <c r="AD20" s="345">
        <v>409</v>
      </c>
      <c r="AE20" s="345">
        <v>1276.4000000000001</v>
      </c>
      <c r="AF20" s="345">
        <v>1248.6000000000001</v>
      </c>
      <c r="AG20" s="345">
        <v>1071.8999999999999</v>
      </c>
      <c r="AH20" s="345">
        <v>2800.2</v>
      </c>
      <c r="AI20" s="345">
        <v>387.5</v>
      </c>
      <c r="AJ20" s="345">
        <v>2731.9</v>
      </c>
      <c r="AK20" s="345">
        <v>3348.3</v>
      </c>
      <c r="AL20" s="345">
        <v>9900.5000000000036</v>
      </c>
      <c r="AM20" s="345">
        <f t="shared" si="4"/>
        <v>30949.9</v>
      </c>
      <c r="AN20" s="345">
        <f t="shared" si="5"/>
        <v>31560.7</v>
      </c>
      <c r="AO20" s="345">
        <f t="shared" si="6"/>
        <v>-11819.547353600003</v>
      </c>
      <c r="AP20" s="1073" t="s">
        <v>821</v>
      </c>
    </row>
    <row r="21" spans="1:42" s="386" customFormat="1" ht="11.25" customHeight="1">
      <c r="A21" s="644" t="s">
        <v>814</v>
      </c>
      <c r="B21" s="597">
        <v>142</v>
      </c>
      <c r="C21" s="597">
        <v>547</v>
      </c>
      <c r="D21" s="597">
        <v>2</v>
      </c>
      <c r="E21" s="597">
        <v>136</v>
      </c>
      <c r="F21" s="597">
        <f>37+232</f>
        <v>269</v>
      </c>
      <c r="G21" s="597">
        <v>12768</v>
      </c>
      <c r="H21" s="597">
        <v>55</v>
      </c>
      <c r="I21" s="597">
        <v>0</v>
      </c>
      <c r="J21" s="597">
        <v>0</v>
      </c>
      <c r="K21" s="597">
        <f t="shared" si="2"/>
        <v>5693.2291072000007</v>
      </c>
      <c r="L21" s="597">
        <f>15517+78.8029*51.968</f>
        <v>19612.229107200001</v>
      </c>
      <c r="M21" s="597">
        <v>14.7</v>
      </c>
      <c r="N21" s="597">
        <v>586.6</v>
      </c>
      <c r="O21" s="429">
        <f t="shared" si="3"/>
        <v>601.30000000000007</v>
      </c>
      <c r="P21" s="429">
        <v>208.7</v>
      </c>
      <c r="Q21" s="429">
        <v>127.3</v>
      </c>
      <c r="R21" s="429">
        <v>96.5</v>
      </c>
      <c r="S21" s="429">
        <v>1048.3000000000002</v>
      </c>
      <c r="T21" s="429">
        <v>263.89999999999998</v>
      </c>
      <c r="U21" s="1058" t="s">
        <v>814</v>
      </c>
      <c r="V21" s="1059" t="s">
        <v>814</v>
      </c>
      <c r="W21" s="429">
        <v>708.5</v>
      </c>
      <c r="X21" s="429">
        <v>290.89999999999998</v>
      </c>
      <c r="Y21" s="429">
        <v>267.5</v>
      </c>
      <c r="Z21" s="429">
        <v>1256.7</v>
      </c>
      <c r="AA21" s="429">
        <v>1347.7</v>
      </c>
      <c r="AB21" s="429">
        <v>107.1</v>
      </c>
      <c r="AC21" s="429">
        <v>331.8</v>
      </c>
      <c r="AD21" s="429">
        <v>345.9</v>
      </c>
      <c r="AE21" s="429">
        <v>1288</v>
      </c>
      <c r="AF21" s="429">
        <v>1794.7</v>
      </c>
      <c r="AG21" s="429">
        <v>1024.8</v>
      </c>
      <c r="AH21" s="429">
        <v>2716.7</v>
      </c>
      <c r="AI21" s="429">
        <v>357.7</v>
      </c>
      <c r="AJ21" s="429">
        <v>2279.9</v>
      </c>
      <c r="AK21" s="429">
        <v>2573.2000000000003</v>
      </c>
      <c r="AL21" s="429">
        <v>9765</v>
      </c>
      <c r="AM21" s="429">
        <f t="shared" si="4"/>
        <v>28200.799999999999</v>
      </c>
      <c r="AN21" s="429">
        <f t="shared" si="5"/>
        <v>28802.1</v>
      </c>
      <c r="AO21" s="429">
        <f t="shared" si="6"/>
        <v>-9189.8708927999978</v>
      </c>
      <c r="AP21" s="1058" t="s">
        <v>814</v>
      </c>
    </row>
    <row r="22" spans="1:42" s="386" customFormat="1" ht="11.25" customHeight="1">
      <c r="A22" s="575" t="s">
        <v>822</v>
      </c>
      <c r="B22" s="576">
        <v>125</v>
      </c>
      <c r="C22" s="576">
        <v>490</v>
      </c>
      <c r="D22" s="576">
        <v>1</v>
      </c>
      <c r="E22" s="576">
        <v>137</v>
      </c>
      <c r="F22" s="576">
        <f>50+299</f>
        <v>349</v>
      </c>
      <c r="G22" s="576">
        <v>14767</v>
      </c>
      <c r="H22" s="576">
        <v>0</v>
      </c>
      <c r="I22" s="576">
        <v>0</v>
      </c>
      <c r="J22" s="576">
        <v>0</v>
      </c>
      <c r="K22" s="576">
        <f t="shared" si="2"/>
        <v>5572.9334520000011</v>
      </c>
      <c r="L22" s="576">
        <f>17559+78.8573*49.24</f>
        <v>21441.933452000001</v>
      </c>
      <c r="M22" s="576">
        <v>48.7</v>
      </c>
      <c r="N22" s="576">
        <v>364.7</v>
      </c>
      <c r="O22" s="576">
        <f t="shared" si="3"/>
        <v>413.4</v>
      </c>
      <c r="P22" s="345">
        <v>166.3</v>
      </c>
      <c r="Q22" s="345">
        <v>175.5</v>
      </c>
      <c r="R22" s="345">
        <v>370.90000000000003</v>
      </c>
      <c r="S22" s="345">
        <v>1229.4000000000001</v>
      </c>
      <c r="T22" s="345">
        <v>518.4</v>
      </c>
      <c r="U22" s="1073" t="s">
        <v>822</v>
      </c>
      <c r="V22" s="1074" t="s">
        <v>822</v>
      </c>
      <c r="W22" s="345">
        <v>1192</v>
      </c>
      <c r="X22" s="345">
        <v>376.29999999999995</v>
      </c>
      <c r="Y22" s="345">
        <v>324.89999999999998</v>
      </c>
      <c r="Z22" s="345">
        <v>1765.8</v>
      </c>
      <c r="AA22" s="345">
        <v>1284.5999999999999</v>
      </c>
      <c r="AB22" s="345">
        <v>91.800000000000011</v>
      </c>
      <c r="AC22" s="345">
        <v>712.1</v>
      </c>
      <c r="AD22" s="345">
        <v>377.40000000000003</v>
      </c>
      <c r="AE22" s="345">
        <v>1433.3000000000002</v>
      </c>
      <c r="AF22" s="345">
        <v>2025.8999999999999</v>
      </c>
      <c r="AG22" s="345">
        <v>1037.7</v>
      </c>
      <c r="AH22" s="345">
        <v>3068.9</v>
      </c>
      <c r="AI22" s="345">
        <v>432</v>
      </c>
      <c r="AJ22" s="345">
        <v>2337.1999999999998</v>
      </c>
      <c r="AK22" s="345">
        <v>2662.2</v>
      </c>
      <c r="AL22" s="345">
        <v>10820.899999999998</v>
      </c>
      <c r="AM22" s="345">
        <f t="shared" si="4"/>
        <v>32403.5</v>
      </c>
      <c r="AN22" s="345">
        <f t="shared" si="5"/>
        <v>32816.9</v>
      </c>
      <c r="AO22" s="345">
        <f t="shared" si="6"/>
        <v>-11374.966548</v>
      </c>
      <c r="AP22" s="1073" t="s">
        <v>822</v>
      </c>
    </row>
    <row r="23" spans="1:42" s="386" customFormat="1" ht="11.25" customHeight="1">
      <c r="A23" s="644" t="s">
        <v>823</v>
      </c>
      <c r="B23" s="597">
        <v>116</v>
      </c>
      <c r="C23" s="597">
        <v>530</v>
      </c>
      <c r="D23" s="597">
        <v>6</v>
      </c>
      <c r="E23" s="597">
        <v>93</v>
      </c>
      <c r="F23" s="597">
        <f>56+233</f>
        <v>289</v>
      </c>
      <c r="G23" s="597">
        <v>13367</v>
      </c>
      <c r="H23" s="597">
        <v>0</v>
      </c>
      <c r="I23" s="597">
        <v>0</v>
      </c>
      <c r="J23" s="597">
        <v>0</v>
      </c>
      <c r="K23" s="597">
        <f t="shared" si="2"/>
        <v>4678.6581215999977</v>
      </c>
      <c r="L23" s="597">
        <f>15857+79.2353*40.672</f>
        <v>19079.658121599998</v>
      </c>
      <c r="M23" s="597">
        <v>70.3</v>
      </c>
      <c r="N23" s="597">
        <v>868.40000000000009</v>
      </c>
      <c r="O23" s="597">
        <f t="shared" si="3"/>
        <v>938.7</v>
      </c>
      <c r="P23" s="429">
        <v>188.3</v>
      </c>
      <c r="Q23" s="429">
        <v>165.6</v>
      </c>
      <c r="R23" s="429">
        <v>92.9</v>
      </c>
      <c r="S23" s="429">
        <v>1247.3000000000002</v>
      </c>
      <c r="T23" s="429">
        <v>385.2</v>
      </c>
      <c r="U23" s="1058" t="s">
        <v>823</v>
      </c>
      <c r="V23" s="1059" t="s">
        <v>823</v>
      </c>
      <c r="W23" s="429">
        <v>540.59999999999991</v>
      </c>
      <c r="X23" s="429">
        <v>290.70000000000005</v>
      </c>
      <c r="Y23" s="429">
        <v>322.2</v>
      </c>
      <c r="Z23" s="429">
        <v>1697.5</v>
      </c>
      <c r="AA23" s="429">
        <v>1254.6999999999998</v>
      </c>
      <c r="AB23" s="429">
        <v>166.10000000000002</v>
      </c>
      <c r="AC23" s="429">
        <v>317.09999999999997</v>
      </c>
      <c r="AD23" s="429">
        <v>328.9</v>
      </c>
      <c r="AE23" s="429">
        <v>1214.5</v>
      </c>
      <c r="AF23" s="429">
        <v>1899.4</v>
      </c>
      <c r="AG23" s="429">
        <v>1001.9</v>
      </c>
      <c r="AH23" s="429">
        <v>2564.5</v>
      </c>
      <c r="AI23" s="429">
        <v>381</v>
      </c>
      <c r="AJ23" s="429">
        <v>2403.3000000000002</v>
      </c>
      <c r="AK23" s="429">
        <v>2171.2999999999997</v>
      </c>
      <c r="AL23" s="429">
        <v>7742.4</v>
      </c>
      <c r="AM23" s="429">
        <f t="shared" si="4"/>
        <v>26375.399999999998</v>
      </c>
      <c r="AN23" s="429">
        <f t="shared" si="5"/>
        <v>27314.1</v>
      </c>
      <c r="AO23" s="429">
        <f t="shared" si="6"/>
        <v>-8234.4418784000009</v>
      </c>
      <c r="AP23" s="1058" t="s">
        <v>823</v>
      </c>
    </row>
    <row r="24" spans="1:42" s="386" customFormat="1" ht="11.25" customHeight="1">
      <c r="A24" s="575" t="s">
        <v>550</v>
      </c>
      <c r="B24" s="576">
        <v>126</v>
      </c>
      <c r="C24" s="576">
        <v>560</v>
      </c>
      <c r="D24" s="576">
        <v>6</v>
      </c>
      <c r="E24" s="576">
        <v>156</v>
      </c>
      <c r="F24" s="576">
        <f>52+177</f>
        <v>229</v>
      </c>
      <c r="G24" s="576">
        <v>15070</v>
      </c>
      <c r="H24" s="576">
        <v>75</v>
      </c>
      <c r="I24" s="576">
        <v>0</v>
      </c>
      <c r="J24" s="576">
        <v>0</v>
      </c>
      <c r="K24" s="576">
        <f t="shared" si="2"/>
        <v>5389.9168687999991</v>
      </c>
      <c r="L24" s="576">
        <f>17885+79.5398*46.856</f>
        <v>21611.916868799999</v>
      </c>
      <c r="M24" s="576">
        <v>60.5</v>
      </c>
      <c r="N24" s="576">
        <v>723.3</v>
      </c>
      <c r="O24" s="576">
        <f t="shared" si="3"/>
        <v>783.8</v>
      </c>
      <c r="P24" s="345">
        <v>212.7</v>
      </c>
      <c r="Q24" s="345">
        <v>181.6</v>
      </c>
      <c r="R24" s="345">
        <v>220.7</v>
      </c>
      <c r="S24" s="345">
        <v>772.1</v>
      </c>
      <c r="T24" s="345">
        <v>595.6</v>
      </c>
      <c r="U24" s="1073" t="s">
        <v>550</v>
      </c>
      <c r="V24" s="1074" t="s">
        <v>815</v>
      </c>
      <c r="W24" s="345">
        <v>374</v>
      </c>
      <c r="X24" s="345">
        <v>420</v>
      </c>
      <c r="Y24" s="345">
        <v>323.39999999999998</v>
      </c>
      <c r="Z24" s="345">
        <v>3058</v>
      </c>
      <c r="AA24" s="345">
        <v>1334.8</v>
      </c>
      <c r="AB24" s="345">
        <v>103.4</v>
      </c>
      <c r="AC24" s="345">
        <v>516.9</v>
      </c>
      <c r="AD24" s="345">
        <v>348.5</v>
      </c>
      <c r="AE24" s="345">
        <v>1436.1</v>
      </c>
      <c r="AF24" s="345">
        <v>2470.5</v>
      </c>
      <c r="AG24" s="345">
        <v>989.9</v>
      </c>
      <c r="AH24" s="345">
        <v>2900.2999999999997</v>
      </c>
      <c r="AI24" s="345">
        <v>450.59999999999997</v>
      </c>
      <c r="AJ24" s="345">
        <v>2535.5</v>
      </c>
      <c r="AK24" s="345">
        <v>2210.2000000000003</v>
      </c>
      <c r="AL24" s="345">
        <v>8990.2999999999993</v>
      </c>
      <c r="AM24" s="345">
        <f t="shared" ref="AM24:AM25" si="7">SUM(P24:T24)+SUM(W24:AL24)</f>
        <v>30445.1</v>
      </c>
      <c r="AN24" s="345">
        <f t="shared" ref="AN24" si="8">O24+AM24</f>
        <v>31228.899999999998</v>
      </c>
      <c r="AO24" s="345">
        <f t="shared" si="6"/>
        <v>-9616.9831311999988</v>
      </c>
      <c r="AP24" s="1073" t="s">
        <v>815</v>
      </c>
    </row>
    <row r="25" spans="1:42" s="386" customFormat="1" ht="11.25" customHeight="1">
      <c r="A25" s="1059" t="s">
        <v>824</v>
      </c>
      <c r="B25" s="597">
        <v>108</v>
      </c>
      <c r="C25" s="597">
        <v>577</v>
      </c>
      <c r="D25" s="597">
        <v>5</v>
      </c>
      <c r="E25" s="597">
        <v>118</v>
      </c>
      <c r="F25" s="597">
        <f>38+196</f>
        <v>234</v>
      </c>
      <c r="G25" s="597">
        <v>13919</v>
      </c>
      <c r="H25" s="597">
        <v>0</v>
      </c>
      <c r="I25" s="597">
        <v>0</v>
      </c>
      <c r="J25" s="597">
        <v>0</v>
      </c>
      <c r="K25" s="597">
        <f t="shared" ref="K25:K26" si="9">L25-SUM(B25:J25)</f>
        <v>4848.3767775999986</v>
      </c>
      <c r="L25" s="597">
        <f>16514+79.8376*41.276</f>
        <v>19809.376777599999</v>
      </c>
      <c r="M25" s="597">
        <v>61.5</v>
      </c>
      <c r="N25" s="597">
        <v>594.20000000000005</v>
      </c>
      <c r="O25" s="597">
        <f t="shared" si="3"/>
        <v>655.7</v>
      </c>
      <c r="P25" s="429">
        <v>247.10000000000002</v>
      </c>
      <c r="Q25" s="429">
        <v>203</v>
      </c>
      <c r="R25" s="429">
        <v>244.5</v>
      </c>
      <c r="S25" s="429">
        <v>719</v>
      </c>
      <c r="T25" s="429">
        <v>701.6</v>
      </c>
      <c r="U25" s="1058" t="s">
        <v>824</v>
      </c>
      <c r="V25" s="1059" t="s">
        <v>824</v>
      </c>
      <c r="W25" s="429">
        <v>374.4</v>
      </c>
      <c r="X25" s="429">
        <v>301.3</v>
      </c>
      <c r="Y25" s="429">
        <v>309.5</v>
      </c>
      <c r="Z25" s="429">
        <v>1989</v>
      </c>
      <c r="AA25" s="429">
        <v>1304.5</v>
      </c>
      <c r="AB25" s="429">
        <v>92.9</v>
      </c>
      <c r="AC25" s="429">
        <v>492.40000000000003</v>
      </c>
      <c r="AD25" s="429">
        <v>407.3</v>
      </c>
      <c r="AE25" s="429">
        <v>1560.1</v>
      </c>
      <c r="AF25" s="429">
        <v>2093.6</v>
      </c>
      <c r="AG25" s="429">
        <v>1086.6000000000001</v>
      </c>
      <c r="AH25" s="429">
        <v>2863.7</v>
      </c>
      <c r="AI25" s="429">
        <v>494.5</v>
      </c>
      <c r="AJ25" s="429">
        <v>1999.6000000000001</v>
      </c>
      <c r="AK25" s="429">
        <v>2410.8999999999996</v>
      </c>
      <c r="AL25" s="429">
        <v>10337.599999999997</v>
      </c>
      <c r="AM25" s="429">
        <f t="shared" si="7"/>
        <v>30233.099999999995</v>
      </c>
      <c r="AN25" s="429">
        <f t="shared" ref="AN25" si="10">O25+AM25</f>
        <v>30888.799999999996</v>
      </c>
      <c r="AO25" s="429">
        <f t="shared" si="6"/>
        <v>-11079.423222399997</v>
      </c>
      <c r="AP25" s="1058" t="s">
        <v>824</v>
      </c>
    </row>
    <row r="26" spans="1:42" s="386" customFormat="1" ht="11.25" customHeight="1">
      <c r="A26" s="575" t="s">
        <v>825</v>
      </c>
      <c r="B26" s="576">
        <v>71</v>
      </c>
      <c r="C26" s="576">
        <v>560</v>
      </c>
      <c r="D26" s="576">
        <v>5</v>
      </c>
      <c r="E26" s="576">
        <v>106</v>
      </c>
      <c r="F26" s="576">
        <f>52+227</f>
        <v>279</v>
      </c>
      <c r="G26" s="576">
        <v>14843</v>
      </c>
      <c r="H26" s="576">
        <v>0</v>
      </c>
      <c r="I26" s="576">
        <v>0</v>
      </c>
      <c r="J26" s="576">
        <v>0</v>
      </c>
      <c r="K26" s="576">
        <f t="shared" si="9"/>
        <v>5757.7281540049989</v>
      </c>
      <c r="L26" s="576">
        <f>17550+80.489615*50.587</f>
        <v>21621.728154004999</v>
      </c>
      <c r="M26" s="576">
        <v>77.2</v>
      </c>
      <c r="N26" s="576">
        <v>677.5</v>
      </c>
      <c r="O26" s="576">
        <f t="shared" si="3"/>
        <v>754.7</v>
      </c>
      <c r="P26" s="345">
        <v>195.10000000000002</v>
      </c>
      <c r="Q26" s="345">
        <v>222.79999999999998</v>
      </c>
      <c r="R26" s="345">
        <v>270.39999999999998</v>
      </c>
      <c r="S26" s="345">
        <v>1384.6</v>
      </c>
      <c r="T26" s="345">
        <v>640.29999999999995</v>
      </c>
      <c r="U26" s="1073" t="s">
        <v>825</v>
      </c>
      <c r="V26" s="1074" t="s">
        <v>825</v>
      </c>
      <c r="W26" s="345">
        <v>567.9</v>
      </c>
      <c r="X26" s="345">
        <v>438.5</v>
      </c>
      <c r="Y26" s="345">
        <v>391.8</v>
      </c>
      <c r="Z26" s="345">
        <v>2028.8000000000002</v>
      </c>
      <c r="AA26" s="345">
        <v>1399.3000000000002</v>
      </c>
      <c r="AB26" s="345">
        <v>107.5</v>
      </c>
      <c r="AC26" s="345">
        <v>316.5</v>
      </c>
      <c r="AD26" s="345">
        <v>423.20000000000005</v>
      </c>
      <c r="AE26" s="345">
        <v>1498.2</v>
      </c>
      <c r="AF26" s="345">
        <v>2187</v>
      </c>
      <c r="AG26" s="345">
        <v>1205.0999999999999</v>
      </c>
      <c r="AH26" s="345">
        <v>2876.8</v>
      </c>
      <c r="AI26" s="345">
        <v>485</v>
      </c>
      <c r="AJ26" s="345">
        <v>2191.9</v>
      </c>
      <c r="AK26" s="345">
        <v>2493.3999999999996</v>
      </c>
      <c r="AL26" s="345">
        <v>9667.9999999999982</v>
      </c>
      <c r="AM26" s="345">
        <f t="shared" ref="AM26" si="11">SUM(P26:T26)+SUM(W26:AL26)</f>
        <v>30992.100000000002</v>
      </c>
      <c r="AN26" s="345">
        <f t="shared" ref="AN26" si="12">O26+AM26</f>
        <v>31746.800000000003</v>
      </c>
      <c r="AO26" s="345">
        <f t="shared" si="6"/>
        <v>-10125.071845995004</v>
      </c>
      <c r="AP26" s="1073" t="s">
        <v>825</v>
      </c>
    </row>
    <row r="27" spans="1:42" s="386" customFormat="1" ht="11.25" customHeight="1">
      <c r="A27" s="644" t="s">
        <v>816</v>
      </c>
      <c r="B27" s="597">
        <v>59</v>
      </c>
      <c r="C27" s="597">
        <v>457</v>
      </c>
      <c r="D27" s="597">
        <v>1</v>
      </c>
      <c r="E27" s="597">
        <v>91</v>
      </c>
      <c r="F27" s="597">
        <f>21+275</f>
        <v>296</v>
      </c>
      <c r="G27" s="597">
        <v>12217</v>
      </c>
      <c r="H27" s="597">
        <v>0</v>
      </c>
      <c r="I27" s="597">
        <v>0</v>
      </c>
      <c r="J27" s="597">
        <v>0</v>
      </c>
      <c r="K27" s="597">
        <f t="shared" ref="K27:K29" si="13">L27-SUM(B27:J27)</f>
        <v>5457.6070899999977</v>
      </c>
      <c r="L27" s="597">
        <f>14682+80.585*48.354</f>
        <v>18578.607089999998</v>
      </c>
      <c r="M27" s="597">
        <v>198.3</v>
      </c>
      <c r="N27" s="597">
        <v>746.80000000000007</v>
      </c>
      <c r="O27" s="597">
        <f t="shared" si="3"/>
        <v>945.10000000000014</v>
      </c>
      <c r="P27" s="429">
        <v>181.7</v>
      </c>
      <c r="Q27" s="429">
        <v>189.6</v>
      </c>
      <c r="R27" s="429">
        <v>627.90000000000009</v>
      </c>
      <c r="S27" s="429">
        <v>1091.5</v>
      </c>
      <c r="T27" s="429">
        <v>263</v>
      </c>
      <c r="U27" s="1058" t="s">
        <v>816</v>
      </c>
      <c r="V27" s="1059" t="s">
        <v>816</v>
      </c>
      <c r="W27" s="429">
        <v>530.79999999999995</v>
      </c>
      <c r="X27" s="429">
        <v>222.1</v>
      </c>
      <c r="Y27" s="429">
        <v>609</v>
      </c>
      <c r="Z27" s="429">
        <v>1545.3</v>
      </c>
      <c r="AA27" s="429">
        <v>1053.1000000000001</v>
      </c>
      <c r="AB27" s="429">
        <v>71.3</v>
      </c>
      <c r="AC27" s="429">
        <v>242.5</v>
      </c>
      <c r="AD27" s="429">
        <v>326.59999999999997</v>
      </c>
      <c r="AE27" s="429">
        <v>1105.4000000000001</v>
      </c>
      <c r="AF27" s="429">
        <v>1793.5</v>
      </c>
      <c r="AG27" s="429">
        <v>1081.3</v>
      </c>
      <c r="AH27" s="429">
        <v>2086.1999999999998</v>
      </c>
      <c r="AI27" s="429">
        <v>347.5</v>
      </c>
      <c r="AJ27" s="429">
        <v>1704.7</v>
      </c>
      <c r="AK27" s="429">
        <v>2227.6999999999998</v>
      </c>
      <c r="AL27" s="429">
        <v>8313.7000000000007</v>
      </c>
      <c r="AM27" s="429">
        <f t="shared" ref="AM27" si="14">SUM(P27:T27)+SUM(W27:AL27)</f>
        <v>25614.400000000001</v>
      </c>
      <c r="AN27" s="429">
        <f t="shared" ref="AN27" si="15">O27+AM27</f>
        <v>26559.5</v>
      </c>
      <c r="AO27" s="429">
        <f t="shared" si="6"/>
        <v>-7980.8929100000023</v>
      </c>
      <c r="AP27" s="1058" t="s">
        <v>816</v>
      </c>
    </row>
    <row r="28" spans="1:42" s="386" customFormat="1" ht="11.25" customHeight="1">
      <c r="A28" s="970" t="s">
        <v>2268</v>
      </c>
      <c r="B28" s="1025">
        <f>SUM(B29:B40)</f>
        <v>1161</v>
      </c>
      <c r="C28" s="1025">
        <f t="shared" ref="C28:T28" si="16">SUM(C29:C40)</f>
        <v>6275</v>
      </c>
      <c r="D28" s="1025">
        <f t="shared" si="16"/>
        <v>21</v>
      </c>
      <c r="E28" s="1025">
        <f t="shared" si="16"/>
        <v>1282</v>
      </c>
      <c r="F28" s="1025">
        <f t="shared" si="16"/>
        <v>4089</v>
      </c>
      <c r="G28" s="1025">
        <f t="shared" si="16"/>
        <v>185413</v>
      </c>
      <c r="H28" s="1025">
        <f t="shared" si="16"/>
        <v>72</v>
      </c>
      <c r="I28" s="1025">
        <f t="shared" si="16"/>
        <v>13</v>
      </c>
      <c r="J28" s="1025">
        <f t="shared" si="16"/>
        <v>0</v>
      </c>
      <c r="K28" s="1025">
        <f t="shared" si="16"/>
        <v>68852.312488977797</v>
      </c>
      <c r="L28" s="1025">
        <f t="shared" si="16"/>
        <v>267178.3124889778</v>
      </c>
      <c r="M28" s="1025">
        <f t="shared" si="16"/>
        <v>14319</v>
      </c>
      <c r="N28" s="1025">
        <f t="shared" si="16"/>
        <v>10064.500000000002</v>
      </c>
      <c r="O28" s="1025">
        <f t="shared" si="16"/>
        <v>24383.499999999996</v>
      </c>
      <c r="P28" s="1025">
        <f t="shared" si="16"/>
        <v>2371.4</v>
      </c>
      <c r="Q28" s="1025">
        <f t="shared" si="16"/>
        <v>2362.4</v>
      </c>
      <c r="R28" s="1025">
        <f t="shared" si="16"/>
        <v>4176.3000000000011</v>
      </c>
      <c r="S28" s="1025">
        <f t="shared" si="16"/>
        <v>14447.800000000001</v>
      </c>
      <c r="T28" s="1025">
        <f t="shared" si="16"/>
        <v>3349</v>
      </c>
      <c r="U28" s="971" t="s">
        <v>2268</v>
      </c>
      <c r="V28" s="970" t="s">
        <v>2268</v>
      </c>
      <c r="W28" s="1025">
        <f t="shared" ref="W28:AO28" si="17">SUM(W29:W40)</f>
        <v>7766.4</v>
      </c>
      <c r="X28" s="1025">
        <f t="shared" si="17"/>
        <v>4264</v>
      </c>
      <c r="Y28" s="1025">
        <f t="shared" si="17"/>
        <v>4577.5</v>
      </c>
      <c r="Z28" s="1025">
        <f t="shared" si="17"/>
        <v>34122.799999999996</v>
      </c>
      <c r="AA28" s="1025">
        <f t="shared" si="17"/>
        <v>17548</v>
      </c>
      <c r="AB28" s="1025">
        <f t="shared" si="17"/>
        <v>1251.8</v>
      </c>
      <c r="AC28" s="1025">
        <f t="shared" si="17"/>
        <v>7141.9000000000015</v>
      </c>
      <c r="AD28" s="1025">
        <f t="shared" si="17"/>
        <v>5078.1000000000004</v>
      </c>
      <c r="AE28" s="1025">
        <f t="shared" si="17"/>
        <v>17772.7</v>
      </c>
      <c r="AF28" s="1025">
        <f t="shared" si="17"/>
        <v>24249.800000000003</v>
      </c>
      <c r="AG28" s="1025">
        <f t="shared" si="17"/>
        <v>15664.1</v>
      </c>
      <c r="AH28" s="1025">
        <f t="shared" si="17"/>
        <v>37509.1</v>
      </c>
      <c r="AI28" s="1025">
        <f t="shared" si="17"/>
        <v>5682</v>
      </c>
      <c r="AJ28" s="1025">
        <f t="shared" si="17"/>
        <v>31458.999999999996</v>
      </c>
      <c r="AK28" s="1025">
        <f t="shared" si="17"/>
        <v>37712.400000000009</v>
      </c>
      <c r="AL28" s="1025">
        <f t="shared" si="17"/>
        <v>132150.9</v>
      </c>
      <c r="AM28" s="1025">
        <f t="shared" si="17"/>
        <v>410657.39999999991</v>
      </c>
      <c r="AN28" s="1025">
        <f t="shared" si="17"/>
        <v>435040.89999999997</v>
      </c>
      <c r="AO28" s="1025">
        <f t="shared" si="17"/>
        <v>-167862.58751102214</v>
      </c>
      <c r="AP28" s="971" t="s">
        <v>2268</v>
      </c>
    </row>
    <row r="29" spans="1:42" s="386" customFormat="1" ht="11.25" customHeight="1">
      <c r="A29" s="468" t="s">
        <v>818</v>
      </c>
      <c r="B29" s="597">
        <v>64</v>
      </c>
      <c r="C29" s="597">
        <v>469</v>
      </c>
      <c r="D29" s="597">
        <v>1</v>
      </c>
      <c r="E29" s="597">
        <v>120</v>
      </c>
      <c r="F29" s="597">
        <f>36+349</f>
        <v>385</v>
      </c>
      <c r="G29" s="597">
        <v>15963</v>
      </c>
      <c r="H29" s="597">
        <v>0</v>
      </c>
      <c r="I29" s="597">
        <v>0</v>
      </c>
      <c r="J29" s="597">
        <v>0</v>
      </c>
      <c r="K29" s="597">
        <f t="shared" si="13"/>
        <v>6178.6473564000007</v>
      </c>
      <c r="L29" s="597">
        <f>19075+80.6262*50.922</f>
        <v>23180.647356400001</v>
      </c>
      <c r="M29" s="597">
        <v>586.29999999999995</v>
      </c>
      <c r="N29" s="597">
        <v>539</v>
      </c>
      <c r="O29" s="597">
        <f t="shared" ref="O29:O40" si="18">M29+N29</f>
        <v>1125.3</v>
      </c>
      <c r="P29" s="429">
        <v>99.8</v>
      </c>
      <c r="Q29" s="429">
        <v>212.1</v>
      </c>
      <c r="R29" s="429">
        <v>243.8</v>
      </c>
      <c r="S29" s="429">
        <v>1153.5</v>
      </c>
      <c r="T29" s="429">
        <v>208.1</v>
      </c>
      <c r="U29" s="470" t="s">
        <v>818</v>
      </c>
      <c r="V29" s="468" t="s">
        <v>818</v>
      </c>
      <c r="W29" s="429">
        <v>909.4</v>
      </c>
      <c r="X29" s="429">
        <v>321</v>
      </c>
      <c r="Y29" s="429">
        <v>276.8</v>
      </c>
      <c r="Z29" s="429">
        <v>1697.9</v>
      </c>
      <c r="AA29" s="429">
        <v>1420</v>
      </c>
      <c r="AB29" s="429">
        <v>128.80000000000001</v>
      </c>
      <c r="AC29" s="429">
        <v>262.60000000000002</v>
      </c>
      <c r="AD29" s="429">
        <v>454</v>
      </c>
      <c r="AE29" s="429">
        <v>1420.4</v>
      </c>
      <c r="AF29" s="429">
        <v>2011.7</v>
      </c>
      <c r="AG29" s="429">
        <v>1371.7</v>
      </c>
      <c r="AH29" s="429">
        <v>3537.6</v>
      </c>
      <c r="AI29" s="429">
        <v>420.5</v>
      </c>
      <c r="AJ29" s="429">
        <v>2422.8000000000002</v>
      </c>
      <c r="AK29" s="429">
        <v>2766.2</v>
      </c>
      <c r="AL29" s="429">
        <f>4341.3+3253.8+2168.8</f>
        <v>9763.9000000000015</v>
      </c>
      <c r="AM29" s="429">
        <f t="shared" ref="AM29" si="19">SUM(P29:T29)+SUM(W29:AL29)</f>
        <v>31102.600000000006</v>
      </c>
      <c r="AN29" s="429">
        <f t="shared" ref="AN29" si="20">O29+AM29</f>
        <v>32227.900000000005</v>
      </c>
      <c r="AO29" s="429">
        <f t="shared" ref="AO29:AO34" si="21">L29-AN29</f>
        <v>-9047.2526436000044</v>
      </c>
      <c r="AP29" s="470" t="s">
        <v>818</v>
      </c>
    </row>
    <row r="30" spans="1:42" s="386" customFormat="1" ht="11.25" customHeight="1">
      <c r="A30" s="722" t="s">
        <v>148</v>
      </c>
      <c r="B30" s="576">
        <v>63</v>
      </c>
      <c r="C30" s="576">
        <v>499</v>
      </c>
      <c r="D30" s="576">
        <v>2</v>
      </c>
      <c r="E30" s="576">
        <v>179</v>
      </c>
      <c r="F30" s="576">
        <f>31+478</f>
        <v>509</v>
      </c>
      <c r="G30" s="576">
        <v>16317</v>
      </c>
      <c r="H30" s="576">
        <v>0</v>
      </c>
      <c r="I30" s="576">
        <v>0</v>
      </c>
      <c r="J30" s="576">
        <v>0</v>
      </c>
      <c r="K30" s="576">
        <f t="shared" ref="K30:K31" si="22">L30-SUM(B30:J30)</f>
        <v>6453.0601239200005</v>
      </c>
      <c r="L30" s="576">
        <f>19525+80.693704*55.73</f>
        <v>24022.06012392</v>
      </c>
      <c r="M30" s="576">
        <v>1051.2</v>
      </c>
      <c r="N30" s="576">
        <v>574.9</v>
      </c>
      <c r="O30" s="576">
        <f t="shared" si="18"/>
        <v>1626.1</v>
      </c>
      <c r="P30" s="345">
        <v>110.4</v>
      </c>
      <c r="Q30" s="345">
        <v>242.6</v>
      </c>
      <c r="R30" s="345">
        <v>510.4</v>
      </c>
      <c r="S30" s="345">
        <v>1063.5999999999999</v>
      </c>
      <c r="T30" s="345">
        <v>200.8</v>
      </c>
      <c r="U30" s="723" t="s">
        <v>148</v>
      </c>
      <c r="V30" s="722" t="s">
        <v>819</v>
      </c>
      <c r="W30" s="345">
        <v>775.8</v>
      </c>
      <c r="X30" s="345">
        <v>310.39999999999998</v>
      </c>
      <c r="Y30" s="345">
        <v>278.39999999999998</v>
      </c>
      <c r="Z30" s="345">
        <v>2405.6</v>
      </c>
      <c r="AA30" s="345">
        <v>1486.8</v>
      </c>
      <c r="AB30" s="345">
        <v>110.7</v>
      </c>
      <c r="AC30" s="345">
        <v>356.6</v>
      </c>
      <c r="AD30" s="345">
        <v>402.6</v>
      </c>
      <c r="AE30" s="345">
        <v>1395.5</v>
      </c>
      <c r="AF30" s="345">
        <v>1820.5</v>
      </c>
      <c r="AG30" s="345">
        <v>1336.3</v>
      </c>
      <c r="AH30" s="345">
        <v>3130.5</v>
      </c>
      <c r="AI30" s="345">
        <v>406.2</v>
      </c>
      <c r="AJ30" s="345">
        <v>2528.1999999999998</v>
      </c>
      <c r="AK30" s="345">
        <v>2691.9</v>
      </c>
      <c r="AL30" s="345">
        <f>4081.9+3213.1+2160.2</f>
        <v>9455.2000000000007</v>
      </c>
      <c r="AM30" s="345">
        <f t="shared" ref="AM30" si="23">SUM(P30:T30)+SUM(W30:AL30)</f>
        <v>31019.000000000004</v>
      </c>
      <c r="AN30" s="345">
        <f t="shared" ref="AN30" si="24">O30+AM30</f>
        <v>32645.100000000002</v>
      </c>
      <c r="AO30" s="345">
        <f t="shared" si="21"/>
        <v>-8623.0398760800017</v>
      </c>
      <c r="AP30" s="723" t="s">
        <v>819</v>
      </c>
    </row>
    <row r="31" spans="1:42" s="386" customFormat="1" ht="11.25" customHeight="1">
      <c r="A31" s="468" t="s">
        <v>813</v>
      </c>
      <c r="B31" s="597">
        <v>71</v>
      </c>
      <c r="C31" s="597">
        <v>473</v>
      </c>
      <c r="D31" s="597">
        <v>1</v>
      </c>
      <c r="E31" s="597">
        <v>86</v>
      </c>
      <c r="F31" s="597">
        <f>36+359</f>
        <v>395</v>
      </c>
      <c r="G31" s="597">
        <v>13869</v>
      </c>
      <c r="H31" s="597">
        <v>0</v>
      </c>
      <c r="I31" s="597">
        <v>0</v>
      </c>
      <c r="J31" s="597">
        <v>0</v>
      </c>
      <c r="K31" s="597">
        <f t="shared" si="22"/>
        <v>4068.5959579999981</v>
      </c>
      <c r="L31" s="597">
        <f>16439+80.7354*31.27</f>
        <v>18963.595957999998</v>
      </c>
      <c r="M31" s="597">
        <v>1272</v>
      </c>
      <c r="N31" s="597">
        <v>1074.7</v>
      </c>
      <c r="O31" s="597">
        <f t="shared" si="18"/>
        <v>2346.6999999999998</v>
      </c>
      <c r="P31" s="429">
        <v>123.6</v>
      </c>
      <c r="Q31" s="429">
        <v>126.2</v>
      </c>
      <c r="R31" s="429">
        <v>223.5</v>
      </c>
      <c r="S31" s="429">
        <v>1123.0999999999999</v>
      </c>
      <c r="T31" s="429">
        <v>145.19999999999999</v>
      </c>
      <c r="U31" s="470" t="s">
        <v>813</v>
      </c>
      <c r="V31" s="468" t="s">
        <v>813</v>
      </c>
      <c r="W31" s="429">
        <v>843</v>
      </c>
      <c r="X31" s="429">
        <v>199.4</v>
      </c>
      <c r="Y31" s="429">
        <v>302.8</v>
      </c>
      <c r="Z31" s="429">
        <v>1954.5</v>
      </c>
      <c r="AA31" s="429">
        <v>1173.8</v>
      </c>
      <c r="AB31" s="429">
        <v>72.900000000000006</v>
      </c>
      <c r="AC31" s="429">
        <v>421.3</v>
      </c>
      <c r="AD31" s="429">
        <v>342.4</v>
      </c>
      <c r="AE31" s="429">
        <v>1252.5</v>
      </c>
      <c r="AF31" s="429">
        <v>1659.4</v>
      </c>
      <c r="AG31" s="429">
        <v>1176.2</v>
      </c>
      <c r="AH31" s="429">
        <v>2621.4</v>
      </c>
      <c r="AI31" s="429">
        <v>351.4</v>
      </c>
      <c r="AJ31" s="429">
        <v>2294.8000000000002</v>
      </c>
      <c r="AK31" s="429">
        <v>2152.4</v>
      </c>
      <c r="AL31" s="429">
        <f>4794.2+3367.2+2002.2</f>
        <v>10163.6</v>
      </c>
      <c r="AM31" s="429">
        <f t="shared" ref="AM31" si="25">SUM(P31:T31)+SUM(W31:AL31)</f>
        <v>28723.4</v>
      </c>
      <c r="AN31" s="429">
        <f t="shared" ref="AN31" si="26">O31+AM31</f>
        <v>31070.100000000002</v>
      </c>
      <c r="AO31" s="429">
        <f t="shared" si="21"/>
        <v>-12106.504042000004</v>
      </c>
      <c r="AP31" s="470" t="s">
        <v>813</v>
      </c>
    </row>
    <row r="32" spans="1:42" s="386" customFormat="1" ht="11.25" customHeight="1">
      <c r="A32" s="722" t="s">
        <v>820</v>
      </c>
      <c r="B32" s="576">
        <v>89</v>
      </c>
      <c r="C32" s="576">
        <v>587</v>
      </c>
      <c r="D32" s="576">
        <v>1</v>
      </c>
      <c r="E32" s="576">
        <v>106</v>
      </c>
      <c r="F32" s="576">
        <f>45+426</f>
        <v>471</v>
      </c>
      <c r="G32" s="576">
        <v>15365</v>
      </c>
      <c r="H32" s="576">
        <v>72</v>
      </c>
      <c r="I32" s="576">
        <v>0</v>
      </c>
      <c r="J32" s="576">
        <v>0</v>
      </c>
      <c r="K32" s="576">
        <f t="shared" ref="K32:K33" si="27">L32-SUM(B32:J32)</f>
        <v>5536.336658764998</v>
      </c>
      <c r="L32" s="576">
        <f>18698+80.820185*43.669</f>
        <v>22227.336658764998</v>
      </c>
      <c r="M32" s="576">
        <v>1484.3999999999999</v>
      </c>
      <c r="N32" s="576">
        <v>1089.2</v>
      </c>
      <c r="O32" s="576">
        <f t="shared" si="18"/>
        <v>2573.6</v>
      </c>
      <c r="P32" s="345">
        <v>219.9</v>
      </c>
      <c r="Q32" s="345">
        <v>141.80000000000001</v>
      </c>
      <c r="R32" s="345">
        <v>403.6</v>
      </c>
      <c r="S32" s="345">
        <v>1553.9</v>
      </c>
      <c r="T32" s="345">
        <v>218.5</v>
      </c>
      <c r="U32" s="723" t="s">
        <v>820</v>
      </c>
      <c r="V32" s="722" t="s">
        <v>820</v>
      </c>
      <c r="W32" s="345">
        <v>959.1</v>
      </c>
      <c r="X32" s="345">
        <v>314</v>
      </c>
      <c r="Y32" s="345">
        <v>0</v>
      </c>
      <c r="Z32" s="345">
        <v>2857.7</v>
      </c>
      <c r="AA32" s="345">
        <v>1371.9</v>
      </c>
      <c r="AB32" s="345">
        <v>85.8</v>
      </c>
      <c r="AC32" s="345">
        <v>977.59999999999991</v>
      </c>
      <c r="AD32" s="345">
        <v>458.9</v>
      </c>
      <c r="AE32" s="345">
        <v>1449.9</v>
      </c>
      <c r="AF32" s="345">
        <v>1674.3</v>
      </c>
      <c r="AG32" s="345">
        <v>1288.2</v>
      </c>
      <c r="AH32" s="345">
        <v>2750.3</v>
      </c>
      <c r="AI32" s="345">
        <v>369</v>
      </c>
      <c r="AJ32" s="345">
        <v>2298.9</v>
      </c>
      <c r="AK32" s="345">
        <v>2908.5</v>
      </c>
      <c r="AL32" s="345">
        <f>4745.2+3623.6+2318.7</f>
        <v>10687.5</v>
      </c>
      <c r="AM32" s="345">
        <f t="shared" ref="AM32" si="28">SUM(P32:T32)+SUM(W32:AL32)</f>
        <v>32989.299999999996</v>
      </c>
      <c r="AN32" s="345">
        <f t="shared" ref="AN32" si="29">O32+AM32</f>
        <v>35562.899999999994</v>
      </c>
      <c r="AO32" s="345">
        <f t="shared" si="21"/>
        <v>-13335.563341234996</v>
      </c>
      <c r="AP32" s="723" t="s">
        <v>820</v>
      </c>
    </row>
    <row r="33" spans="1:42" s="386" customFormat="1" ht="11.25" customHeight="1">
      <c r="A33" s="468" t="s">
        <v>821</v>
      </c>
      <c r="B33" s="597">
        <v>139</v>
      </c>
      <c r="C33" s="597">
        <v>615</v>
      </c>
      <c r="D33" s="597">
        <v>3</v>
      </c>
      <c r="E33" s="597">
        <v>102</v>
      </c>
      <c r="F33" s="597">
        <f>39+300</f>
        <v>339</v>
      </c>
      <c r="G33" s="597">
        <v>14715</v>
      </c>
      <c r="H33" s="597">
        <v>0</v>
      </c>
      <c r="I33" s="597">
        <v>0</v>
      </c>
      <c r="J33" s="597">
        <v>0</v>
      </c>
      <c r="K33" s="597">
        <f t="shared" si="27"/>
        <v>5867.8601950000011</v>
      </c>
      <c r="L33" s="597">
        <f>17654+81.255*50.789</f>
        <v>21780.860195000001</v>
      </c>
      <c r="M33" s="597">
        <v>1765.9</v>
      </c>
      <c r="N33" s="597">
        <v>1238.8</v>
      </c>
      <c r="O33" s="597">
        <f t="shared" si="18"/>
        <v>3004.7</v>
      </c>
      <c r="P33" s="429">
        <v>267.10000000000002</v>
      </c>
      <c r="Q33" s="429">
        <v>176.7</v>
      </c>
      <c r="R33" s="429">
        <v>409.8</v>
      </c>
      <c r="S33" s="429">
        <v>1634.2</v>
      </c>
      <c r="T33" s="429">
        <v>121.8</v>
      </c>
      <c r="U33" s="470" t="s">
        <v>821</v>
      </c>
      <c r="V33" s="468" t="s">
        <v>821</v>
      </c>
      <c r="W33" s="429">
        <v>1182.4000000000001</v>
      </c>
      <c r="X33" s="429">
        <v>258.8</v>
      </c>
      <c r="Y33" s="429">
        <v>0</v>
      </c>
      <c r="Z33" s="429">
        <v>2707.9</v>
      </c>
      <c r="AA33" s="429">
        <v>1488.5</v>
      </c>
      <c r="AB33" s="429">
        <v>109.4</v>
      </c>
      <c r="AC33" s="429">
        <v>842.7</v>
      </c>
      <c r="AD33" s="429">
        <v>406.8</v>
      </c>
      <c r="AE33" s="429">
        <v>1500.4</v>
      </c>
      <c r="AF33" s="429">
        <v>1471.2</v>
      </c>
      <c r="AG33" s="429">
        <v>1259.5999999999999</v>
      </c>
      <c r="AH33" s="429">
        <v>2933.4</v>
      </c>
      <c r="AI33" s="429">
        <v>406.2</v>
      </c>
      <c r="AJ33" s="429">
        <v>2562.6</v>
      </c>
      <c r="AK33" s="429">
        <v>2811.2</v>
      </c>
      <c r="AL33" s="429">
        <f>4500.2+3572.7+2517.3</f>
        <v>10590.2</v>
      </c>
      <c r="AM33" s="429">
        <f t="shared" ref="AM33" si="30">SUM(P33:T33)+SUM(W33:AL33)</f>
        <v>33140.9</v>
      </c>
      <c r="AN33" s="429">
        <f t="shared" ref="AN33" si="31">O33+AM33</f>
        <v>36145.599999999999</v>
      </c>
      <c r="AO33" s="429">
        <f t="shared" si="21"/>
        <v>-14364.739804999997</v>
      </c>
      <c r="AP33" s="470" t="s">
        <v>821</v>
      </c>
    </row>
    <row r="34" spans="1:42" s="386" customFormat="1" ht="11.25" customHeight="1">
      <c r="A34" s="722" t="s">
        <v>814</v>
      </c>
      <c r="B34" s="576">
        <v>93</v>
      </c>
      <c r="C34" s="576">
        <v>529</v>
      </c>
      <c r="D34" s="576">
        <v>2</v>
      </c>
      <c r="E34" s="576">
        <v>101</v>
      </c>
      <c r="F34" s="576">
        <f>56+299</f>
        <v>355</v>
      </c>
      <c r="G34" s="576">
        <v>13336</v>
      </c>
      <c r="H34" s="576">
        <v>0</v>
      </c>
      <c r="I34" s="576">
        <v>0</v>
      </c>
      <c r="J34" s="576">
        <v>0</v>
      </c>
      <c r="K34" s="576">
        <f t="shared" ref="K34" si="32">L34-SUM(B34:J34)</f>
        <v>5746.1156800000026</v>
      </c>
      <c r="L34" s="576">
        <f>16089+82.552*49.34</f>
        <v>20162.115680000003</v>
      </c>
      <c r="M34" s="576">
        <v>1468.3</v>
      </c>
      <c r="N34" s="576">
        <v>1209</v>
      </c>
      <c r="O34" s="576">
        <f t="shared" si="18"/>
        <v>2677.3</v>
      </c>
      <c r="P34" s="345">
        <v>211.9</v>
      </c>
      <c r="Q34" s="345">
        <v>129.6</v>
      </c>
      <c r="R34" s="345">
        <v>66.5</v>
      </c>
      <c r="S34" s="345">
        <v>987.2</v>
      </c>
      <c r="T34" s="345">
        <v>187</v>
      </c>
      <c r="U34" s="723" t="s">
        <v>814</v>
      </c>
      <c r="V34" s="722" t="s">
        <v>814</v>
      </c>
      <c r="W34" s="345">
        <v>288.39999999999998</v>
      </c>
      <c r="X34" s="345">
        <v>301.7</v>
      </c>
      <c r="Y34" s="345">
        <v>370.1</v>
      </c>
      <c r="Z34" s="345">
        <v>2585.9</v>
      </c>
      <c r="AA34" s="345">
        <v>1325.1</v>
      </c>
      <c r="AB34" s="345">
        <v>126.3</v>
      </c>
      <c r="AC34" s="345">
        <v>658.3</v>
      </c>
      <c r="AD34" s="345">
        <v>412.8</v>
      </c>
      <c r="AE34" s="345">
        <v>1374</v>
      </c>
      <c r="AF34" s="345">
        <v>1660.6</v>
      </c>
      <c r="AG34" s="345">
        <v>1090.5999999999999</v>
      </c>
      <c r="AH34" s="345">
        <v>2775.7</v>
      </c>
      <c r="AI34" s="345">
        <v>473.9</v>
      </c>
      <c r="AJ34" s="345">
        <v>2690.6</v>
      </c>
      <c r="AK34" s="345">
        <v>3049.6</v>
      </c>
      <c r="AL34" s="345">
        <f>5159.1+3386+2451</f>
        <v>10996.1</v>
      </c>
      <c r="AM34" s="345">
        <f t="shared" ref="AM34" si="33">SUM(P34:T34)+SUM(W34:AL34)</f>
        <v>31761.899999999998</v>
      </c>
      <c r="AN34" s="345">
        <f t="shared" ref="AN34" si="34">O34+AM34</f>
        <v>34439.199999999997</v>
      </c>
      <c r="AO34" s="345">
        <f t="shared" si="21"/>
        <v>-14277.084319999994</v>
      </c>
      <c r="AP34" s="723" t="s">
        <v>814</v>
      </c>
    </row>
    <row r="35" spans="1:42" s="386" customFormat="1" ht="11.25" customHeight="1">
      <c r="A35" s="468" t="s">
        <v>822</v>
      </c>
      <c r="B35" s="597">
        <v>119</v>
      </c>
      <c r="C35" s="597">
        <v>581</v>
      </c>
      <c r="D35" s="597">
        <v>3</v>
      </c>
      <c r="E35" s="597">
        <v>100</v>
      </c>
      <c r="F35" s="597">
        <f>49+356</f>
        <v>405</v>
      </c>
      <c r="G35" s="597">
        <v>16323</v>
      </c>
      <c r="H35" s="597">
        <v>0</v>
      </c>
      <c r="I35" s="597">
        <v>0</v>
      </c>
      <c r="J35" s="597">
        <v>0</v>
      </c>
      <c r="K35" s="597">
        <f t="shared" ref="K35" si="35">L35-SUM(B35:J35)</f>
        <v>6354.1537700000008</v>
      </c>
      <c r="L35" s="597">
        <f>19516+82.815*52.758</f>
        <v>23885.153770000001</v>
      </c>
      <c r="M35" s="597">
        <v>1998.3000000000002</v>
      </c>
      <c r="N35" s="597">
        <v>1078.0999999999999</v>
      </c>
      <c r="O35" s="597">
        <f t="shared" si="18"/>
        <v>3076.4</v>
      </c>
      <c r="P35" s="429">
        <v>163</v>
      </c>
      <c r="Q35" s="429">
        <v>344.3</v>
      </c>
      <c r="R35" s="429">
        <v>313.5</v>
      </c>
      <c r="S35" s="429">
        <v>912.5</v>
      </c>
      <c r="T35" s="429">
        <v>337.6</v>
      </c>
      <c r="U35" s="470" t="s">
        <v>822</v>
      </c>
      <c r="V35" s="468" t="s">
        <v>822</v>
      </c>
      <c r="W35" s="429">
        <v>600.70000000000005</v>
      </c>
      <c r="X35" s="429">
        <v>404.9</v>
      </c>
      <c r="Y35" s="429">
        <v>785.8</v>
      </c>
      <c r="Z35" s="429">
        <v>2588.7000000000003</v>
      </c>
      <c r="AA35" s="429">
        <v>1625.9</v>
      </c>
      <c r="AB35" s="429">
        <v>92.9</v>
      </c>
      <c r="AC35" s="429">
        <v>534.6</v>
      </c>
      <c r="AD35" s="429">
        <v>471.1</v>
      </c>
      <c r="AE35" s="429">
        <v>1588.6</v>
      </c>
      <c r="AF35" s="429">
        <v>2250.5</v>
      </c>
      <c r="AG35" s="429">
        <v>1317</v>
      </c>
      <c r="AH35" s="429">
        <v>3900.8</v>
      </c>
      <c r="AI35" s="429">
        <v>554.70000000000005</v>
      </c>
      <c r="AJ35" s="429">
        <v>2785.1</v>
      </c>
      <c r="AK35" s="429">
        <v>3783.6</v>
      </c>
      <c r="AL35" s="429">
        <f>6290+4322.2+2814.1</f>
        <v>13426.300000000001</v>
      </c>
      <c r="AM35" s="429">
        <f t="shared" ref="AM35" si="36">SUM(P35:T35)+SUM(W35:AL35)</f>
        <v>38782.1</v>
      </c>
      <c r="AN35" s="429">
        <f t="shared" ref="AN35" si="37">O35+AM35</f>
        <v>41858.5</v>
      </c>
      <c r="AO35" s="429">
        <f t="shared" ref="AO35" si="38">L35-AN35</f>
        <v>-17973.346229999999</v>
      </c>
      <c r="AP35" s="470" t="s">
        <v>822</v>
      </c>
    </row>
    <row r="36" spans="1:42" s="386" customFormat="1" ht="11.25" customHeight="1">
      <c r="A36" s="722" t="s">
        <v>823</v>
      </c>
      <c r="B36" s="576">
        <v>92</v>
      </c>
      <c r="C36" s="576">
        <v>471</v>
      </c>
      <c r="D36" s="576">
        <v>2</v>
      </c>
      <c r="E36" s="576">
        <v>63</v>
      </c>
      <c r="F36" s="576">
        <f>60+195</f>
        <v>255</v>
      </c>
      <c r="G36" s="576">
        <v>14991</v>
      </c>
      <c r="H36" s="576">
        <v>0</v>
      </c>
      <c r="I36" s="576">
        <v>0</v>
      </c>
      <c r="J36" s="576">
        <v>0</v>
      </c>
      <c r="K36" s="576">
        <f t="shared" ref="K36" si="39">L36-SUM(B36:J36)</f>
        <v>5327.0531378968008</v>
      </c>
      <c r="L36" s="576">
        <f>17444+82.919583*45.3096</f>
        <v>21201.053137896801</v>
      </c>
      <c r="M36" s="576">
        <v>1431.7</v>
      </c>
      <c r="N36" s="576">
        <v>683.7</v>
      </c>
      <c r="O36" s="576">
        <f t="shared" si="18"/>
        <v>2115.4</v>
      </c>
      <c r="P36" s="345">
        <v>215.6</v>
      </c>
      <c r="Q36" s="345">
        <v>148.80000000000001</v>
      </c>
      <c r="R36" s="345">
        <v>231.60000000000002</v>
      </c>
      <c r="S36" s="345">
        <v>1229.9000000000001</v>
      </c>
      <c r="T36" s="345">
        <v>199.3</v>
      </c>
      <c r="U36" s="723" t="s">
        <v>823</v>
      </c>
      <c r="V36" s="722" t="s">
        <v>823</v>
      </c>
      <c r="W36" s="345">
        <v>334.1</v>
      </c>
      <c r="X36" s="345">
        <v>368.1</v>
      </c>
      <c r="Y36" s="345">
        <v>412.9</v>
      </c>
      <c r="Z36" s="345">
        <v>2973.1</v>
      </c>
      <c r="AA36" s="345">
        <v>1526.9</v>
      </c>
      <c r="AB36" s="345">
        <v>104.8</v>
      </c>
      <c r="AC36" s="345">
        <v>664.5</v>
      </c>
      <c r="AD36" s="345">
        <v>404.29999999999995</v>
      </c>
      <c r="AE36" s="345">
        <v>1291.0999999999999</v>
      </c>
      <c r="AF36" s="345">
        <v>2224</v>
      </c>
      <c r="AG36" s="345">
        <v>1306.3999999999999</v>
      </c>
      <c r="AH36" s="345">
        <v>3122</v>
      </c>
      <c r="AI36" s="345">
        <v>532.6</v>
      </c>
      <c r="AJ36" s="345">
        <v>2255.1000000000004</v>
      </c>
      <c r="AK36" s="345">
        <v>3099.6</v>
      </c>
      <c r="AL36" s="345">
        <f>5564.4+3189.8+2717.3</f>
        <v>11471.5</v>
      </c>
      <c r="AM36" s="345">
        <f t="shared" ref="AM36" si="40">SUM(P36:T36)+SUM(W36:AL36)</f>
        <v>34116.199999999997</v>
      </c>
      <c r="AN36" s="345">
        <f t="shared" ref="AN36" si="41">O36+AM36</f>
        <v>36231.599999999999</v>
      </c>
      <c r="AO36" s="345">
        <f t="shared" ref="AO36" si="42">L36-AN36</f>
        <v>-15030.546862103198</v>
      </c>
      <c r="AP36" s="723" t="s">
        <v>823</v>
      </c>
    </row>
    <row r="37" spans="1:42" s="386" customFormat="1" ht="11.25" customHeight="1">
      <c r="A37" s="468" t="s">
        <v>550</v>
      </c>
      <c r="B37" s="597">
        <v>103</v>
      </c>
      <c r="C37" s="597">
        <v>480</v>
      </c>
      <c r="D37" s="597">
        <v>1</v>
      </c>
      <c r="E37" s="597">
        <v>104</v>
      </c>
      <c r="F37" s="597">
        <f>57+170</f>
        <v>227</v>
      </c>
      <c r="G37" s="597">
        <v>16505</v>
      </c>
      <c r="H37" s="597">
        <v>0</v>
      </c>
      <c r="I37" s="597">
        <v>2</v>
      </c>
      <c r="J37" s="597">
        <v>0</v>
      </c>
      <c r="K37" s="597">
        <f t="shared" ref="K37" si="43">L37-SUM(B37:J37)</f>
        <v>5736.3449599999985</v>
      </c>
      <c r="L37" s="597">
        <f>19087+82.96*49.076</f>
        <v>23158.344959999999</v>
      </c>
      <c r="M37" s="597">
        <v>1147.9000000000001</v>
      </c>
      <c r="N37" s="597">
        <v>626.9</v>
      </c>
      <c r="O37" s="597">
        <f t="shared" si="18"/>
        <v>1774.8000000000002</v>
      </c>
      <c r="P37" s="429">
        <v>291.10000000000002</v>
      </c>
      <c r="Q37" s="429">
        <v>185.9</v>
      </c>
      <c r="R37" s="429">
        <v>261.3</v>
      </c>
      <c r="S37" s="429">
        <v>1116.4000000000001</v>
      </c>
      <c r="T37" s="429">
        <v>473</v>
      </c>
      <c r="U37" s="470" t="s">
        <v>550</v>
      </c>
      <c r="V37" s="468" t="s">
        <v>815</v>
      </c>
      <c r="W37" s="429">
        <v>477.1</v>
      </c>
      <c r="X37" s="429">
        <v>366</v>
      </c>
      <c r="Y37" s="429">
        <v>392.6</v>
      </c>
      <c r="Z37" s="429">
        <v>3089.3</v>
      </c>
      <c r="AA37" s="429">
        <v>1478.7</v>
      </c>
      <c r="AB37" s="429">
        <v>118.1</v>
      </c>
      <c r="AC37" s="429">
        <v>853.8</v>
      </c>
      <c r="AD37" s="429">
        <v>407.9</v>
      </c>
      <c r="AE37" s="429">
        <v>1560.2</v>
      </c>
      <c r="AF37" s="429">
        <v>2597.1999999999998</v>
      </c>
      <c r="AG37" s="429">
        <v>1203.4000000000001</v>
      </c>
      <c r="AH37" s="429">
        <v>3059.7</v>
      </c>
      <c r="AI37" s="429">
        <v>560.1</v>
      </c>
      <c r="AJ37" s="429">
        <v>2427.1</v>
      </c>
      <c r="AK37" s="429">
        <v>3053.2</v>
      </c>
      <c r="AL37" s="429">
        <f>5536.9+3470+2242.4</f>
        <v>11249.3</v>
      </c>
      <c r="AM37" s="429">
        <f t="shared" ref="AM37" si="44">SUM(P37:T37)+SUM(W37:AL37)</f>
        <v>35221.399999999994</v>
      </c>
      <c r="AN37" s="429">
        <f t="shared" ref="AN37" si="45">O37+AM37</f>
        <v>36996.199999999997</v>
      </c>
      <c r="AO37" s="429">
        <f t="shared" ref="AO37" si="46">L37-AN37</f>
        <v>-13837.855039999999</v>
      </c>
      <c r="AP37" s="470" t="s">
        <v>815</v>
      </c>
    </row>
    <row r="38" spans="1:42" s="386" customFormat="1" ht="11.25" customHeight="1">
      <c r="A38" s="722" t="s">
        <v>824</v>
      </c>
      <c r="B38" s="576">
        <v>147</v>
      </c>
      <c r="C38" s="576">
        <v>650</v>
      </c>
      <c r="D38" s="576">
        <v>3</v>
      </c>
      <c r="E38" s="576">
        <v>121</v>
      </c>
      <c r="F38" s="576">
        <f>48+190</f>
        <v>238</v>
      </c>
      <c r="G38" s="576">
        <v>16143</v>
      </c>
      <c r="H38" s="576">
        <v>0</v>
      </c>
      <c r="I38" s="576">
        <v>1</v>
      </c>
      <c r="J38" s="576">
        <v>0</v>
      </c>
      <c r="K38" s="576">
        <f t="shared" ref="K38" si="47">L38-SUM(B38:J38)</f>
        <v>5768.2403247149996</v>
      </c>
      <c r="L38" s="576">
        <f>18944+82.974615*49.741</f>
        <v>23071.240324715</v>
      </c>
      <c r="M38" s="576">
        <v>985.6</v>
      </c>
      <c r="N38" s="576">
        <v>696.9</v>
      </c>
      <c r="O38" s="576">
        <f t="shared" si="18"/>
        <v>1682.5</v>
      </c>
      <c r="P38" s="345">
        <v>212</v>
      </c>
      <c r="Q38" s="345">
        <v>230.5</v>
      </c>
      <c r="R38" s="345">
        <v>783.7</v>
      </c>
      <c r="S38" s="345">
        <v>1388.6999999999998</v>
      </c>
      <c r="T38" s="345">
        <v>483.7</v>
      </c>
      <c r="U38" s="723" t="s">
        <v>824</v>
      </c>
      <c r="V38" s="722" t="s">
        <v>824</v>
      </c>
      <c r="W38" s="345">
        <v>728.4</v>
      </c>
      <c r="X38" s="345">
        <v>490.90000000000003</v>
      </c>
      <c r="Y38" s="345">
        <v>419.5</v>
      </c>
      <c r="Z38" s="345">
        <v>2840.2999999999997</v>
      </c>
      <c r="AA38" s="345">
        <v>1849.7</v>
      </c>
      <c r="AB38" s="345">
        <v>95.100000000000009</v>
      </c>
      <c r="AC38" s="345">
        <v>826.5</v>
      </c>
      <c r="AD38" s="345">
        <v>444.3</v>
      </c>
      <c r="AE38" s="345">
        <v>1671.3</v>
      </c>
      <c r="AF38" s="345">
        <v>2238.3000000000002</v>
      </c>
      <c r="AG38" s="345">
        <v>1432.7</v>
      </c>
      <c r="AH38" s="345">
        <v>3139.7</v>
      </c>
      <c r="AI38" s="345">
        <v>526.6</v>
      </c>
      <c r="AJ38" s="345">
        <v>3039.1</v>
      </c>
      <c r="AK38" s="345">
        <v>4146.1000000000004</v>
      </c>
      <c r="AL38" s="345">
        <f>5209.4+3704.7+2827.8</f>
        <v>11741.899999999998</v>
      </c>
      <c r="AM38" s="345">
        <f t="shared" ref="AM38" si="48">SUM(P38:T38)+SUM(W38:AL38)</f>
        <v>38728.999999999993</v>
      </c>
      <c r="AN38" s="345">
        <f t="shared" ref="AN38" si="49">O38+AM38</f>
        <v>40411.499999999993</v>
      </c>
      <c r="AO38" s="345">
        <f t="shared" ref="AO38" si="50">L38-AN38</f>
        <v>-17340.259675284993</v>
      </c>
      <c r="AP38" s="723" t="s">
        <v>824</v>
      </c>
    </row>
    <row r="39" spans="1:42" s="386" customFormat="1" ht="11.25" customHeight="1">
      <c r="A39" s="468" t="s">
        <v>825</v>
      </c>
      <c r="B39" s="597">
        <v>97</v>
      </c>
      <c r="C39" s="597">
        <v>531</v>
      </c>
      <c r="D39" s="597">
        <v>2</v>
      </c>
      <c r="E39" s="597">
        <v>108</v>
      </c>
      <c r="F39" s="597">
        <f>55+203</f>
        <v>258</v>
      </c>
      <c r="G39" s="597">
        <v>16893</v>
      </c>
      <c r="H39" s="597">
        <v>0</v>
      </c>
      <c r="I39" s="597">
        <v>7</v>
      </c>
      <c r="J39" s="597">
        <v>0</v>
      </c>
      <c r="K39" s="597">
        <f t="shared" ref="K39:K40" si="51">L39-SUM(B39:J39)</f>
        <v>6442.5867479549997</v>
      </c>
      <c r="L39" s="597">
        <f>19726+83.384615*55.317</f>
        <v>24338.586747955</v>
      </c>
      <c r="M39" s="597">
        <v>731</v>
      </c>
      <c r="N39" s="597">
        <v>899.6</v>
      </c>
      <c r="O39" s="597">
        <f t="shared" si="18"/>
        <v>1630.6</v>
      </c>
      <c r="P39" s="429">
        <v>260.8</v>
      </c>
      <c r="Q39" s="429">
        <v>241.1</v>
      </c>
      <c r="R39" s="429">
        <v>382.6</v>
      </c>
      <c r="S39" s="429">
        <v>1596.7</v>
      </c>
      <c r="T39" s="429">
        <v>605.5</v>
      </c>
      <c r="U39" s="470" t="s">
        <v>825</v>
      </c>
      <c r="V39" s="468" t="s">
        <v>825</v>
      </c>
      <c r="W39" s="429">
        <v>428.4</v>
      </c>
      <c r="X39" s="429">
        <v>502.8</v>
      </c>
      <c r="Y39" s="429">
        <v>861.1</v>
      </c>
      <c r="Z39" s="429">
        <v>4271.2</v>
      </c>
      <c r="AA39" s="429">
        <v>1528.2</v>
      </c>
      <c r="AB39" s="429">
        <v>118.3</v>
      </c>
      <c r="AC39" s="429">
        <v>615.29999999999995</v>
      </c>
      <c r="AD39" s="429">
        <v>479.2</v>
      </c>
      <c r="AE39" s="429">
        <v>1877.3</v>
      </c>
      <c r="AF39" s="429">
        <v>2644.9</v>
      </c>
      <c r="AG39" s="429">
        <v>1606.4</v>
      </c>
      <c r="AH39" s="429">
        <v>3742.1</v>
      </c>
      <c r="AI39" s="429">
        <v>613.6</v>
      </c>
      <c r="AJ39" s="429">
        <v>3265.4</v>
      </c>
      <c r="AK39" s="429">
        <v>4653.3</v>
      </c>
      <c r="AL39" s="429">
        <f>6605.9+3882.4+2907.6</f>
        <v>13395.9</v>
      </c>
      <c r="AM39" s="429">
        <f t="shared" ref="AM39" si="52">SUM(P39:T39)+SUM(W39:AL39)</f>
        <v>43690.099999999991</v>
      </c>
      <c r="AN39" s="429">
        <f t="shared" ref="AN39:AN40" si="53">O39+AM39</f>
        <v>45320.69999999999</v>
      </c>
      <c r="AO39" s="429">
        <f t="shared" ref="AO39:AO40" si="54">L39-AN39</f>
        <v>-20982.11325204499</v>
      </c>
      <c r="AP39" s="470" t="s">
        <v>825</v>
      </c>
    </row>
    <row r="40" spans="1:42" s="386" customFormat="1" ht="11.25" customHeight="1">
      <c r="A40" s="722" t="s">
        <v>816</v>
      </c>
      <c r="B40" s="576">
        <v>84</v>
      </c>
      <c r="C40" s="576">
        <v>390</v>
      </c>
      <c r="D40" s="576">
        <v>0</v>
      </c>
      <c r="E40" s="576">
        <v>92</v>
      </c>
      <c r="F40" s="576">
        <f>49+203</f>
        <v>252</v>
      </c>
      <c r="G40" s="576">
        <v>14993</v>
      </c>
      <c r="H40" s="576">
        <v>0</v>
      </c>
      <c r="I40" s="576">
        <v>3</v>
      </c>
      <c r="J40" s="576">
        <v>0</v>
      </c>
      <c r="K40" s="576">
        <f t="shared" si="51"/>
        <v>5373.3175763260006</v>
      </c>
      <c r="L40" s="576">
        <f>17454+83.701042*44.603</f>
        <v>21187.317576326001</v>
      </c>
      <c r="M40" s="576">
        <v>396.4</v>
      </c>
      <c r="N40" s="576">
        <v>353.7</v>
      </c>
      <c r="O40" s="576">
        <f t="shared" si="18"/>
        <v>750.09999999999991</v>
      </c>
      <c r="P40" s="345">
        <v>196.2</v>
      </c>
      <c r="Q40" s="345">
        <v>182.8</v>
      </c>
      <c r="R40" s="345">
        <v>346</v>
      </c>
      <c r="S40" s="345">
        <v>688.1</v>
      </c>
      <c r="T40" s="345">
        <v>168.5</v>
      </c>
      <c r="U40" s="723" t="s">
        <v>816</v>
      </c>
      <c r="V40" s="722" t="s">
        <v>816</v>
      </c>
      <c r="W40" s="345">
        <v>239.6</v>
      </c>
      <c r="X40" s="345">
        <v>426</v>
      </c>
      <c r="Y40" s="345">
        <v>477.5</v>
      </c>
      <c r="Z40" s="345">
        <v>4150.7</v>
      </c>
      <c r="AA40" s="345">
        <v>1272.5</v>
      </c>
      <c r="AB40" s="345">
        <v>88.7</v>
      </c>
      <c r="AC40" s="345">
        <v>128.1</v>
      </c>
      <c r="AD40" s="345">
        <v>393.79999999999995</v>
      </c>
      <c r="AE40" s="345">
        <v>1391.5</v>
      </c>
      <c r="AF40" s="345">
        <v>1997.1999999999998</v>
      </c>
      <c r="AG40" s="345">
        <v>1275.5999999999999</v>
      </c>
      <c r="AH40" s="345">
        <v>2795.9</v>
      </c>
      <c r="AI40" s="345">
        <v>467.2</v>
      </c>
      <c r="AJ40" s="345">
        <v>2889.3</v>
      </c>
      <c r="AK40" s="345">
        <v>2596.8000000000002</v>
      </c>
      <c r="AL40" s="345">
        <f>4220.7+2893.8+2095</f>
        <v>9209.5</v>
      </c>
      <c r="AM40" s="345">
        <f t="shared" ref="AM40" si="55">SUM(P40:T40)+SUM(W40:AL40)</f>
        <v>31381.499999999996</v>
      </c>
      <c r="AN40" s="345">
        <f t="shared" si="53"/>
        <v>32131.599999999995</v>
      </c>
      <c r="AO40" s="345">
        <f t="shared" si="54"/>
        <v>-10944.282423673994</v>
      </c>
      <c r="AP40" s="723" t="s">
        <v>816</v>
      </c>
    </row>
    <row r="41" spans="1:42" s="386" customFormat="1" ht="11.25" customHeight="1">
      <c r="A41" s="1430" t="s">
        <v>2522</v>
      </c>
      <c r="B41" s="429"/>
      <c r="C41" s="429"/>
      <c r="D41" s="429"/>
      <c r="E41" s="429"/>
      <c r="F41" s="429"/>
      <c r="G41" s="429"/>
      <c r="H41" s="429"/>
      <c r="I41" s="429"/>
      <c r="J41" s="429"/>
      <c r="K41" s="429"/>
      <c r="L41" s="429"/>
      <c r="M41" s="429"/>
      <c r="N41" s="429"/>
      <c r="O41" s="429"/>
      <c r="P41" s="429"/>
      <c r="Q41" s="429"/>
      <c r="R41" s="429"/>
      <c r="S41" s="429"/>
      <c r="T41" s="429"/>
      <c r="U41" s="1431" t="s">
        <v>2522</v>
      </c>
      <c r="V41" s="1430" t="s">
        <v>2522</v>
      </c>
      <c r="W41" s="429"/>
      <c r="X41" s="429"/>
      <c r="Y41" s="429"/>
      <c r="Z41" s="429"/>
      <c r="AA41" s="429"/>
      <c r="AB41" s="429"/>
      <c r="AC41" s="429"/>
      <c r="AD41" s="429"/>
      <c r="AE41" s="429"/>
      <c r="AF41" s="429"/>
      <c r="AG41" s="429"/>
      <c r="AH41" s="429"/>
      <c r="AI41" s="429"/>
      <c r="AJ41" s="429"/>
      <c r="AK41" s="429"/>
      <c r="AL41" s="429"/>
      <c r="AM41" s="429"/>
      <c r="AN41" s="429"/>
      <c r="AO41" s="429"/>
      <c r="AP41" s="1431" t="s">
        <v>2522</v>
      </c>
    </row>
    <row r="42" spans="1:42" s="386" customFormat="1" ht="11.25" customHeight="1">
      <c r="A42" s="722" t="s">
        <v>818</v>
      </c>
      <c r="B42" s="576">
        <v>111</v>
      </c>
      <c r="C42" s="576">
        <v>439</v>
      </c>
      <c r="D42" s="576">
        <v>0</v>
      </c>
      <c r="E42" s="576">
        <v>86</v>
      </c>
      <c r="F42" s="576">
        <f>49+222</f>
        <v>271</v>
      </c>
      <c r="G42" s="576">
        <v>18427</v>
      </c>
      <c r="H42" s="576">
        <v>99</v>
      </c>
      <c r="I42" s="576">
        <v>4</v>
      </c>
      <c r="J42" s="576">
        <v>0</v>
      </c>
      <c r="K42" s="576">
        <f t="shared" ref="K42:K47" si="56">L42-SUM(B42:J42)</f>
        <v>7063.0165647039976</v>
      </c>
      <c r="L42" s="576">
        <f>21573+83.747222*58.832</f>
        <v>26500.016564703998</v>
      </c>
      <c r="M42" s="576">
        <v>284.8</v>
      </c>
      <c r="N42" s="576">
        <v>974.8</v>
      </c>
      <c r="O42" s="576">
        <f t="shared" ref="O42:O51" si="57">M42+N42</f>
        <v>1259.5999999999999</v>
      </c>
      <c r="P42" s="345">
        <v>287</v>
      </c>
      <c r="Q42" s="345">
        <v>249.8</v>
      </c>
      <c r="R42" s="345">
        <v>187.9</v>
      </c>
      <c r="S42" s="345">
        <v>1080.4000000000001</v>
      </c>
      <c r="T42" s="345">
        <v>107.7</v>
      </c>
      <c r="U42" s="723" t="s">
        <v>818</v>
      </c>
      <c r="V42" s="722" t="s">
        <v>818</v>
      </c>
      <c r="W42" s="345">
        <v>276.89999999999998</v>
      </c>
      <c r="X42" s="345">
        <v>359.1</v>
      </c>
      <c r="Y42" s="345">
        <v>458.7</v>
      </c>
      <c r="Z42" s="345">
        <v>3266.2</v>
      </c>
      <c r="AA42" s="345">
        <v>1669.1</v>
      </c>
      <c r="AB42" s="345">
        <v>98</v>
      </c>
      <c r="AC42" s="345">
        <v>346.1</v>
      </c>
      <c r="AD42" s="345">
        <v>515.20000000000005</v>
      </c>
      <c r="AE42" s="345">
        <v>1768.1</v>
      </c>
      <c r="AF42" s="345">
        <v>2521.1</v>
      </c>
      <c r="AG42" s="345">
        <v>1679</v>
      </c>
      <c r="AH42" s="345">
        <v>3610.4</v>
      </c>
      <c r="AI42" s="345">
        <v>597.4</v>
      </c>
      <c r="AJ42" s="345">
        <v>3397.3</v>
      </c>
      <c r="AK42" s="345">
        <v>3433.3</v>
      </c>
      <c r="AL42" s="345">
        <f>4989.3+3490.2+2556.8</f>
        <v>11036.3</v>
      </c>
      <c r="AM42" s="345">
        <f t="shared" ref="AM42:AM47" si="58">SUM(P42:T42)+SUM(W42:AL42)</f>
        <v>36945</v>
      </c>
      <c r="AN42" s="345">
        <f t="shared" ref="AN42:AN47" si="59">O42+AM42</f>
        <v>38204.6</v>
      </c>
      <c r="AO42" s="345">
        <f t="shared" ref="AO42:AO47" si="60">L42-AN42</f>
        <v>-11704.583435296001</v>
      </c>
      <c r="AP42" s="723" t="s">
        <v>818</v>
      </c>
    </row>
    <row r="43" spans="1:42" s="52" customFormat="1" ht="11.25" customHeight="1">
      <c r="A43" s="468" t="s">
        <v>148</v>
      </c>
      <c r="B43" s="597">
        <v>85</v>
      </c>
      <c r="C43" s="597">
        <v>405</v>
      </c>
      <c r="D43" s="597">
        <v>0</v>
      </c>
      <c r="E43" s="597">
        <v>105</v>
      </c>
      <c r="F43" s="597">
        <f>32+278</f>
        <v>310</v>
      </c>
      <c r="G43" s="597">
        <v>15450</v>
      </c>
      <c r="H43" s="597">
        <v>0</v>
      </c>
      <c r="I43" s="597">
        <v>0</v>
      </c>
      <c r="J43" s="597">
        <v>0</v>
      </c>
      <c r="K43" s="597">
        <f t="shared" si="56"/>
        <v>5175.7324999999983</v>
      </c>
      <c r="L43" s="597">
        <f>18000+83.75*42.158</f>
        <v>21530.732499999998</v>
      </c>
      <c r="M43" s="597">
        <v>113.8</v>
      </c>
      <c r="N43" s="597">
        <v>327.10000000000002</v>
      </c>
      <c r="O43" s="597">
        <f t="shared" si="57"/>
        <v>440.90000000000003</v>
      </c>
      <c r="P43" s="429">
        <v>133.4</v>
      </c>
      <c r="Q43" s="429">
        <v>296.10000000000002</v>
      </c>
      <c r="R43" s="429">
        <v>591.79999999999995</v>
      </c>
      <c r="S43" s="429">
        <v>1016.3</v>
      </c>
      <c r="T43" s="429">
        <v>180</v>
      </c>
      <c r="U43" s="470" t="s">
        <v>148</v>
      </c>
      <c r="V43" s="468" t="s">
        <v>819</v>
      </c>
      <c r="W43" s="429">
        <v>396.5</v>
      </c>
      <c r="X43" s="429">
        <v>293.60000000000002</v>
      </c>
      <c r="Y43" s="429">
        <v>958</v>
      </c>
      <c r="Z43" s="429">
        <v>3349.5</v>
      </c>
      <c r="AA43" s="429">
        <v>1345.9</v>
      </c>
      <c r="AB43" s="429">
        <v>74.900000000000006</v>
      </c>
      <c r="AC43" s="429">
        <v>164.1</v>
      </c>
      <c r="AD43" s="429">
        <v>406.6</v>
      </c>
      <c r="AE43" s="429">
        <v>1453.2</v>
      </c>
      <c r="AF43" s="429">
        <v>1824.3</v>
      </c>
      <c r="AG43" s="429">
        <v>1420.9</v>
      </c>
      <c r="AH43" s="429">
        <v>3079.1</v>
      </c>
      <c r="AI43" s="429">
        <v>502</v>
      </c>
      <c r="AJ43" s="429">
        <v>2258.1</v>
      </c>
      <c r="AK43" s="429">
        <v>3241.7</v>
      </c>
      <c r="AL43" s="429">
        <f>4686.3+2967.3+2113</f>
        <v>9766.6</v>
      </c>
      <c r="AM43" s="429">
        <f t="shared" si="58"/>
        <v>32752.6</v>
      </c>
      <c r="AN43" s="429">
        <f t="shared" si="59"/>
        <v>33193.5</v>
      </c>
      <c r="AO43" s="429">
        <f t="shared" si="60"/>
        <v>-11662.767500000002</v>
      </c>
      <c r="AP43" s="470" t="s">
        <v>819</v>
      </c>
    </row>
    <row r="44" spans="1:42" s="52" customFormat="1" ht="11.25" customHeight="1">
      <c r="A44" s="722" t="s">
        <v>813</v>
      </c>
      <c r="B44" s="576">
        <v>91</v>
      </c>
      <c r="C44" s="576">
        <v>471</v>
      </c>
      <c r="D44" s="576">
        <v>1</v>
      </c>
      <c r="E44" s="576">
        <v>130</v>
      </c>
      <c r="F44" s="576">
        <f>41+311</f>
        <v>352</v>
      </c>
      <c r="G44" s="576">
        <v>18378</v>
      </c>
      <c r="H44" s="576">
        <v>0</v>
      </c>
      <c r="I44" s="576">
        <v>6</v>
      </c>
      <c r="J44" s="576">
        <v>0</v>
      </c>
      <c r="K44" s="576">
        <f t="shared" si="56"/>
        <v>5738.0662499999999</v>
      </c>
      <c r="L44" s="576">
        <f>21519+83.75*43.559</f>
        <v>25167.06625</v>
      </c>
      <c r="M44" s="576">
        <v>102.4</v>
      </c>
      <c r="N44" s="576">
        <v>865.7</v>
      </c>
      <c r="O44" s="576">
        <f t="shared" si="57"/>
        <v>968.1</v>
      </c>
      <c r="P44" s="345">
        <v>172.4</v>
      </c>
      <c r="Q44" s="345">
        <v>197.1</v>
      </c>
      <c r="R44" s="345">
        <v>308.7</v>
      </c>
      <c r="S44" s="345">
        <v>1153.9000000000001</v>
      </c>
      <c r="T44" s="345">
        <v>215.5</v>
      </c>
      <c r="U44" s="723" t="s">
        <v>813</v>
      </c>
      <c r="V44" s="722" t="s">
        <v>813</v>
      </c>
      <c r="W44" s="345">
        <v>212.8</v>
      </c>
      <c r="X44" s="345">
        <v>457.7</v>
      </c>
      <c r="Y44" s="345">
        <v>453.4</v>
      </c>
      <c r="Z44" s="345">
        <v>3569.2</v>
      </c>
      <c r="AA44" s="345">
        <v>1670</v>
      </c>
      <c r="AB44" s="345">
        <v>140.1</v>
      </c>
      <c r="AC44" s="345">
        <v>630.4</v>
      </c>
      <c r="AD44" s="345">
        <v>519.5</v>
      </c>
      <c r="AE44" s="345">
        <v>1710.8</v>
      </c>
      <c r="AF44" s="345">
        <v>2048.1</v>
      </c>
      <c r="AG44" s="345">
        <v>1710.9</v>
      </c>
      <c r="AH44" s="345">
        <v>3784.1</v>
      </c>
      <c r="AI44" s="345">
        <v>598.1</v>
      </c>
      <c r="AJ44" s="345">
        <v>2592.1999999999998</v>
      </c>
      <c r="AK44" s="345">
        <v>3861</v>
      </c>
      <c r="AL44" s="345">
        <f>6007.8+3771.6+2987.4</f>
        <v>12766.8</v>
      </c>
      <c r="AM44" s="345">
        <f t="shared" si="58"/>
        <v>38772.699999999997</v>
      </c>
      <c r="AN44" s="345">
        <f t="shared" si="59"/>
        <v>39740.799999999996</v>
      </c>
      <c r="AO44" s="345">
        <f t="shared" si="60"/>
        <v>-14573.733749999996</v>
      </c>
      <c r="AP44" s="723" t="s">
        <v>813</v>
      </c>
    </row>
    <row r="45" spans="1:42" s="52" customFormat="1" ht="11.25" customHeight="1">
      <c r="A45" s="468" t="s">
        <v>820</v>
      </c>
      <c r="B45" s="597">
        <v>71</v>
      </c>
      <c r="C45" s="597">
        <v>503</v>
      </c>
      <c r="D45" s="597">
        <v>2</v>
      </c>
      <c r="E45" s="597">
        <v>113</v>
      </c>
      <c r="F45" s="597">
        <f>48+312</f>
        <v>360</v>
      </c>
      <c r="G45" s="597">
        <v>18060</v>
      </c>
      <c r="H45" s="597">
        <v>0</v>
      </c>
      <c r="I45" s="597">
        <v>4</v>
      </c>
      <c r="J45" s="597">
        <v>0</v>
      </c>
      <c r="K45" s="597">
        <f t="shared" si="56"/>
        <v>6206.8272990000005</v>
      </c>
      <c r="L45" s="597">
        <f>21234+83.817*48.747</f>
        <v>25319.827299</v>
      </c>
      <c r="M45" s="597">
        <v>82.5</v>
      </c>
      <c r="N45" s="597">
        <v>914.5</v>
      </c>
      <c r="O45" s="597">
        <f t="shared" si="57"/>
        <v>997</v>
      </c>
      <c r="P45" s="429">
        <v>228.1</v>
      </c>
      <c r="Q45" s="429">
        <v>187.2</v>
      </c>
      <c r="R45" s="429">
        <v>288</v>
      </c>
      <c r="S45" s="429">
        <v>1474.7</v>
      </c>
      <c r="T45" s="429">
        <v>283.3</v>
      </c>
      <c r="U45" s="470" t="s">
        <v>820</v>
      </c>
      <c r="V45" s="468" t="s">
        <v>820</v>
      </c>
      <c r="W45" s="429">
        <v>592.1</v>
      </c>
      <c r="X45" s="429">
        <v>556.20000000000005</v>
      </c>
      <c r="Y45" s="429">
        <v>969.3</v>
      </c>
      <c r="Z45" s="429">
        <v>4377.6000000000004</v>
      </c>
      <c r="AA45" s="429">
        <v>1673.2</v>
      </c>
      <c r="AB45" s="429">
        <v>115.6</v>
      </c>
      <c r="AC45" s="429">
        <v>700.1</v>
      </c>
      <c r="AD45" s="429">
        <v>514.79999999999995</v>
      </c>
      <c r="AE45" s="429">
        <v>1716.2</v>
      </c>
      <c r="AF45" s="429">
        <v>2126.1</v>
      </c>
      <c r="AG45" s="429">
        <v>1536.2</v>
      </c>
      <c r="AH45" s="429">
        <v>3599.4</v>
      </c>
      <c r="AI45" s="429">
        <v>567.9</v>
      </c>
      <c r="AJ45" s="429">
        <v>3156</v>
      </c>
      <c r="AK45" s="429">
        <v>3499.5</v>
      </c>
      <c r="AL45" s="429">
        <f>6037.5+4664.7+2766</f>
        <v>13468.2</v>
      </c>
      <c r="AM45" s="429">
        <f t="shared" si="58"/>
        <v>41629.700000000012</v>
      </c>
      <c r="AN45" s="429">
        <f t="shared" si="59"/>
        <v>42626.700000000012</v>
      </c>
      <c r="AO45" s="429">
        <f t="shared" si="60"/>
        <v>-17306.872701000011</v>
      </c>
      <c r="AP45" s="470" t="s">
        <v>820</v>
      </c>
    </row>
    <row r="46" spans="1:42" s="52" customFormat="1" ht="11.25" customHeight="1">
      <c r="A46" s="722" t="s">
        <v>821</v>
      </c>
      <c r="B46" s="576">
        <v>79</v>
      </c>
      <c r="C46" s="576">
        <v>383</v>
      </c>
      <c r="D46" s="576">
        <v>3</v>
      </c>
      <c r="E46" s="576">
        <v>94</v>
      </c>
      <c r="F46" s="576">
        <f>41+291</f>
        <v>332</v>
      </c>
      <c r="G46" s="576">
        <v>15887</v>
      </c>
      <c r="H46" s="576">
        <v>0</v>
      </c>
      <c r="I46" s="576">
        <v>4</v>
      </c>
      <c r="J46" s="576">
        <v>0</v>
      </c>
      <c r="K46" s="576">
        <f t="shared" si="56"/>
        <v>5925.1984008479994</v>
      </c>
      <c r="L46" s="576">
        <f>18639+83.873462*48.504</f>
        <v>22707.198400847999</v>
      </c>
      <c r="M46" s="576">
        <v>54.3</v>
      </c>
      <c r="N46" s="576">
        <v>835.5</v>
      </c>
      <c r="O46" s="576">
        <f t="shared" si="57"/>
        <v>889.8</v>
      </c>
      <c r="P46" s="345">
        <v>232.6</v>
      </c>
      <c r="Q46" s="345">
        <v>169.4</v>
      </c>
      <c r="R46" s="345">
        <v>667.6</v>
      </c>
      <c r="S46" s="345">
        <v>1532.2</v>
      </c>
      <c r="T46" s="345">
        <v>200.5</v>
      </c>
      <c r="U46" s="723" t="s">
        <v>821</v>
      </c>
      <c r="V46" s="722" t="s">
        <v>821</v>
      </c>
      <c r="W46" s="345">
        <v>204.2</v>
      </c>
      <c r="X46" s="345">
        <v>527.1</v>
      </c>
      <c r="Y46" s="345">
        <v>497.8</v>
      </c>
      <c r="Z46" s="345">
        <v>5221.1000000000004</v>
      </c>
      <c r="AA46" s="345">
        <v>1414.5</v>
      </c>
      <c r="AB46" s="345">
        <v>90.2</v>
      </c>
      <c r="AC46" s="345">
        <v>1251.9000000000001</v>
      </c>
      <c r="AD46" s="345">
        <v>444.9</v>
      </c>
      <c r="AE46" s="345">
        <v>1563.2</v>
      </c>
      <c r="AF46" s="345">
        <v>1739.2</v>
      </c>
      <c r="AG46" s="345">
        <v>1332.7</v>
      </c>
      <c r="AH46" s="345">
        <v>3239.5</v>
      </c>
      <c r="AI46" s="345">
        <v>551.70000000000005</v>
      </c>
      <c r="AJ46" s="345">
        <v>2575.9</v>
      </c>
      <c r="AK46" s="345">
        <v>3006.9</v>
      </c>
      <c r="AL46" s="345">
        <f>4036+3548.6+2475.9</f>
        <v>10060.5</v>
      </c>
      <c r="AM46" s="345">
        <f t="shared" si="58"/>
        <v>36523.600000000006</v>
      </c>
      <c r="AN46" s="345">
        <f t="shared" si="59"/>
        <v>37413.400000000009</v>
      </c>
      <c r="AO46" s="345">
        <f t="shared" si="60"/>
        <v>-14706.201599152009</v>
      </c>
      <c r="AP46" s="723" t="s">
        <v>821</v>
      </c>
    </row>
    <row r="47" spans="1:42" s="52" customFormat="1" ht="11.25" customHeight="1">
      <c r="A47" s="468" t="s">
        <v>814</v>
      </c>
      <c r="B47" s="597">
        <v>78</v>
      </c>
      <c r="C47" s="597">
        <v>405</v>
      </c>
      <c r="D47" s="597">
        <v>3</v>
      </c>
      <c r="E47" s="597">
        <v>79</v>
      </c>
      <c r="F47" s="597">
        <f>231+53</f>
        <v>284</v>
      </c>
      <c r="G47" s="597">
        <v>16324</v>
      </c>
      <c r="H47" s="597">
        <v>0</v>
      </c>
      <c r="I47" s="597">
        <v>1</v>
      </c>
      <c r="J47" s="597">
        <v>0</v>
      </c>
      <c r="K47" s="597">
        <f t="shared" si="56"/>
        <v>6192.7632000000012</v>
      </c>
      <c r="L47" s="597">
        <f>18812+54.288*83.9</f>
        <v>23366.763200000001</v>
      </c>
      <c r="M47" s="597">
        <v>39</v>
      </c>
      <c r="N47" s="597">
        <v>621.79999999999995</v>
      </c>
      <c r="O47" s="597">
        <f t="shared" si="57"/>
        <v>660.8</v>
      </c>
      <c r="P47" s="429">
        <v>231.9</v>
      </c>
      <c r="Q47" s="429">
        <v>173.1</v>
      </c>
      <c r="R47" s="429">
        <v>141.30000000000001</v>
      </c>
      <c r="S47" s="429">
        <v>903.7</v>
      </c>
      <c r="T47" s="429">
        <v>155</v>
      </c>
      <c r="U47" s="470" t="s">
        <v>814</v>
      </c>
      <c r="V47" s="468" t="s">
        <v>814</v>
      </c>
      <c r="W47" s="429">
        <v>836.9</v>
      </c>
      <c r="X47" s="429">
        <v>444.2</v>
      </c>
      <c r="Y47" s="429">
        <v>416.1</v>
      </c>
      <c r="Z47" s="429">
        <v>3171.4</v>
      </c>
      <c r="AA47" s="429">
        <v>1475.3</v>
      </c>
      <c r="AB47" s="429">
        <v>85.6</v>
      </c>
      <c r="AC47" s="429">
        <v>1104</v>
      </c>
      <c r="AD47" s="429">
        <v>669.7</v>
      </c>
      <c r="AE47" s="429">
        <v>1609.9</v>
      </c>
      <c r="AF47" s="429">
        <v>1809.2</v>
      </c>
      <c r="AG47" s="429">
        <v>1547.1</v>
      </c>
      <c r="AH47" s="429">
        <v>3414.8</v>
      </c>
      <c r="AI47" s="429">
        <v>591.20000000000005</v>
      </c>
      <c r="AJ47" s="429">
        <v>2971.3</v>
      </c>
      <c r="AK47" s="429">
        <v>4316</v>
      </c>
      <c r="AL47" s="429">
        <f>5241.7+3606.4+2648.7</f>
        <v>11496.8</v>
      </c>
      <c r="AM47" s="429">
        <f t="shared" si="58"/>
        <v>37564.5</v>
      </c>
      <c r="AN47" s="429">
        <f t="shared" si="59"/>
        <v>38225.300000000003</v>
      </c>
      <c r="AO47" s="429">
        <f t="shared" si="60"/>
        <v>-14858.536800000002</v>
      </c>
      <c r="AP47" s="470" t="s">
        <v>814</v>
      </c>
    </row>
    <row r="48" spans="1:42" s="399" customFormat="1" ht="11.25" customHeight="1">
      <c r="A48" s="722" t="s">
        <v>822</v>
      </c>
      <c r="B48" s="576">
        <v>90</v>
      </c>
      <c r="C48" s="576">
        <v>508</v>
      </c>
      <c r="D48" s="576">
        <v>3</v>
      </c>
      <c r="E48" s="576">
        <v>85</v>
      </c>
      <c r="F48" s="576">
        <f>74+322</f>
        <v>396</v>
      </c>
      <c r="G48" s="576">
        <v>19483</v>
      </c>
      <c r="H48" s="576">
        <v>0</v>
      </c>
      <c r="I48" s="576">
        <v>0</v>
      </c>
      <c r="J48" s="576">
        <v>0</v>
      </c>
      <c r="K48" s="576">
        <f t="shared" ref="K48" si="61">L48-SUM(B48:J48)</f>
        <v>6628.2515182200004</v>
      </c>
      <c r="L48" s="576">
        <f>22605+54.66*83.941667</f>
        <v>27193.25151822</v>
      </c>
      <c r="M48" s="576">
        <v>75.400000000000006</v>
      </c>
      <c r="N48" s="576">
        <v>1044.5999999999999</v>
      </c>
      <c r="O48" s="576">
        <f t="shared" si="57"/>
        <v>1120</v>
      </c>
      <c r="P48" s="345">
        <v>286.2</v>
      </c>
      <c r="Q48" s="345">
        <v>200.8</v>
      </c>
      <c r="R48" s="345">
        <v>459.3</v>
      </c>
      <c r="S48" s="345">
        <v>1245.2</v>
      </c>
      <c r="T48" s="345">
        <v>311.89999999999998</v>
      </c>
      <c r="U48" s="723" t="s">
        <v>822</v>
      </c>
      <c r="V48" s="722" t="s">
        <v>822</v>
      </c>
      <c r="W48" s="345">
        <v>643.4</v>
      </c>
      <c r="X48" s="345">
        <v>531.9</v>
      </c>
      <c r="Y48" s="345">
        <v>416.3</v>
      </c>
      <c r="Z48" s="345">
        <v>4239.3999999999996</v>
      </c>
      <c r="AA48" s="345">
        <v>1821.8</v>
      </c>
      <c r="AB48" s="345">
        <v>115.5</v>
      </c>
      <c r="AC48" s="345">
        <v>1809.1</v>
      </c>
      <c r="AD48" s="345">
        <v>530.29999999999995</v>
      </c>
      <c r="AE48" s="345">
        <v>1689.4</v>
      </c>
      <c r="AF48" s="345">
        <v>2347.6999999999998</v>
      </c>
      <c r="AG48" s="345">
        <v>1651.4</v>
      </c>
      <c r="AH48" s="345">
        <v>4373.6000000000004</v>
      </c>
      <c r="AI48" s="345">
        <v>615.70000000000005</v>
      </c>
      <c r="AJ48" s="345">
        <v>3140.2</v>
      </c>
      <c r="AK48" s="345">
        <v>5288.4</v>
      </c>
      <c r="AL48" s="345">
        <f>6433.2+4124.7+3134.4</f>
        <v>13692.3</v>
      </c>
      <c r="AM48" s="345">
        <f t="shared" ref="AM48" si="62">SUM(P48:T48)+SUM(W48:AL48)</f>
        <v>45409.799999999996</v>
      </c>
      <c r="AN48" s="345">
        <f t="shared" ref="AN48" si="63">O48+AM48</f>
        <v>46529.799999999996</v>
      </c>
      <c r="AO48" s="345">
        <f t="shared" ref="AO48" si="64">L48-AN48</f>
        <v>-19336.548481779995</v>
      </c>
      <c r="AP48" s="723" t="s">
        <v>822</v>
      </c>
    </row>
    <row r="49" spans="1:42" s="399" customFormat="1" ht="11.25" customHeight="1">
      <c r="A49" s="468" t="s">
        <v>823</v>
      </c>
      <c r="B49" s="597">
        <v>76</v>
      </c>
      <c r="C49" s="597">
        <v>402</v>
      </c>
      <c r="D49" s="597">
        <v>1</v>
      </c>
      <c r="E49" s="597">
        <v>60</v>
      </c>
      <c r="F49" s="597">
        <f>70+213</f>
        <v>283</v>
      </c>
      <c r="G49" s="597">
        <v>16942</v>
      </c>
      <c r="H49" s="597">
        <v>0</v>
      </c>
      <c r="I49" s="597">
        <v>0</v>
      </c>
      <c r="J49" s="597">
        <v>0</v>
      </c>
      <c r="K49" s="597">
        <f t="shared" ref="K49" si="65">L49-SUM(B49:J49)</f>
        <v>5476.65126513</v>
      </c>
      <c r="L49" s="597">
        <f>19426+45.39*84.041667</f>
        <v>23240.65126513</v>
      </c>
      <c r="M49" s="597">
        <v>74.099999999999994</v>
      </c>
      <c r="N49" s="597">
        <v>800.5</v>
      </c>
      <c r="O49" s="597">
        <f t="shared" si="57"/>
        <v>874.6</v>
      </c>
      <c r="P49" s="429">
        <v>246.2</v>
      </c>
      <c r="Q49" s="429">
        <v>184.9</v>
      </c>
      <c r="R49" s="429">
        <v>368.2</v>
      </c>
      <c r="S49" s="429">
        <v>1004.5</v>
      </c>
      <c r="T49" s="429">
        <v>242.8</v>
      </c>
      <c r="U49" s="470" t="s">
        <v>823</v>
      </c>
      <c r="V49" s="468" t="s">
        <v>823</v>
      </c>
      <c r="W49" s="429">
        <v>414.9</v>
      </c>
      <c r="X49" s="429">
        <v>426.7</v>
      </c>
      <c r="Y49" s="429">
        <v>1094</v>
      </c>
      <c r="Z49" s="429">
        <v>2614.1999999999998</v>
      </c>
      <c r="AA49" s="429">
        <v>1297.5</v>
      </c>
      <c r="AB49" s="429">
        <v>66.900000000000006</v>
      </c>
      <c r="AC49" s="429">
        <v>1277.3</v>
      </c>
      <c r="AD49" s="429">
        <v>390.1</v>
      </c>
      <c r="AE49" s="429">
        <v>1318.5</v>
      </c>
      <c r="AF49" s="429">
        <v>1725.7</v>
      </c>
      <c r="AG49" s="429">
        <v>1287.5999999999999</v>
      </c>
      <c r="AH49" s="429">
        <v>3348.7</v>
      </c>
      <c r="AI49" s="429">
        <v>441.7</v>
      </c>
      <c r="AJ49" s="429">
        <v>2262.1999999999998</v>
      </c>
      <c r="AK49" s="429">
        <v>3619</v>
      </c>
      <c r="AL49" s="429">
        <f>4434.6+3409.6+2256.5</f>
        <v>10100.700000000001</v>
      </c>
      <c r="AM49" s="429">
        <f t="shared" ref="AM49" si="66">SUM(P49:T49)+SUM(W49:AL49)</f>
        <v>33732.300000000003</v>
      </c>
      <c r="AN49" s="429">
        <f t="shared" ref="AN49" si="67">O49+AM49</f>
        <v>34606.9</v>
      </c>
      <c r="AO49" s="429">
        <f t="shared" ref="AO49" si="68">L49-AN49</f>
        <v>-11366.248734870001</v>
      </c>
      <c r="AP49" s="470" t="s">
        <v>823</v>
      </c>
    </row>
    <row r="50" spans="1:42" s="399" customFormat="1" ht="11.25" customHeight="1">
      <c r="A50" s="722" t="s">
        <v>550</v>
      </c>
      <c r="B50" s="576">
        <v>106</v>
      </c>
      <c r="C50" s="576">
        <v>460</v>
      </c>
      <c r="D50" s="576">
        <v>1</v>
      </c>
      <c r="E50" s="576">
        <v>111</v>
      </c>
      <c r="F50" s="576">
        <f>223+65</f>
        <v>288</v>
      </c>
      <c r="G50" s="576">
        <v>19970</v>
      </c>
      <c r="H50" s="576">
        <v>0</v>
      </c>
      <c r="I50" s="576">
        <v>0</v>
      </c>
      <c r="J50" s="576">
        <v>0</v>
      </c>
      <c r="K50" s="576">
        <f t="shared" ref="K50" si="69">L50-SUM(B50:J50)</f>
        <v>6227.7455947919989</v>
      </c>
      <c r="L50" s="576">
        <f>22760+52.296*84.208077</f>
        <v>27163.745594791999</v>
      </c>
      <c r="M50" s="576">
        <v>74.099999999999994</v>
      </c>
      <c r="N50" s="576">
        <v>942.5</v>
      </c>
      <c r="O50" s="576">
        <f t="shared" si="57"/>
        <v>1016.6</v>
      </c>
      <c r="P50" s="345">
        <v>249.7</v>
      </c>
      <c r="Q50" s="345">
        <v>208</v>
      </c>
      <c r="R50" s="345">
        <v>708.3</v>
      </c>
      <c r="S50" s="345">
        <v>1056</v>
      </c>
      <c r="T50" s="345">
        <v>685.6</v>
      </c>
      <c r="U50" s="723" t="s">
        <v>550</v>
      </c>
      <c r="V50" s="722" t="s">
        <v>815</v>
      </c>
      <c r="W50" s="345">
        <v>722.2</v>
      </c>
      <c r="X50" s="345">
        <v>711.1</v>
      </c>
      <c r="Y50" s="345">
        <v>815.8</v>
      </c>
      <c r="Z50" s="345">
        <v>4032</v>
      </c>
      <c r="AA50" s="345">
        <v>1501</v>
      </c>
      <c r="AB50" s="345">
        <v>120.30000000000001</v>
      </c>
      <c r="AC50" s="345">
        <v>1336.8</v>
      </c>
      <c r="AD50" s="345">
        <v>465.4</v>
      </c>
      <c r="AE50" s="345">
        <v>1759.6999999999998</v>
      </c>
      <c r="AF50" s="345">
        <v>2523.6</v>
      </c>
      <c r="AG50" s="345">
        <v>1469</v>
      </c>
      <c r="AH50" s="345">
        <v>3400.8</v>
      </c>
      <c r="AI50" s="345">
        <v>554.5</v>
      </c>
      <c r="AJ50" s="345">
        <v>3335.3</v>
      </c>
      <c r="AK50" s="345">
        <v>3522.8</v>
      </c>
      <c r="AL50" s="345">
        <v>11501.700000000003</v>
      </c>
      <c r="AM50" s="345">
        <f t="shared" ref="AM50" si="70">SUM(P50:T50)+SUM(W50:AL50)</f>
        <v>40679.599999999999</v>
      </c>
      <c r="AN50" s="345">
        <f t="shared" ref="AN50" si="71">O50+AM50</f>
        <v>41696.199999999997</v>
      </c>
      <c r="AO50" s="345">
        <f t="shared" ref="AO50" si="72">L50-AN50</f>
        <v>-14532.454405207998</v>
      </c>
      <c r="AP50" s="723" t="s">
        <v>815</v>
      </c>
    </row>
    <row r="51" spans="1:42" s="399" customFormat="1" ht="11.25" customHeight="1" thickBot="1">
      <c r="A51" s="1702" t="s">
        <v>824</v>
      </c>
      <c r="B51" s="1700">
        <v>83</v>
      </c>
      <c r="C51" s="1700">
        <v>508</v>
      </c>
      <c r="D51" s="1700">
        <v>3</v>
      </c>
      <c r="E51" s="1700">
        <v>106</v>
      </c>
      <c r="F51" s="1700">
        <f>58+184</f>
        <v>242</v>
      </c>
      <c r="G51" s="1700">
        <v>18450</v>
      </c>
      <c r="H51" s="1700">
        <v>0</v>
      </c>
      <c r="I51" s="1700">
        <v>0</v>
      </c>
      <c r="J51" s="1700">
        <v>0</v>
      </c>
      <c r="K51" s="1700">
        <f t="shared" ref="K51" si="73">L51-SUM(B51:J51)</f>
        <v>5807.9034490839986</v>
      </c>
      <c r="L51" s="1700">
        <f>21221+47.182*84.330962</f>
        <v>25199.903449083999</v>
      </c>
      <c r="M51" s="1700">
        <v>61.4</v>
      </c>
      <c r="N51" s="1700">
        <v>988.1</v>
      </c>
      <c r="O51" s="1700">
        <f t="shared" si="57"/>
        <v>1049.5</v>
      </c>
      <c r="P51" s="1701">
        <v>182</v>
      </c>
      <c r="Q51" s="1701">
        <v>287.20000000000005</v>
      </c>
      <c r="R51" s="1701">
        <v>455.2</v>
      </c>
      <c r="S51" s="1701">
        <v>2219.2999999999997</v>
      </c>
      <c r="T51" s="1701">
        <v>496.2</v>
      </c>
      <c r="U51" s="1703" t="s">
        <v>824</v>
      </c>
      <c r="V51" s="1702" t="s">
        <v>824</v>
      </c>
      <c r="W51" s="1701">
        <v>549.79999999999995</v>
      </c>
      <c r="X51" s="1701">
        <v>666.5</v>
      </c>
      <c r="Y51" s="1701">
        <v>845.9</v>
      </c>
      <c r="Z51" s="1701">
        <v>4974.3</v>
      </c>
      <c r="AA51" s="1701">
        <v>1745.8</v>
      </c>
      <c r="AB51" s="1701">
        <v>88</v>
      </c>
      <c r="AC51" s="1701">
        <v>325.8</v>
      </c>
      <c r="AD51" s="1701">
        <v>492.70000000000005</v>
      </c>
      <c r="AE51" s="1701">
        <v>1816.3999999999999</v>
      </c>
      <c r="AF51" s="1701">
        <v>2260.8000000000002</v>
      </c>
      <c r="AG51" s="1701">
        <v>1464.3</v>
      </c>
      <c r="AH51" s="1701">
        <v>3854.9</v>
      </c>
      <c r="AI51" s="1701">
        <v>645.9</v>
      </c>
      <c r="AJ51" s="1701">
        <v>3280.2</v>
      </c>
      <c r="AK51" s="1701">
        <v>3032</v>
      </c>
      <c r="AL51" s="1701">
        <v>12305.9</v>
      </c>
      <c r="AM51" s="1701">
        <f t="shared" ref="AM51" si="74">SUM(P51:T51)+SUM(W51:AL51)</f>
        <v>41989.100000000006</v>
      </c>
      <c r="AN51" s="1701">
        <f t="shared" ref="AN51" si="75">O51+AM51</f>
        <v>43038.600000000006</v>
      </c>
      <c r="AO51" s="1701">
        <f t="shared" ref="AO51" si="76">L51-AN51</f>
        <v>-17838.696550916007</v>
      </c>
      <c r="AP51" s="1703" t="s">
        <v>824</v>
      </c>
    </row>
    <row r="52" spans="1:42" s="52" customFormat="1" ht="10.5" customHeight="1">
      <c r="A52" s="307" t="s">
        <v>1141</v>
      </c>
      <c r="B52" s="1108" t="s">
        <v>2233</v>
      </c>
      <c r="C52" s="217"/>
      <c r="D52" s="217"/>
      <c r="E52" s="217"/>
      <c r="F52" s="217"/>
      <c r="G52" s="217"/>
      <c r="H52" s="217"/>
      <c r="I52" s="217"/>
      <c r="J52" s="60"/>
      <c r="K52" s="576"/>
      <c r="L52" s="217"/>
      <c r="M52" s="308" t="s">
        <v>2343</v>
      </c>
      <c r="N52" s="1826" t="s">
        <v>2750</v>
      </c>
      <c r="O52" s="1826"/>
      <c r="P52" s="1826"/>
      <c r="Q52" s="1826"/>
      <c r="R52" s="1826"/>
      <c r="S52" s="1826"/>
      <c r="T52" s="1826"/>
      <c r="U52" s="1826"/>
      <c r="V52" s="299" t="s">
        <v>22</v>
      </c>
      <c r="W52" s="2005" t="s">
        <v>2127</v>
      </c>
      <c r="X52" s="2005"/>
      <c r="Y52" s="2005"/>
      <c r="Z52" s="2005"/>
      <c r="AA52" s="2005"/>
      <c r="AB52" s="2005"/>
      <c r="AC52" s="2005"/>
      <c r="AD52" s="13"/>
      <c r="AE52" s="60"/>
      <c r="AF52" s="298"/>
      <c r="AG52" s="298"/>
      <c r="AH52" s="201"/>
      <c r="AI52" s="201"/>
      <c r="AJ52" s="201"/>
      <c r="AK52" s="201"/>
      <c r="AL52" s="201"/>
      <c r="AM52" s="577"/>
      <c r="AN52" s="298"/>
      <c r="AO52" s="298"/>
      <c r="AP52" s="309"/>
    </row>
    <row r="53" spans="1:42" s="52" customFormat="1" ht="10.5" customHeight="1">
      <c r="A53" s="297" t="s">
        <v>1140</v>
      </c>
      <c r="B53" s="2005" t="s">
        <v>2122</v>
      </c>
      <c r="C53" s="2005"/>
      <c r="D53" s="2005"/>
      <c r="E53" s="2005"/>
      <c r="F53" s="2005"/>
      <c r="G53" s="2005"/>
      <c r="H53" s="2005"/>
      <c r="I53" s="298"/>
      <c r="J53" s="298"/>
      <c r="K53" s="298"/>
      <c r="L53" s="217"/>
      <c r="N53" s="310"/>
      <c r="O53" s="2004"/>
      <c r="P53" s="2004"/>
      <c r="U53" s="300"/>
      <c r="V53" s="309"/>
      <c r="W53" s="2004" t="s">
        <v>606</v>
      </c>
      <c r="X53" s="2004"/>
      <c r="Y53" s="60"/>
      <c r="Z53" s="60"/>
      <c r="AA53" s="60"/>
      <c r="AB53" s="60"/>
      <c r="AC53" s="60"/>
      <c r="AD53" s="60"/>
      <c r="AE53" s="60"/>
      <c r="AF53" s="60"/>
      <c r="AG53" s="60"/>
      <c r="AH53" s="60"/>
      <c r="AI53" s="60"/>
      <c r="AJ53" s="60"/>
      <c r="AK53" s="60"/>
      <c r="AL53" s="60"/>
      <c r="AM53" s="60"/>
      <c r="AN53" s="60"/>
      <c r="AO53" s="60"/>
      <c r="AP53" s="309"/>
    </row>
    <row r="54" spans="1:42">
      <c r="A54" s="297"/>
      <c r="B54" s="2004"/>
      <c r="C54" s="2004"/>
      <c r="D54" s="2004" t="s">
        <v>606</v>
      </c>
      <c r="E54" s="2004"/>
      <c r="F54" s="13"/>
      <c r="G54" s="13"/>
      <c r="H54" s="13"/>
      <c r="I54" s="298"/>
      <c r="J54" s="298"/>
      <c r="K54" s="298"/>
      <c r="L54" s="217"/>
      <c r="M54" s="52"/>
      <c r="N54" s="310"/>
      <c r="O54" s="1012"/>
      <c r="P54" s="1012"/>
      <c r="Q54" s="52"/>
      <c r="R54" s="52"/>
      <c r="S54" s="52"/>
      <c r="T54" s="52"/>
      <c r="U54" s="300"/>
      <c r="V54" s="309"/>
      <c r="W54" s="60"/>
      <c r="X54" s="60"/>
      <c r="Y54" s="60"/>
      <c r="Z54" s="60"/>
      <c r="AA54" s="60"/>
      <c r="AB54" s="60"/>
      <c r="AC54" s="60"/>
      <c r="AD54" s="60"/>
      <c r="AE54" s="60"/>
      <c r="AF54" s="60"/>
      <c r="AG54" s="60"/>
      <c r="AH54" s="60"/>
      <c r="AI54" s="60"/>
      <c r="AJ54" s="60"/>
      <c r="AK54" s="60"/>
      <c r="AL54" s="60"/>
      <c r="AM54" s="60"/>
      <c r="AN54" s="60"/>
      <c r="AO54" s="60"/>
      <c r="AP54" s="309"/>
    </row>
    <row r="55" spans="1:42" ht="11.25">
      <c r="K55" s="577"/>
      <c r="L55" s="1019"/>
    </row>
    <row r="58" spans="1:42">
      <c r="B58" s="1019"/>
      <c r="C58" s="1019"/>
      <c r="D58" s="1019"/>
      <c r="E58" s="1019"/>
      <c r="F58" s="1019"/>
      <c r="G58" s="1019"/>
      <c r="H58" s="1019"/>
      <c r="I58" s="1019"/>
      <c r="J58" s="1019"/>
      <c r="K58" s="1019"/>
      <c r="L58" s="1019"/>
      <c r="M58" s="1019"/>
      <c r="N58" s="1019"/>
      <c r="O58" s="1019"/>
      <c r="P58" s="1019"/>
      <c r="Q58" s="1019"/>
      <c r="R58" s="1019"/>
      <c r="S58" s="1019"/>
      <c r="T58" s="1019"/>
      <c r="U58" s="1019"/>
      <c r="V58" s="1019"/>
      <c r="W58" s="1019"/>
      <c r="X58" s="1019"/>
      <c r="Y58" s="1019"/>
      <c r="Z58" s="1019"/>
      <c r="AA58" s="1019"/>
      <c r="AB58" s="1019"/>
      <c r="AC58" s="1019"/>
      <c r="AD58" s="1019"/>
      <c r="AE58" s="1019"/>
      <c r="AF58" s="1019"/>
      <c r="AG58" s="1019"/>
      <c r="AH58" s="1019"/>
      <c r="AI58" s="1019"/>
      <c r="AJ58" s="1019"/>
      <c r="AK58" s="1019"/>
      <c r="AL58" s="1019"/>
      <c r="AM58" s="1019"/>
      <c r="AN58" s="1019"/>
      <c r="AO58" s="1019"/>
      <c r="AP58" s="1019"/>
    </row>
  </sheetData>
  <mergeCells count="39">
    <mergeCell ref="AG1:AI1"/>
    <mergeCell ref="AH3:AN3"/>
    <mergeCell ref="AO3:AO5"/>
    <mergeCell ref="AO2:AP2"/>
    <mergeCell ref="V3:V6"/>
    <mergeCell ref="W3:AG3"/>
    <mergeCell ref="W4:AN4"/>
    <mergeCell ref="AN1:AP1"/>
    <mergeCell ref="AP3:AP6"/>
    <mergeCell ref="AE1:AF1"/>
    <mergeCell ref="A1:D1"/>
    <mergeCell ref="T2:U2"/>
    <mergeCell ref="D4:D5"/>
    <mergeCell ref="H4:H5"/>
    <mergeCell ref="I4:I5"/>
    <mergeCell ref="B3:L3"/>
    <mergeCell ref="M1:N1"/>
    <mergeCell ref="K4:K5"/>
    <mergeCell ref="S1:U1"/>
    <mergeCell ref="J1:L1"/>
    <mergeCell ref="M4:O4"/>
    <mergeCell ref="G4:G5"/>
    <mergeCell ref="A3:A6"/>
    <mergeCell ref="E4:E5"/>
    <mergeCell ref="M3:T3"/>
    <mergeCell ref="U3:U6"/>
    <mergeCell ref="B54:C54"/>
    <mergeCell ref="D54:E54"/>
    <mergeCell ref="W53:X53"/>
    <mergeCell ref="B53:H53"/>
    <mergeCell ref="N52:U52"/>
    <mergeCell ref="O53:P53"/>
    <mergeCell ref="W52:AC52"/>
    <mergeCell ref="P4:T4"/>
    <mergeCell ref="B4:B5"/>
    <mergeCell ref="C4:C5"/>
    <mergeCell ref="F4:F5"/>
    <mergeCell ref="L4:L5"/>
    <mergeCell ref="J4:J5"/>
  </mergeCells>
  <phoneticPr fontId="0" type="noConversion"/>
  <pageMargins left="0.62992125984252001" right="0.511811023622047" top="0.511811023622047" bottom="0.511811023622047" header="0" footer="0.39370078740157499"/>
  <pageSetup paperSize="448" firstPageNumber="32" orientation="portrait" useFirstPageNumber="1" r:id="rId1"/>
  <headerFooter alignWithMargins="0">
    <oddFooter>&amp;C&amp;"Times New Roman,Regular"&amp;8&amp;P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16"/>
  <dimension ref="A1:AC40"/>
  <sheetViews>
    <sheetView zoomScale="140" zoomScaleNormal="140" workbookViewId="0">
      <pane xSplit="1" ySplit="6" topLeftCell="B26" activePane="bottomRight" state="frozen"/>
      <selection pane="topRight" activeCell="B1" sqref="B1"/>
      <selection pane="bottomLeft" activeCell="A7" sqref="A7"/>
      <selection pane="bottomRight" activeCell="U42" sqref="U42"/>
    </sheetView>
  </sheetViews>
  <sheetFormatPr defaultColWidth="9.140625" defaultRowHeight="12.75"/>
  <cols>
    <col min="1" max="1" width="9.85546875" style="2" customWidth="1"/>
    <col min="2" max="2" width="10.7109375" style="2" customWidth="1"/>
    <col min="3" max="3" width="10.5703125" style="2" customWidth="1"/>
    <col min="4" max="4" width="10.7109375" style="2" customWidth="1"/>
    <col min="5" max="5" width="11" style="2" customWidth="1"/>
    <col min="6" max="6" width="10.7109375" style="2" customWidth="1"/>
    <col min="7" max="7" width="11.28515625" style="2" customWidth="1"/>
    <col min="8" max="8" width="12.140625" style="2" customWidth="1"/>
    <col min="9" max="9" width="11.28515625" style="2" customWidth="1"/>
    <col min="10" max="10" width="10.7109375" style="2" customWidth="1"/>
    <col min="11" max="11" width="10.5703125" style="2" customWidth="1"/>
    <col min="12" max="12" width="10.7109375" style="2" customWidth="1"/>
    <col min="13" max="13" width="10.85546875" style="2" customWidth="1"/>
    <col min="14" max="14" width="9.85546875" style="2" customWidth="1"/>
    <col min="15" max="15" width="9.7109375" style="2" customWidth="1"/>
    <col min="16" max="16" width="10.7109375" style="2" customWidth="1"/>
    <col min="17" max="17" width="11" style="2" customWidth="1"/>
    <col min="18" max="18" width="10.85546875" style="2" customWidth="1"/>
    <col min="19" max="19" width="11.28515625" style="2" customWidth="1"/>
    <col min="20" max="20" width="10.7109375" style="2" customWidth="1"/>
    <col min="21" max="21" width="10.85546875" style="2" customWidth="1"/>
    <col min="22" max="22" width="10.7109375" style="2" customWidth="1"/>
    <col min="23" max="23" width="11" style="2" customWidth="1"/>
    <col min="24" max="24" width="10.7109375" style="2" customWidth="1"/>
    <col min="25" max="26" width="10.85546875" style="2" customWidth="1"/>
    <col min="27" max="28" width="10.7109375" style="2" customWidth="1"/>
    <col min="29" max="16384" width="9.140625" style="2"/>
  </cols>
  <sheetData>
    <row r="1" spans="1:29" s="32" customFormat="1" ht="15.75" customHeight="1">
      <c r="A1" s="2033" t="s">
        <v>155</v>
      </c>
      <c r="B1" s="2033"/>
      <c r="C1" s="2033"/>
      <c r="D1" s="2033"/>
      <c r="E1" s="2033"/>
      <c r="F1" s="2033"/>
      <c r="G1" s="2033"/>
      <c r="H1" s="2036" t="s">
        <v>156</v>
      </c>
      <c r="I1" s="2036"/>
      <c r="J1" s="2036"/>
      <c r="K1" s="2036"/>
      <c r="M1" s="2033" t="s">
        <v>282</v>
      </c>
      <c r="N1" s="2033"/>
      <c r="O1" s="2033" t="s">
        <v>155</v>
      </c>
      <c r="P1" s="2033"/>
      <c r="Q1" s="2033"/>
      <c r="R1" s="2033"/>
      <c r="S1" s="2033"/>
      <c r="T1" s="2033"/>
      <c r="U1" s="2033"/>
      <c r="V1" s="2036" t="s">
        <v>156</v>
      </c>
      <c r="W1" s="2036"/>
      <c r="X1" s="2036"/>
      <c r="Y1" s="2036"/>
      <c r="Z1" s="33"/>
      <c r="AA1" s="2035" t="s">
        <v>476</v>
      </c>
      <c r="AB1" s="2035"/>
      <c r="AC1" s="33"/>
    </row>
    <row r="2" spans="1:29" s="29" customFormat="1" ht="13.5" customHeight="1">
      <c r="A2" s="103"/>
      <c r="P2" s="104"/>
      <c r="Q2" s="104"/>
      <c r="R2" s="104"/>
      <c r="S2" s="104"/>
      <c r="T2" s="105"/>
      <c r="U2" s="105"/>
      <c r="V2" s="105"/>
      <c r="W2" s="105"/>
      <c r="X2" s="105"/>
      <c r="Y2" s="105"/>
      <c r="Z2" s="105"/>
      <c r="AA2" s="105"/>
      <c r="AB2" s="105"/>
      <c r="AC2" s="105"/>
    </row>
    <row r="3" spans="1:29" s="161" customFormat="1" ht="20.25" customHeight="1">
      <c r="A3" s="2027" t="s">
        <v>739</v>
      </c>
      <c r="B3" s="2030" t="s">
        <v>217</v>
      </c>
      <c r="C3" s="2030"/>
      <c r="D3" s="2030" t="s">
        <v>218</v>
      </c>
      <c r="E3" s="2030"/>
      <c r="F3" s="2030" t="s">
        <v>219</v>
      </c>
      <c r="G3" s="2030"/>
      <c r="H3" s="2030" t="s">
        <v>751</v>
      </c>
      <c r="I3" s="2030"/>
      <c r="J3" s="2030" t="s">
        <v>474</v>
      </c>
      <c r="K3" s="2030"/>
      <c r="L3" s="2030" t="s">
        <v>475</v>
      </c>
      <c r="M3" s="2030"/>
      <c r="N3" s="2027" t="s">
        <v>739</v>
      </c>
      <c r="O3" s="2027" t="s">
        <v>739</v>
      </c>
      <c r="P3" s="2030" t="s">
        <v>477</v>
      </c>
      <c r="Q3" s="2030"/>
      <c r="R3" s="2030" t="s">
        <v>478</v>
      </c>
      <c r="S3" s="2030"/>
      <c r="T3" s="2030" t="s">
        <v>479</v>
      </c>
      <c r="U3" s="2030"/>
      <c r="V3" s="2030" t="s">
        <v>130</v>
      </c>
      <c r="W3" s="2030"/>
      <c r="X3" s="2030" t="s">
        <v>480</v>
      </c>
      <c r="Y3" s="2030"/>
      <c r="Z3" s="2030" t="s">
        <v>151</v>
      </c>
      <c r="AA3" s="2030"/>
      <c r="AB3" s="2027" t="s">
        <v>739</v>
      </c>
    </row>
    <row r="4" spans="1:29" s="1057" customFormat="1" ht="23.25" customHeight="1">
      <c r="A4" s="2028"/>
      <c r="B4" s="2031" t="s">
        <v>2523</v>
      </c>
      <c r="C4" s="2031" t="s">
        <v>1244</v>
      </c>
      <c r="D4" s="2031" t="s">
        <v>2523</v>
      </c>
      <c r="E4" s="2031" t="s">
        <v>1244</v>
      </c>
      <c r="F4" s="2031" t="s">
        <v>2523</v>
      </c>
      <c r="G4" s="2031" t="s">
        <v>1244</v>
      </c>
      <c r="H4" s="2031" t="s">
        <v>2523</v>
      </c>
      <c r="I4" s="2031" t="s">
        <v>1244</v>
      </c>
      <c r="J4" s="2031" t="s">
        <v>2523</v>
      </c>
      <c r="K4" s="2031" t="s">
        <v>1244</v>
      </c>
      <c r="L4" s="2031" t="s">
        <v>2523</v>
      </c>
      <c r="M4" s="2031" t="s">
        <v>1244</v>
      </c>
      <c r="N4" s="2028"/>
      <c r="O4" s="2028"/>
      <c r="P4" s="2031" t="s">
        <v>2523</v>
      </c>
      <c r="Q4" s="2031" t="s">
        <v>1244</v>
      </c>
      <c r="R4" s="2031" t="s">
        <v>2523</v>
      </c>
      <c r="S4" s="2031" t="s">
        <v>1244</v>
      </c>
      <c r="T4" s="2031" t="s">
        <v>2523</v>
      </c>
      <c r="U4" s="2031" t="s">
        <v>1244</v>
      </c>
      <c r="V4" s="2031" t="s">
        <v>2523</v>
      </c>
      <c r="W4" s="2031" t="s">
        <v>1244</v>
      </c>
      <c r="X4" s="2031" t="s">
        <v>2523</v>
      </c>
      <c r="Y4" s="2031" t="s">
        <v>1244</v>
      </c>
      <c r="Z4" s="2031" t="s">
        <v>2523</v>
      </c>
      <c r="AA4" s="2031" t="s">
        <v>1244</v>
      </c>
      <c r="AB4" s="2028"/>
    </row>
    <row r="5" spans="1:29" s="1057" customFormat="1" ht="21" customHeight="1">
      <c r="A5" s="2029"/>
      <c r="B5" s="2032"/>
      <c r="C5" s="2032"/>
      <c r="D5" s="2032"/>
      <c r="E5" s="2032"/>
      <c r="F5" s="2032"/>
      <c r="G5" s="2032"/>
      <c r="H5" s="2032"/>
      <c r="I5" s="2032"/>
      <c r="J5" s="2032"/>
      <c r="K5" s="2032"/>
      <c r="L5" s="2032"/>
      <c r="M5" s="2032"/>
      <c r="N5" s="2029"/>
      <c r="O5" s="2029"/>
      <c r="P5" s="2032"/>
      <c r="Q5" s="2032"/>
      <c r="R5" s="2032"/>
      <c r="S5" s="2032"/>
      <c r="T5" s="2032"/>
      <c r="U5" s="2032"/>
      <c r="V5" s="2032"/>
      <c r="W5" s="2032"/>
      <c r="X5" s="2032"/>
      <c r="Y5" s="2032"/>
      <c r="Z5" s="2032"/>
      <c r="AA5" s="2032"/>
      <c r="AB5" s="2029"/>
    </row>
    <row r="6" spans="1:29">
      <c r="A6" s="95"/>
      <c r="B6" s="96"/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7"/>
      <c r="P6" s="96"/>
      <c r="Q6" s="96"/>
      <c r="R6" s="96"/>
      <c r="S6" s="96"/>
      <c r="T6" s="96"/>
      <c r="U6" s="96"/>
      <c r="V6" s="96"/>
      <c r="W6" s="96"/>
      <c r="X6" s="96"/>
      <c r="Y6" s="96"/>
      <c r="Z6" s="96"/>
      <c r="AA6" s="96"/>
      <c r="AB6" s="96"/>
      <c r="AC6" s="10"/>
    </row>
    <row r="7" spans="1:29" s="10" customFormat="1" ht="21.95" customHeight="1">
      <c r="A7" s="880" t="s">
        <v>802</v>
      </c>
      <c r="B7" s="1016">
        <v>1791</v>
      </c>
      <c r="C7" s="1016">
        <v>4111</v>
      </c>
      <c r="D7" s="1016">
        <v>8509</v>
      </c>
      <c r="E7" s="1016">
        <v>13824</v>
      </c>
      <c r="F7" s="1016">
        <v>6538</v>
      </c>
      <c r="G7" s="1016">
        <v>6582</v>
      </c>
      <c r="H7" s="1016">
        <v>1245</v>
      </c>
      <c r="I7" s="1016">
        <v>1580</v>
      </c>
      <c r="J7" s="1016">
        <v>7446</v>
      </c>
      <c r="K7" s="1016">
        <v>445</v>
      </c>
      <c r="L7" s="1016">
        <v>245</v>
      </c>
      <c r="M7" s="1016">
        <v>833</v>
      </c>
      <c r="N7" s="827" t="s">
        <v>802</v>
      </c>
      <c r="O7" s="1017" t="s">
        <v>802</v>
      </c>
      <c r="P7" s="1016">
        <v>32</v>
      </c>
      <c r="Q7" s="1016">
        <v>133</v>
      </c>
      <c r="R7" s="1016">
        <v>168</v>
      </c>
      <c r="S7" s="1016">
        <v>512</v>
      </c>
      <c r="T7" s="1016">
        <v>38</v>
      </c>
      <c r="U7" s="1016">
        <v>89</v>
      </c>
      <c r="V7" s="1016">
        <v>52</v>
      </c>
      <c r="W7" s="1016">
        <v>118</v>
      </c>
      <c r="X7" s="1016">
        <v>964</v>
      </c>
      <c r="Y7" s="1016">
        <v>1383</v>
      </c>
      <c r="Z7" s="1016">
        <v>13</v>
      </c>
      <c r="AA7" s="1016">
        <v>86</v>
      </c>
      <c r="AB7" s="490" t="s">
        <v>802</v>
      </c>
    </row>
    <row r="8" spans="1:29" s="10" customFormat="1" ht="21.95" customHeight="1">
      <c r="A8" s="373" t="s">
        <v>803</v>
      </c>
      <c r="B8" s="97">
        <v>1676</v>
      </c>
      <c r="C8" s="97">
        <v>3840</v>
      </c>
      <c r="D8" s="97">
        <v>8790</v>
      </c>
      <c r="E8" s="97">
        <v>13953</v>
      </c>
      <c r="F8" s="97">
        <v>7221</v>
      </c>
      <c r="G8" s="97">
        <v>6804</v>
      </c>
      <c r="H8" s="97">
        <v>1369</v>
      </c>
      <c r="I8" s="97">
        <v>1732</v>
      </c>
      <c r="J8" s="97">
        <v>7165</v>
      </c>
      <c r="K8" s="97">
        <v>431</v>
      </c>
      <c r="L8" s="97">
        <v>246</v>
      </c>
      <c r="M8" s="97">
        <v>830</v>
      </c>
      <c r="N8" s="1018" t="s">
        <v>803</v>
      </c>
      <c r="O8" s="373" t="s">
        <v>803</v>
      </c>
      <c r="P8" s="97">
        <v>32</v>
      </c>
      <c r="Q8" s="97">
        <v>136</v>
      </c>
      <c r="R8" s="97">
        <v>170</v>
      </c>
      <c r="S8" s="97">
        <v>509</v>
      </c>
      <c r="T8" s="97">
        <v>39</v>
      </c>
      <c r="U8" s="97">
        <v>90</v>
      </c>
      <c r="V8" s="97">
        <v>48</v>
      </c>
      <c r="W8" s="97">
        <v>119</v>
      </c>
      <c r="X8" s="97">
        <v>739</v>
      </c>
      <c r="Y8" s="97">
        <v>1133</v>
      </c>
      <c r="Z8" s="97">
        <v>13</v>
      </c>
      <c r="AA8" s="97">
        <v>86</v>
      </c>
      <c r="AB8" s="1018" t="s">
        <v>803</v>
      </c>
    </row>
    <row r="9" spans="1:29" s="10" customFormat="1" ht="21.95" customHeight="1">
      <c r="A9" s="1017" t="s">
        <v>804</v>
      </c>
      <c r="B9" s="1016">
        <v>1871</v>
      </c>
      <c r="C9" s="1016">
        <v>3935</v>
      </c>
      <c r="D9" s="1016">
        <v>9552</v>
      </c>
      <c r="E9" s="1016">
        <v>14399</v>
      </c>
      <c r="F9" s="1016">
        <v>7460</v>
      </c>
      <c r="G9" s="1016">
        <v>6876</v>
      </c>
      <c r="H9" s="1016">
        <v>1454</v>
      </c>
      <c r="I9" s="1016">
        <v>1749</v>
      </c>
      <c r="J9" s="1016">
        <v>7520</v>
      </c>
      <c r="K9" s="1016">
        <v>434</v>
      </c>
      <c r="L9" s="1016">
        <v>249</v>
      </c>
      <c r="M9" s="1016">
        <v>831</v>
      </c>
      <c r="N9" s="490" t="s">
        <v>804</v>
      </c>
      <c r="O9" s="1017" t="s">
        <v>804</v>
      </c>
      <c r="P9" s="1016">
        <v>34</v>
      </c>
      <c r="Q9" s="1016">
        <v>136</v>
      </c>
      <c r="R9" s="1016">
        <v>171</v>
      </c>
      <c r="S9" s="1016">
        <v>510</v>
      </c>
      <c r="T9" s="1016">
        <v>38</v>
      </c>
      <c r="U9" s="1016">
        <v>86</v>
      </c>
      <c r="V9" s="1016">
        <v>53</v>
      </c>
      <c r="W9" s="1016">
        <v>119</v>
      </c>
      <c r="X9" s="1016">
        <v>883</v>
      </c>
      <c r="Y9" s="1016">
        <v>1253</v>
      </c>
      <c r="Z9" s="1016">
        <v>14</v>
      </c>
      <c r="AA9" s="1016">
        <v>91</v>
      </c>
      <c r="AB9" s="490" t="s">
        <v>804</v>
      </c>
    </row>
    <row r="10" spans="1:29" s="10" customFormat="1" ht="21.95" customHeight="1">
      <c r="A10" s="373" t="s">
        <v>805</v>
      </c>
      <c r="B10" s="97">
        <v>1875</v>
      </c>
      <c r="C10" s="97">
        <v>3868</v>
      </c>
      <c r="D10" s="97">
        <v>8850</v>
      </c>
      <c r="E10" s="97">
        <v>14353</v>
      </c>
      <c r="F10" s="97">
        <v>8137</v>
      </c>
      <c r="G10" s="97">
        <v>7138</v>
      </c>
      <c r="H10" s="97">
        <v>1803</v>
      </c>
      <c r="I10" s="97">
        <v>1988</v>
      </c>
      <c r="J10" s="97">
        <v>7379</v>
      </c>
      <c r="K10" s="97">
        <v>433</v>
      </c>
      <c r="L10" s="97">
        <v>254</v>
      </c>
      <c r="M10" s="97">
        <v>849</v>
      </c>
      <c r="N10" s="1018" t="s">
        <v>805</v>
      </c>
      <c r="O10" s="373" t="s">
        <v>805</v>
      </c>
      <c r="P10" s="97">
        <v>34</v>
      </c>
      <c r="Q10" s="97">
        <v>135</v>
      </c>
      <c r="R10" s="97">
        <v>163</v>
      </c>
      <c r="S10" s="97">
        <v>508</v>
      </c>
      <c r="T10" s="97">
        <v>37</v>
      </c>
      <c r="U10" s="97">
        <v>81</v>
      </c>
      <c r="V10" s="97">
        <v>51</v>
      </c>
      <c r="W10" s="97">
        <v>120</v>
      </c>
      <c r="X10" s="97">
        <v>1057</v>
      </c>
      <c r="Y10" s="97">
        <v>1427</v>
      </c>
      <c r="Z10" s="97">
        <v>14</v>
      </c>
      <c r="AA10" s="97">
        <v>86</v>
      </c>
      <c r="AB10" s="1018" t="s">
        <v>805</v>
      </c>
    </row>
    <row r="11" spans="1:29" s="10" customFormat="1" ht="21.95" customHeight="1">
      <c r="A11" s="1017" t="s">
        <v>806</v>
      </c>
      <c r="B11" s="1016">
        <v>1617</v>
      </c>
      <c r="C11" s="1016">
        <v>3519</v>
      </c>
      <c r="D11" s="1016">
        <v>7736</v>
      </c>
      <c r="E11" s="1016">
        <v>12762</v>
      </c>
      <c r="F11" s="1016">
        <v>10552</v>
      </c>
      <c r="G11" s="1016">
        <v>8715</v>
      </c>
      <c r="H11" s="1016">
        <v>1988</v>
      </c>
      <c r="I11" s="1016">
        <v>2180</v>
      </c>
      <c r="J11" s="1016">
        <v>6951</v>
      </c>
      <c r="K11" s="1016">
        <v>430</v>
      </c>
      <c r="L11" s="1016">
        <v>253</v>
      </c>
      <c r="M11" s="1016">
        <v>850</v>
      </c>
      <c r="N11" s="490" t="s">
        <v>806</v>
      </c>
      <c r="O11" s="1017" t="s">
        <v>806</v>
      </c>
      <c r="P11" s="1016">
        <v>34</v>
      </c>
      <c r="Q11" s="1016">
        <v>137</v>
      </c>
      <c r="R11" s="1016">
        <v>165</v>
      </c>
      <c r="S11" s="1016">
        <v>508</v>
      </c>
      <c r="T11" s="1016">
        <v>29</v>
      </c>
      <c r="U11" s="1016">
        <v>78</v>
      </c>
      <c r="V11" s="1016">
        <v>56</v>
      </c>
      <c r="W11" s="1016">
        <v>120</v>
      </c>
      <c r="X11" s="1016">
        <v>812</v>
      </c>
      <c r="Y11" s="1016">
        <v>1181</v>
      </c>
      <c r="Z11" s="1016" t="s">
        <v>861</v>
      </c>
      <c r="AA11" s="1016" t="s">
        <v>861</v>
      </c>
      <c r="AB11" s="490" t="s">
        <v>806</v>
      </c>
    </row>
    <row r="12" spans="1:29" s="10" customFormat="1" ht="21.95" customHeight="1">
      <c r="A12" s="373" t="s">
        <v>807</v>
      </c>
      <c r="B12" s="97">
        <v>1734</v>
      </c>
      <c r="C12" s="97">
        <v>3339</v>
      </c>
      <c r="D12" s="97">
        <v>10305</v>
      </c>
      <c r="E12" s="97">
        <v>14097</v>
      </c>
      <c r="F12" s="97">
        <v>11027</v>
      </c>
      <c r="G12" s="97">
        <v>9024</v>
      </c>
      <c r="H12" s="97">
        <v>1840</v>
      </c>
      <c r="I12" s="97">
        <v>2057</v>
      </c>
      <c r="J12" s="97">
        <v>6910</v>
      </c>
      <c r="K12" s="97">
        <v>421</v>
      </c>
      <c r="L12" s="97">
        <v>249</v>
      </c>
      <c r="M12" s="97">
        <v>812</v>
      </c>
      <c r="N12" s="1018" t="s">
        <v>807</v>
      </c>
      <c r="O12" s="373" t="s">
        <v>807</v>
      </c>
      <c r="P12" s="97">
        <v>36</v>
      </c>
      <c r="Q12" s="97">
        <v>136</v>
      </c>
      <c r="R12" s="97">
        <v>128</v>
      </c>
      <c r="S12" s="97">
        <v>412</v>
      </c>
      <c r="T12" s="97">
        <v>35</v>
      </c>
      <c r="U12" s="97">
        <v>88</v>
      </c>
      <c r="V12" s="97">
        <v>46</v>
      </c>
      <c r="W12" s="97">
        <v>120</v>
      </c>
      <c r="X12" s="97">
        <v>711</v>
      </c>
      <c r="Y12" s="97">
        <v>1008</v>
      </c>
      <c r="Z12" s="97" t="s">
        <v>861</v>
      </c>
      <c r="AA12" s="97" t="s">
        <v>861</v>
      </c>
      <c r="AB12" s="1018" t="s">
        <v>807</v>
      </c>
    </row>
    <row r="13" spans="1:29" s="10" customFormat="1" ht="21.95" customHeight="1">
      <c r="A13" s="1017" t="s">
        <v>808</v>
      </c>
      <c r="B13" s="1016">
        <v>1916</v>
      </c>
      <c r="C13" s="1016">
        <v>3275</v>
      </c>
      <c r="D13" s="1016">
        <v>11249</v>
      </c>
      <c r="E13" s="1016">
        <v>14110</v>
      </c>
      <c r="F13" s="1016">
        <v>11921</v>
      </c>
      <c r="G13" s="1016">
        <v>9296</v>
      </c>
      <c r="H13" s="1016">
        <v>1673</v>
      </c>
      <c r="I13" s="1016">
        <v>1909</v>
      </c>
      <c r="J13" s="1016">
        <v>6742</v>
      </c>
      <c r="K13" s="1016">
        <v>417</v>
      </c>
      <c r="L13" s="1016">
        <v>238</v>
      </c>
      <c r="M13" s="1016">
        <v>785</v>
      </c>
      <c r="N13" s="490" t="s">
        <v>808</v>
      </c>
      <c r="O13" s="1017" t="s">
        <v>808</v>
      </c>
      <c r="P13" s="1016">
        <v>34</v>
      </c>
      <c r="Q13" s="1016">
        <v>130</v>
      </c>
      <c r="R13" s="1016">
        <v>126</v>
      </c>
      <c r="S13" s="1016">
        <v>406</v>
      </c>
      <c r="T13" s="1016">
        <v>37</v>
      </c>
      <c r="U13" s="1016">
        <v>74</v>
      </c>
      <c r="V13" s="1016">
        <v>52</v>
      </c>
      <c r="W13" s="1016">
        <v>120</v>
      </c>
      <c r="X13" s="1016">
        <v>821</v>
      </c>
      <c r="Y13" s="1016">
        <v>1107</v>
      </c>
      <c r="Z13" s="1016">
        <v>27</v>
      </c>
      <c r="AA13" s="1016">
        <v>40</v>
      </c>
      <c r="AB13" s="490" t="s">
        <v>808</v>
      </c>
    </row>
    <row r="14" spans="1:29" s="10" customFormat="1" ht="21.95" customHeight="1">
      <c r="A14" s="373" t="s">
        <v>809</v>
      </c>
      <c r="B14" s="97">
        <v>1808</v>
      </c>
      <c r="C14" s="97">
        <v>3069</v>
      </c>
      <c r="D14" s="97">
        <v>10726</v>
      </c>
      <c r="E14" s="97">
        <v>13955</v>
      </c>
      <c r="F14" s="97">
        <v>11766</v>
      </c>
      <c r="G14" s="97">
        <v>9319</v>
      </c>
      <c r="H14" s="97">
        <v>1606</v>
      </c>
      <c r="I14" s="97">
        <v>1833</v>
      </c>
      <c r="J14" s="97">
        <v>6502</v>
      </c>
      <c r="K14" s="97">
        <v>402</v>
      </c>
      <c r="L14" s="97">
        <v>233</v>
      </c>
      <c r="M14" s="97">
        <v>749</v>
      </c>
      <c r="N14" s="1018" t="s">
        <v>809</v>
      </c>
      <c r="O14" s="373" t="s">
        <v>809</v>
      </c>
      <c r="P14" s="97">
        <v>34</v>
      </c>
      <c r="Q14" s="97">
        <v>112</v>
      </c>
      <c r="R14" s="97">
        <v>115</v>
      </c>
      <c r="S14" s="97">
        <v>388</v>
      </c>
      <c r="T14" s="97">
        <v>38</v>
      </c>
      <c r="U14" s="97">
        <v>75</v>
      </c>
      <c r="V14" s="97">
        <v>52</v>
      </c>
      <c r="W14" s="97">
        <v>122</v>
      </c>
      <c r="X14" s="97">
        <v>859</v>
      </c>
      <c r="Y14" s="97">
        <v>1128</v>
      </c>
      <c r="Z14" s="97">
        <v>30</v>
      </c>
      <c r="AA14" s="97">
        <v>42</v>
      </c>
      <c r="AB14" s="1018" t="s">
        <v>809</v>
      </c>
    </row>
    <row r="15" spans="1:29" s="10" customFormat="1" ht="21.95" customHeight="1">
      <c r="A15" s="1017" t="s">
        <v>810</v>
      </c>
      <c r="B15" s="1016">
        <v>1850</v>
      </c>
      <c r="C15" s="1016">
        <v>3073</v>
      </c>
      <c r="D15" s="1016">
        <v>11115</v>
      </c>
      <c r="E15" s="1016">
        <v>14041</v>
      </c>
      <c r="F15" s="1016">
        <v>12222</v>
      </c>
      <c r="G15" s="1016">
        <v>9501</v>
      </c>
      <c r="H15" s="1016">
        <v>1507</v>
      </c>
      <c r="I15" s="1016">
        <v>1746</v>
      </c>
      <c r="J15" s="1016">
        <v>6838</v>
      </c>
      <c r="K15" s="1016">
        <v>410</v>
      </c>
      <c r="L15" s="1016">
        <v>218</v>
      </c>
      <c r="M15" s="1016">
        <v>735</v>
      </c>
      <c r="N15" s="490" t="s">
        <v>810</v>
      </c>
      <c r="O15" s="1017" t="s">
        <v>810</v>
      </c>
      <c r="P15" s="1016">
        <v>30</v>
      </c>
      <c r="Q15" s="1016">
        <v>109</v>
      </c>
      <c r="R15" s="1016">
        <v>116</v>
      </c>
      <c r="S15" s="1016">
        <v>381</v>
      </c>
      <c r="T15" s="1016">
        <v>38</v>
      </c>
      <c r="U15" s="1016">
        <v>75</v>
      </c>
      <c r="V15" s="1016">
        <v>58</v>
      </c>
      <c r="W15" s="1016">
        <v>126</v>
      </c>
      <c r="X15" s="1016">
        <v>800</v>
      </c>
      <c r="Y15" s="1016">
        <v>1079</v>
      </c>
      <c r="Z15" s="1016">
        <v>24</v>
      </c>
      <c r="AA15" s="1016">
        <v>38</v>
      </c>
      <c r="AB15" s="490" t="s">
        <v>810</v>
      </c>
    </row>
    <row r="16" spans="1:29" s="10" customFormat="1" ht="21.95" customHeight="1">
      <c r="A16" s="373" t="s">
        <v>811</v>
      </c>
      <c r="B16" s="97">
        <v>1832</v>
      </c>
      <c r="C16" s="97">
        <v>2971</v>
      </c>
      <c r="D16" s="97">
        <v>11521</v>
      </c>
      <c r="E16" s="97">
        <v>14030</v>
      </c>
      <c r="F16" s="97">
        <v>12837</v>
      </c>
      <c r="G16" s="97">
        <v>9745</v>
      </c>
      <c r="H16" s="97">
        <v>1253</v>
      </c>
      <c r="I16" s="97">
        <v>1586</v>
      </c>
      <c r="J16" s="97">
        <v>6484</v>
      </c>
      <c r="K16" s="97">
        <v>404</v>
      </c>
      <c r="L16" s="97">
        <v>211</v>
      </c>
      <c r="M16" s="97">
        <v>690</v>
      </c>
      <c r="N16" s="1018" t="s">
        <v>811</v>
      </c>
      <c r="O16" s="373" t="s">
        <v>811</v>
      </c>
      <c r="P16" s="97">
        <v>30</v>
      </c>
      <c r="Q16" s="97">
        <v>108</v>
      </c>
      <c r="R16" s="97">
        <v>122</v>
      </c>
      <c r="S16" s="97">
        <v>382</v>
      </c>
      <c r="T16" s="97">
        <v>39</v>
      </c>
      <c r="U16" s="97">
        <v>75</v>
      </c>
      <c r="V16" s="97">
        <v>57</v>
      </c>
      <c r="W16" s="97">
        <v>126</v>
      </c>
      <c r="X16" s="97">
        <v>794</v>
      </c>
      <c r="Y16" s="97">
        <v>1008</v>
      </c>
      <c r="Z16" s="97">
        <v>78</v>
      </c>
      <c r="AA16" s="97">
        <v>38</v>
      </c>
      <c r="AB16" s="1018" t="s">
        <v>811</v>
      </c>
    </row>
    <row r="17" spans="1:28" s="10" customFormat="1" ht="21.95" customHeight="1">
      <c r="A17" s="1017" t="s">
        <v>812</v>
      </c>
      <c r="B17" s="1016">
        <v>1500</v>
      </c>
      <c r="C17" s="1016">
        <v>2532</v>
      </c>
      <c r="D17" s="1016">
        <v>9820</v>
      </c>
      <c r="E17" s="1016">
        <v>13047</v>
      </c>
      <c r="F17" s="1016">
        <v>13837</v>
      </c>
      <c r="G17" s="1016">
        <v>10042</v>
      </c>
      <c r="H17" s="1016">
        <v>976</v>
      </c>
      <c r="I17" s="1016">
        <v>1380</v>
      </c>
      <c r="J17" s="1016">
        <v>6423</v>
      </c>
      <c r="K17" s="1016">
        <v>388</v>
      </c>
      <c r="L17" s="1016">
        <v>191</v>
      </c>
      <c r="M17" s="1016">
        <v>597</v>
      </c>
      <c r="N17" s="490" t="s">
        <v>812</v>
      </c>
      <c r="O17" s="1017" t="s">
        <v>812</v>
      </c>
      <c r="P17" s="1016">
        <v>18</v>
      </c>
      <c r="Q17" s="1016">
        <v>60</v>
      </c>
      <c r="R17" s="1016">
        <v>121</v>
      </c>
      <c r="S17" s="1016">
        <v>380</v>
      </c>
      <c r="T17" s="1016">
        <v>38</v>
      </c>
      <c r="U17" s="1016">
        <v>78</v>
      </c>
      <c r="V17" s="1016">
        <v>58</v>
      </c>
      <c r="W17" s="1016">
        <v>132</v>
      </c>
      <c r="X17" s="1016">
        <v>1035</v>
      </c>
      <c r="Y17" s="1016">
        <v>965</v>
      </c>
      <c r="Z17" s="1016">
        <v>3</v>
      </c>
      <c r="AA17" s="1016">
        <v>4</v>
      </c>
      <c r="AB17" s="490" t="s">
        <v>812</v>
      </c>
    </row>
    <row r="18" spans="1:28" s="10" customFormat="1" ht="21.95" customHeight="1">
      <c r="A18" s="373" t="s">
        <v>817</v>
      </c>
      <c r="B18" s="97">
        <v>1754</v>
      </c>
      <c r="C18" s="97">
        <v>2556</v>
      </c>
      <c r="D18" s="97">
        <v>10810</v>
      </c>
      <c r="E18" s="97">
        <v>13416</v>
      </c>
      <c r="F18" s="97">
        <v>13975</v>
      </c>
      <c r="G18" s="97">
        <v>10047</v>
      </c>
      <c r="H18" s="97">
        <v>735</v>
      </c>
      <c r="I18" s="97">
        <v>1184</v>
      </c>
      <c r="J18" s="97">
        <v>5511</v>
      </c>
      <c r="K18" s="97">
        <v>377</v>
      </c>
      <c r="L18" s="97">
        <v>183</v>
      </c>
      <c r="M18" s="97">
        <v>536</v>
      </c>
      <c r="N18" s="1018" t="s">
        <v>817</v>
      </c>
      <c r="O18" s="705" t="s">
        <v>817</v>
      </c>
      <c r="P18" s="327">
        <v>17</v>
      </c>
      <c r="Q18" s="327">
        <v>55</v>
      </c>
      <c r="R18" s="327">
        <v>115</v>
      </c>
      <c r="S18" s="327">
        <v>333</v>
      </c>
      <c r="T18" s="327">
        <v>43</v>
      </c>
      <c r="U18" s="327">
        <v>78</v>
      </c>
      <c r="V18" s="327">
        <v>58</v>
      </c>
      <c r="W18" s="327">
        <v>130</v>
      </c>
      <c r="X18" s="328">
        <v>838</v>
      </c>
      <c r="Y18" s="328">
        <v>993</v>
      </c>
      <c r="Z18" s="327">
        <v>18</v>
      </c>
      <c r="AA18" s="327">
        <v>26</v>
      </c>
      <c r="AB18" s="391" t="s">
        <v>817</v>
      </c>
    </row>
    <row r="19" spans="1:28" s="10" customFormat="1" ht="21.95" customHeight="1">
      <c r="A19" s="1017" t="s">
        <v>826</v>
      </c>
      <c r="B19" s="1016">
        <v>1512</v>
      </c>
      <c r="C19" s="1016">
        <v>2238</v>
      </c>
      <c r="D19" s="1016">
        <v>10841</v>
      </c>
      <c r="E19" s="1016">
        <v>13382</v>
      </c>
      <c r="F19" s="1016">
        <v>14965</v>
      </c>
      <c r="G19" s="1016">
        <v>10522</v>
      </c>
      <c r="H19" s="1016">
        <v>737</v>
      </c>
      <c r="I19" s="1016">
        <v>988</v>
      </c>
      <c r="J19" s="1016">
        <v>5770</v>
      </c>
      <c r="K19" s="1016">
        <v>371</v>
      </c>
      <c r="L19" s="1016">
        <v>189</v>
      </c>
      <c r="M19" s="1016">
        <v>520</v>
      </c>
      <c r="N19" s="490" t="s">
        <v>826</v>
      </c>
      <c r="O19" s="1017" t="s">
        <v>826</v>
      </c>
      <c r="P19" s="1016">
        <v>19</v>
      </c>
      <c r="Q19" s="1016">
        <v>60</v>
      </c>
      <c r="R19" s="1016">
        <v>117</v>
      </c>
      <c r="S19" s="1016">
        <v>340</v>
      </c>
      <c r="T19" s="1016">
        <v>39</v>
      </c>
      <c r="U19" s="1016">
        <v>76</v>
      </c>
      <c r="V19" s="433">
        <v>58</v>
      </c>
      <c r="W19" s="433">
        <v>129</v>
      </c>
      <c r="X19" s="1016">
        <v>879</v>
      </c>
      <c r="Y19" s="1016">
        <v>1034</v>
      </c>
      <c r="Z19" s="1016">
        <v>18</v>
      </c>
      <c r="AA19" s="1016">
        <v>25</v>
      </c>
      <c r="AB19" s="490" t="s">
        <v>826</v>
      </c>
    </row>
    <row r="20" spans="1:28" s="11" customFormat="1" ht="21.95" customHeight="1">
      <c r="A20" s="705" t="s">
        <v>549</v>
      </c>
      <c r="B20" s="327">
        <v>1507</v>
      </c>
      <c r="C20" s="327">
        <v>2270</v>
      </c>
      <c r="D20" s="327">
        <v>9662</v>
      </c>
      <c r="E20" s="327">
        <v>12474</v>
      </c>
      <c r="F20" s="327">
        <v>17762</v>
      </c>
      <c r="G20" s="327">
        <v>11386</v>
      </c>
      <c r="H20" s="327">
        <v>844</v>
      </c>
      <c r="I20" s="327">
        <v>958</v>
      </c>
      <c r="J20" s="327">
        <v>4984</v>
      </c>
      <c r="K20" s="327">
        <v>320</v>
      </c>
      <c r="L20" s="328">
        <v>228</v>
      </c>
      <c r="M20" s="328">
        <v>577</v>
      </c>
      <c r="N20" s="391" t="s">
        <v>549</v>
      </c>
      <c r="O20" s="705" t="s">
        <v>549</v>
      </c>
      <c r="P20" s="327">
        <v>21</v>
      </c>
      <c r="Q20" s="327">
        <v>60</v>
      </c>
      <c r="R20" s="328">
        <v>72</v>
      </c>
      <c r="S20" s="328">
        <v>179</v>
      </c>
      <c r="T20" s="327">
        <v>40</v>
      </c>
      <c r="U20" s="327">
        <v>72</v>
      </c>
      <c r="V20" s="328">
        <v>59</v>
      </c>
      <c r="W20" s="328">
        <v>133</v>
      </c>
      <c r="X20" s="327">
        <v>832</v>
      </c>
      <c r="Y20" s="327">
        <v>1089</v>
      </c>
      <c r="Z20" s="328">
        <v>15</v>
      </c>
      <c r="AA20" s="328">
        <v>22</v>
      </c>
      <c r="AB20" s="391" t="s">
        <v>549</v>
      </c>
    </row>
    <row r="21" spans="1:28" s="11" customFormat="1" ht="21.95" customHeight="1">
      <c r="A21" s="1017" t="s">
        <v>102</v>
      </c>
      <c r="B21" s="1016">
        <v>1895</v>
      </c>
      <c r="C21" s="1016">
        <v>2633</v>
      </c>
      <c r="D21" s="1016">
        <v>11613</v>
      </c>
      <c r="E21" s="1016">
        <v>13585</v>
      </c>
      <c r="F21" s="1016">
        <v>17809</v>
      </c>
      <c r="G21" s="1016">
        <v>11654</v>
      </c>
      <c r="H21" s="1016">
        <v>849</v>
      </c>
      <c r="I21" s="1016">
        <v>975</v>
      </c>
      <c r="J21" s="1016">
        <v>5232</v>
      </c>
      <c r="K21" s="1016">
        <v>312</v>
      </c>
      <c r="L21" s="1016">
        <v>228</v>
      </c>
      <c r="M21" s="1016">
        <v>578</v>
      </c>
      <c r="N21" s="490" t="s">
        <v>102</v>
      </c>
      <c r="O21" s="1017" t="s">
        <v>102</v>
      </c>
      <c r="P21" s="1016">
        <v>18</v>
      </c>
      <c r="Q21" s="1016">
        <v>54</v>
      </c>
      <c r="R21" s="1016">
        <v>61</v>
      </c>
      <c r="S21" s="1016">
        <v>175</v>
      </c>
      <c r="T21" s="1016">
        <v>40</v>
      </c>
      <c r="U21" s="1016">
        <v>74</v>
      </c>
      <c r="V21" s="1016">
        <v>59</v>
      </c>
      <c r="W21" s="1016">
        <v>134</v>
      </c>
      <c r="X21" s="1016">
        <v>842</v>
      </c>
      <c r="Y21" s="1016">
        <v>1039</v>
      </c>
      <c r="Z21" s="1016">
        <v>12</v>
      </c>
      <c r="AA21" s="1016">
        <v>18</v>
      </c>
      <c r="AB21" s="490" t="s">
        <v>102</v>
      </c>
    </row>
    <row r="22" spans="1:28" s="11" customFormat="1" ht="21.95" customHeight="1">
      <c r="A22" s="705" t="s">
        <v>98</v>
      </c>
      <c r="B22" s="327">
        <v>1709</v>
      </c>
      <c r="C22" s="327">
        <v>2431</v>
      </c>
      <c r="D22" s="327">
        <v>12207</v>
      </c>
      <c r="E22" s="327">
        <v>13993</v>
      </c>
      <c r="F22" s="327">
        <v>18059</v>
      </c>
      <c r="G22" s="327">
        <v>11631</v>
      </c>
      <c r="H22" s="327">
        <v>901</v>
      </c>
      <c r="I22" s="327">
        <v>930</v>
      </c>
      <c r="J22" s="327">
        <v>4491</v>
      </c>
      <c r="K22" s="327">
        <v>290</v>
      </c>
      <c r="L22" s="327">
        <v>222</v>
      </c>
      <c r="M22" s="327">
        <v>608</v>
      </c>
      <c r="N22" s="391" t="s">
        <v>98</v>
      </c>
      <c r="O22" s="705" t="s">
        <v>98</v>
      </c>
      <c r="P22" s="327">
        <v>20</v>
      </c>
      <c r="Q22" s="327">
        <v>57</v>
      </c>
      <c r="R22" s="327">
        <v>71</v>
      </c>
      <c r="S22" s="327">
        <v>191</v>
      </c>
      <c r="T22" s="327">
        <v>55</v>
      </c>
      <c r="U22" s="327">
        <v>95</v>
      </c>
      <c r="V22" s="327">
        <v>68</v>
      </c>
      <c r="W22" s="327">
        <v>136</v>
      </c>
      <c r="X22" s="327">
        <v>916</v>
      </c>
      <c r="Y22" s="327">
        <v>1029</v>
      </c>
      <c r="Z22" s="327">
        <v>20</v>
      </c>
      <c r="AA22" s="327">
        <v>24</v>
      </c>
      <c r="AB22" s="391" t="s">
        <v>98</v>
      </c>
    </row>
    <row r="23" spans="1:28" s="10" customFormat="1" ht="18.75" customHeight="1">
      <c r="A23" s="1017" t="s">
        <v>241</v>
      </c>
      <c r="B23" s="1016">
        <v>2133</v>
      </c>
      <c r="C23" s="1016">
        <v>2750</v>
      </c>
      <c r="D23" s="433">
        <v>12792</v>
      </c>
      <c r="E23" s="433">
        <v>13951</v>
      </c>
      <c r="F23" s="433">
        <v>18617</v>
      </c>
      <c r="G23" s="433">
        <v>11788</v>
      </c>
      <c r="H23" s="433">
        <v>972</v>
      </c>
      <c r="I23" s="433">
        <v>923</v>
      </c>
      <c r="J23" s="433">
        <v>4671</v>
      </c>
      <c r="K23" s="433">
        <v>287</v>
      </c>
      <c r="L23" s="433">
        <v>246</v>
      </c>
      <c r="M23" s="433">
        <v>623</v>
      </c>
      <c r="N23" s="538" t="s">
        <v>241</v>
      </c>
      <c r="O23" s="491" t="s">
        <v>241</v>
      </c>
      <c r="P23" s="433">
        <v>19</v>
      </c>
      <c r="Q23" s="433">
        <v>68</v>
      </c>
      <c r="R23" s="433">
        <v>80</v>
      </c>
      <c r="S23" s="433">
        <v>205</v>
      </c>
      <c r="T23" s="433">
        <v>79</v>
      </c>
      <c r="U23" s="433">
        <v>121</v>
      </c>
      <c r="V23" s="433">
        <v>61</v>
      </c>
      <c r="W23" s="433">
        <v>140</v>
      </c>
      <c r="X23" s="433">
        <v>1511</v>
      </c>
      <c r="Y23" s="433">
        <v>1751</v>
      </c>
      <c r="Z23" s="433">
        <v>14</v>
      </c>
      <c r="AA23" s="433">
        <v>24</v>
      </c>
      <c r="AB23" s="538" t="s">
        <v>241</v>
      </c>
    </row>
    <row r="24" spans="1:28" s="10" customFormat="1" ht="18.75" customHeight="1">
      <c r="A24" s="705" t="s">
        <v>1142</v>
      </c>
      <c r="B24" s="327">
        <v>2332</v>
      </c>
      <c r="C24" s="327">
        <v>2812</v>
      </c>
      <c r="D24" s="388">
        <v>12798</v>
      </c>
      <c r="E24" s="388">
        <v>13789</v>
      </c>
      <c r="F24" s="388">
        <v>18759</v>
      </c>
      <c r="G24" s="388">
        <v>11886</v>
      </c>
      <c r="H24" s="388">
        <v>995</v>
      </c>
      <c r="I24" s="388">
        <v>885</v>
      </c>
      <c r="J24" s="388">
        <v>4603</v>
      </c>
      <c r="K24" s="388">
        <v>279</v>
      </c>
      <c r="L24" s="388">
        <v>262</v>
      </c>
      <c r="M24" s="388">
        <v>682</v>
      </c>
      <c r="N24" s="574" t="s">
        <v>1142</v>
      </c>
      <c r="O24" s="386" t="s">
        <v>1142</v>
      </c>
      <c r="P24" s="388">
        <v>26</v>
      </c>
      <c r="Q24" s="388">
        <v>91</v>
      </c>
      <c r="R24" s="388">
        <v>80</v>
      </c>
      <c r="S24" s="388">
        <v>213</v>
      </c>
      <c r="T24" s="388">
        <v>85</v>
      </c>
      <c r="U24" s="388">
        <v>126</v>
      </c>
      <c r="V24" s="388">
        <v>61</v>
      </c>
      <c r="W24" s="388">
        <v>143</v>
      </c>
      <c r="X24" s="388">
        <v>1441</v>
      </c>
      <c r="Y24" s="388">
        <v>1878</v>
      </c>
      <c r="Z24" s="388">
        <v>16</v>
      </c>
      <c r="AA24" s="388">
        <v>25</v>
      </c>
      <c r="AB24" s="574" t="s">
        <v>1142</v>
      </c>
    </row>
    <row r="25" spans="1:28" s="10" customFormat="1" ht="18.75" customHeight="1">
      <c r="A25" s="1017" t="s">
        <v>1333</v>
      </c>
      <c r="B25" s="1016">
        <v>2158</v>
      </c>
      <c r="C25" s="1016">
        <v>2602</v>
      </c>
      <c r="D25" s="433">
        <v>12897</v>
      </c>
      <c r="E25" s="433">
        <v>13863</v>
      </c>
      <c r="F25" s="433">
        <v>18778</v>
      </c>
      <c r="G25" s="433">
        <v>11763</v>
      </c>
      <c r="H25" s="433">
        <v>1255</v>
      </c>
      <c r="I25" s="433">
        <v>1029</v>
      </c>
      <c r="J25" s="433">
        <v>4469</v>
      </c>
      <c r="K25" s="433">
        <v>270</v>
      </c>
      <c r="L25" s="433">
        <v>294</v>
      </c>
      <c r="M25" s="433">
        <v>728</v>
      </c>
      <c r="N25" s="538" t="s">
        <v>1333</v>
      </c>
      <c r="O25" s="491" t="s">
        <v>1333</v>
      </c>
      <c r="P25" s="433">
        <v>25</v>
      </c>
      <c r="Q25" s="433">
        <v>87</v>
      </c>
      <c r="R25" s="433">
        <v>93</v>
      </c>
      <c r="S25" s="433">
        <v>222</v>
      </c>
      <c r="T25" s="433">
        <v>79</v>
      </c>
      <c r="U25" s="433">
        <v>119</v>
      </c>
      <c r="V25" s="433">
        <v>63</v>
      </c>
      <c r="W25" s="433">
        <v>144</v>
      </c>
      <c r="X25" s="433">
        <v>1370</v>
      </c>
      <c r="Y25" s="433">
        <v>1683</v>
      </c>
      <c r="Z25" s="433">
        <v>20</v>
      </c>
      <c r="AA25" s="433">
        <v>31</v>
      </c>
      <c r="AB25" s="538" t="s">
        <v>1333</v>
      </c>
    </row>
    <row r="26" spans="1:28" s="10" customFormat="1" ht="18.75" customHeight="1">
      <c r="A26" s="705" t="s">
        <v>1664</v>
      </c>
      <c r="B26" s="327">
        <v>2326</v>
      </c>
      <c r="C26" s="327">
        <v>2598</v>
      </c>
      <c r="D26" s="388">
        <v>13023</v>
      </c>
      <c r="E26" s="388">
        <v>13666</v>
      </c>
      <c r="F26" s="388">
        <v>19007</v>
      </c>
      <c r="G26" s="388">
        <v>11837</v>
      </c>
      <c r="H26" s="388">
        <v>1303</v>
      </c>
      <c r="I26" s="388">
        <v>1062</v>
      </c>
      <c r="J26" s="388">
        <v>4508</v>
      </c>
      <c r="K26" s="388">
        <v>265</v>
      </c>
      <c r="L26" s="388">
        <v>296</v>
      </c>
      <c r="M26" s="388">
        <v>724</v>
      </c>
      <c r="N26" s="574" t="s">
        <v>1664</v>
      </c>
      <c r="O26" s="386" t="s">
        <v>1664</v>
      </c>
      <c r="P26" s="388">
        <v>32</v>
      </c>
      <c r="Q26" s="388">
        <v>97</v>
      </c>
      <c r="R26" s="388">
        <v>157</v>
      </c>
      <c r="S26" s="388">
        <v>308</v>
      </c>
      <c r="T26" s="388">
        <v>85</v>
      </c>
      <c r="U26" s="388">
        <v>124</v>
      </c>
      <c r="V26" s="388">
        <v>67</v>
      </c>
      <c r="W26" s="388">
        <v>148</v>
      </c>
      <c r="X26" s="388">
        <v>1338</v>
      </c>
      <c r="Y26" s="388">
        <v>1645</v>
      </c>
      <c r="Z26" s="388">
        <v>19</v>
      </c>
      <c r="AA26" s="388">
        <v>28</v>
      </c>
      <c r="AB26" s="574" t="s">
        <v>1664</v>
      </c>
    </row>
    <row r="27" spans="1:28" s="10" customFormat="1" ht="18.75" customHeight="1">
      <c r="A27" s="1047" t="s">
        <v>1754</v>
      </c>
      <c r="B27" s="1046">
        <v>2328</v>
      </c>
      <c r="C27" s="1046">
        <v>2583</v>
      </c>
      <c r="D27" s="433">
        <v>13190</v>
      </c>
      <c r="E27" s="433">
        <v>13665</v>
      </c>
      <c r="F27" s="433">
        <v>19192</v>
      </c>
      <c r="G27" s="433">
        <v>11961</v>
      </c>
      <c r="H27" s="433">
        <v>1348</v>
      </c>
      <c r="I27" s="433">
        <v>1079</v>
      </c>
      <c r="J27" s="433">
        <v>4434</v>
      </c>
      <c r="K27" s="433">
        <v>257</v>
      </c>
      <c r="L27" s="433">
        <v>359</v>
      </c>
      <c r="M27" s="433">
        <v>803</v>
      </c>
      <c r="N27" s="490" t="s">
        <v>1754</v>
      </c>
      <c r="O27" s="1047" t="s">
        <v>1754</v>
      </c>
      <c r="P27" s="433">
        <v>33</v>
      </c>
      <c r="Q27" s="433">
        <v>96</v>
      </c>
      <c r="R27" s="433">
        <v>167</v>
      </c>
      <c r="S27" s="433">
        <v>359</v>
      </c>
      <c r="T27" s="433">
        <v>94</v>
      </c>
      <c r="U27" s="433">
        <v>127</v>
      </c>
      <c r="V27" s="433">
        <v>66</v>
      </c>
      <c r="W27" s="433">
        <v>149</v>
      </c>
      <c r="X27" s="433">
        <v>1350</v>
      </c>
      <c r="Y27" s="433">
        <v>1662</v>
      </c>
      <c r="Z27" s="433">
        <v>30</v>
      </c>
      <c r="AA27" s="433">
        <v>33</v>
      </c>
      <c r="AB27" s="490" t="s">
        <v>1754</v>
      </c>
    </row>
    <row r="28" spans="1:28" s="10" customFormat="1" ht="18.75" customHeight="1">
      <c r="A28" s="1097" t="s">
        <v>1954</v>
      </c>
      <c r="B28" s="327">
        <v>2289</v>
      </c>
      <c r="C28" s="327">
        <v>2516</v>
      </c>
      <c r="D28" s="388">
        <v>13483</v>
      </c>
      <c r="E28" s="388">
        <v>13814</v>
      </c>
      <c r="F28" s="388">
        <v>18938</v>
      </c>
      <c r="G28" s="388">
        <v>11794</v>
      </c>
      <c r="H28" s="388">
        <v>1348</v>
      </c>
      <c r="I28" s="388">
        <v>1099</v>
      </c>
      <c r="J28" s="327">
        <v>4207</v>
      </c>
      <c r="K28" s="327">
        <v>243</v>
      </c>
      <c r="L28" s="327">
        <v>362</v>
      </c>
      <c r="M28" s="327">
        <v>787</v>
      </c>
      <c r="N28" s="391" t="s">
        <v>1954</v>
      </c>
      <c r="O28" s="1097" t="s">
        <v>1954</v>
      </c>
      <c r="P28" s="327">
        <v>37</v>
      </c>
      <c r="Q28" s="327">
        <v>101</v>
      </c>
      <c r="R28" s="327">
        <v>158</v>
      </c>
      <c r="S28" s="327">
        <v>382</v>
      </c>
      <c r="T28" s="327">
        <v>88</v>
      </c>
      <c r="U28" s="327">
        <v>115</v>
      </c>
      <c r="V28" s="327">
        <v>64</v>
      </c>
      <c r="W28" s="327">
        <v>148</v>
      </c>
      <c r="X28" s="388">
        <v>1361</v>
      </c>
      <c r="Y28" s="388">
        <v>1675</v>
      </c>
      <c r="Z28" s="327">
        <v>33</v>
      </c>
      <c r="AA28" s="327">
        <v>34</v>
      </c>
      <c r="AB28" s="391" t="s">
        <v>1954</v>
      </c>
    </row>
    <row r="29" spans="1:28" s="10" customFormat="1" ht="18.75" customHeight="1">
      <c r="A29" s="1397" t="s">
        <v>2046</v>
      </c>
      <c r="B29" s="1396">
        <v>2134</v>
      </c>
      <c r="C29" s="1396">
        <v>2327</v>
      </c>
      <c r="D29" s="433">
        <v>13656</v>
      </c>
      <c r="E29" s="433">
        <v>13797</v>
      </c>
      <c r="F29" s="433">
        <v>18014</v>
      </c>
      <c r="G29" s="433">
        <v>11060</v>
      </c>
      <c r="H29" s="433">
        <v>1311</v>
      </c>
      <c r="I29" s="433">
        <v>1026</v>
      </c>
      <c r="J29" s="1396">
        <v>3862</v>
      </c>
      <c r="K29" s="1396">
        <v>227</v>
      </c>
      <c r="L29" s="1396">
        <v>363</v>
      </c>
      <c r="M29" s="1396">
        <v>831</v>
      </c>
      <c r="N29" s="490" t="s">
        <v>2046</v>
      </c>
      <c r="O29" s="1397" t="s">
        <v>2046</v>
      </c>
      <c r="P29" s="1396">
        <v>35</v>
      </c>
      <c r="Q29" s="1396">
        <v>102</v>
      </c>
      <c r="R29" s="1396">
        <v>169</v>
      </c>
      <c r="S29" s="1396">
        <v>382</v>
      </c>
      <c r="T29" s="1396">
        <v>91</v>
      </c>
      <c r="U29" s="1396">
        <v>113</v>
      </c>
      <c r="V29" s="1396">
        <v>82</v>
      </c>
      <c r="W29" s="1396">
        <v>133</v>
      </c>
      <c r="X29" s="433">
        <v>1484</v>
      </c>
      <c r="Y29" s="433">
        <v>1823</v>
      </c>
      <c r="Z29" s="1396">
        <v>31</v>
      </c>
      <c r="AA29" s="1396">
        <v>32</v>
      </c>
      <c r="AB29" s="490" t="s">
        <v>2046</v>
      </c>
    </row>
    <row r="30" spans="1:28" s="253" customFormat="1" ht="15" customHeight="1" thickBot="1">
      <c r="A30" s="683" t="s">
        <v>2268</v>
      </c>
      <c r="B30" s="1393">
        <v>2710</v>
      </c>
      <c r="C30" s="1393">
        <v>2657</v>
      </c>
      <c r="D30" s="675">
        <v>13993</v>
      </c>
      <c r="E30" s="675">
        <v>14035</v>
      </c>
      <c r="F30" s="675">
        <v>19576</v>
      </c>
      <c r="G30" s="675">
        <v>12008</v>
      </c>
      <c r="H30" s="675">
        <v>1098</v>
      </c>
      <c r="I30" s="675">
        <v>867</v>
      </c>
      <c r="J30" s="1393">
        <v>3639</v>
      </c>
      <c r="K30" s="1393">
        <v>223</v>
      </c>
      <c r="L30" s="1393">
        <v>352</v>
      </c>
      <c r="M30" s="1393">
        <v>760</v>
      </c>
      <c r="N30" s="1398" t="s">
        <v>2268</v>
      </c>
      <c r="O30" s="683" t="s">
        <v>2268</v>
      </c>
      <c r="P30" s="1393">
        <v>34</v>
      </c>
      <c r="Q30" s="1393">
        <v>93</v>
      </c>
      <c r="R30" s="1393">
        <v>177</v>
      </c>
      <c r="S30" s="1393">
        <v>386</v>
      </c>
      <c r="T30" s="1393">
        <v>89</v>
      </c>
      <c r="U30" s="1393">
        <v>105</v>
      </c>
      <c r="V30" s="1393">
        <v>78</v>
      </c>
      <c r="W30" s="1393">
        <v>165</v>
      </c>
      <c r="X30" s="675">
        <v>1601</v>
      </c>
      <c r="Y30" s="675">
        <v>1874</v>
      </c>
      <c r="Z30" s="1393">
        <v>31</v>
      </c>
      <c r="AA30" s="1393">
        <v>32</v>
      </c>
      <c r="AB30" s="1398" t="s">
        <v>2268</v>
      </c>
    </row>
    <row r="31" spans="1:28" ht="12.75" customHeight="1">
      <c r="A31" s="2025" t="s">
        <v>2128</v>
      </c>
      <c r="B31" s="2025"/>
      <c r="C31" s="2025"/>
      <c r="D31" s="2025"/>
      <c r="E31" s="2025"/>
      <c r="F31" s="2034"/>
      <c r="G31" s="2034"/>
      <c r="H31" s="2034" t="s">
        <v>2074</v>
      </c>
      <c r="I31" s="2034"/>
      <c r="J31" s="2034"/>
      <c r="K31" s="2034"/>
      <c r="L31" s="2034"/>
      <c r="M31" s="2034"/>
      <c r="O31" s="2026" t="s">
        <v>2129</v>
      </c>
      <c r="P31" s="2026"/>
      <c r="Q31" s="2026"/>
      <c r="R31" s="2026"/>
      <c r="S31" s="2026"/>
      <c r="T31" s="2026"/>
      <c r="U31" s="2026"/>
      <c r="V31" s="2026" t="s">
        <v>2074</v>
      </c>
      <c r="W31" s="2026"/>
      <c r="X31" s="2026"/>
      <c r="Y31" s="2026"/>
      <c r="Z31" s="2026"/>
      <c r="AA31" s="2026"/>
    </row>
    <row r="32" spans="1:28">
      <c r="A32" s="369"/>
      <c r="B32" s="7"/>
      <c r="C32" s="7"/>
      <c r="D32" s="7"/>
      <c r="E32" s="7"/>
      <c r="U32" s="101"/>
    </row>
    <row r="33" spans="24:25" hidden="1"/>
    <row r="34" spans="24:25" hidden="1">
      <c r="X34" s="2">
        <v>7501011</v>
      </c>
      <c r="Y34" s="2">
        <f>X34*180/1000000</f>
        <v>1350.1819800000001</v>
      </c>
    </row>
    <row r="35" spans="24:25" hidden="1">
      <c r="X35" s="2">
        <v>7558934</v>
      </c>
      <c r="Y35" s="2">
        <f>X35*180/1000000</f>
        <v>1360.6081200000001</v>
      </c>
    </row>
    <row r="36" spans="24:25" hidden="1"/>
    <row r="37" spans="24:25" hidden="1"/>
    <row r="38" spans="24:25" hidden="1"/>
    <row r="39" spans="24:25" hidden="1"/>
    <row r="40" spans="24:25" hidden="1"/>
  </sheetData>
  <mergeCells count="52">
    <mergeCell ref="I4:I5"/>
    <mergeCell ref="X4:X5"/>
    <mergeCell ref="Y4:Y5"/>
    <mergeCell ref="Z4:Z5"/>
    <mergeCell ref="V4:V5"/>
    <mergeCell ref="R4:R5"/>
    <mergeCell ref="S4:S5"/>
    <mergeCell ref="T4:T5"/>
    <mergeCell ref="U4:U5"/>
    <mergeCell ref="K4:K5"/>
    <mergeCell ref="L4:L5"/>
    <mergeCell ref="M4:M5"/>
    <mergeCell ref="P4:P5"/>
    <mergeCell ref="F31:G31"/>
    <mergeCell ref="K31:M31"/>
    <mergeCell ref="H31:J31"/>
    <mergeCell ref="V31:AA31"/>
    <mergeCell ref="AA1:AB1"/>
    <mergeCell ref="O1:U1"/>
    <mergeCell ref="V1:Y1"/>
    <mergeCell ref="AB3:AB5"/>
    <mergeCell ref="T3:U3"/>
    <mergeCell ref="V3:W3"/>
    <mergeCell ref="X3:Y3"/>
    <mergeCell ref="Z3:AA3"/>
    <mergeCell ref="W4:W5"/>
    <mergeCell ref="H1:K1"/>
    <mergeCell ref="AA4:AA5"/>
    <mergeCell ref="Q4:Q5"/>
    <mergeCell ref="B3:C3"/>
    <mergeCell ref="D3:E3"/>
    <mergeCell ref="H3:I3"/>
    <mergeCell ref="J3:K3"/>
    <mergeCell ref="M1:N1"/>
    <mergeCell ref="A1:G1"/>
    <mergeCell ref="F3:G3"/>
    <mergeCell ref="A31:E31"/>
    <mergeCell ref="O31:U31"/>
    <mergeCell ref="N3:N5"/>
    <mergeCell ref="L3:M3"/>
    <mergeCell ref="R3:S3"/>
    <mergeCell ref="O3:O5"/>
    <mergeCell ref="A3:A5"/>
    <mergeCell ref="P3:Q3"/>
    <mergeCell ref="B4:B5"/>
    <mergeCell ref="H4:H5"/>
    <mergeCell ref="C4:C5"/>
    <mergeCell ref="D4:D5"/>
    <mergeCell ref="E4:E5"/>
    <mergeCell ref="F4:F5"/>
    <mergeCell ref="J4:J5"/>
    <mergeCell ref="G4:G5"/>
  </mergeCells>
  <phoneticPr fontId="4" type="noConversion"/>
  <pageMargins left="0.62992125984252001" right="0.511811023622047" top="0.511811023622047" bottom="0.511811023622047" header="0" footer="0.74803149606299202"/>
  <pageSetup paperSize="448" firstPageNumber="36" orientation="portrait" useFirstPageNumber="1" r:id="rId1"/>
  <headerFooter alignWithMargins="0">
    <oddFooter>&amp;C&amp;"Times New Roman,Regular"&amp;8&amp;P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17"/>
  <dimension ref="A1:O46"/>
  <sheetViews>
    <sheetView zoomScale="160" zoomScaleNormal="160" workbookViewId="0">
      <pane xSplit="1" ySplit="4" topLeftCell="B32" activePane="bottomRight" state="frozen"/>
      <selection pane="topRight" activeCell="C1" sqref="C1"/>
      <selection pane="bottomLeft" activeCell="A5" sqref="A5"/>
      <selection pane="bottomRight" activeCell="I36" sqref="I36"/>
    </sheetView>
  </sheetViews>
  <sheetFormatPr defaultColWidth="5.85546875" defaultRowHeight="9"/>
  <cols>
    <col min="1" max="1" width="10.7109375" style="333" customWidth="1"/>
    <col min="2" max="2" width="10.42578125" style="333" customWidth="1"/>
    <col min="3" max="3" width="11.140625" style="333" customWidth="1"/>
    <col min="4" max="5" width="10.5703125" style="333" customWidth="1"/>
    <col min="6" max="6" width="12.28515625" style="333" customWidth="1"/>
    <col min="7" max="8" width="9" style="333" customWidth="1"/>
    <col min="9" max="9" width="10" style="333" customWidth="1"/>
    <col min="10" max="10" width="9.7109375" style="333" customWidth="1"/>
    <col min="11" max="11" width="10.42578125" style="333" customWidth="1"/>
    <col min="12" max="12" width="8.85546875" style="333" customWidth="1"/>
    <col min="13" max="13" width="9" style="333" customWidth="1"/>
    <col min="14" max="14" width="9.28515625" style="333" customWidth="1"/>
    <col min="15" max="15" width="10" style="333" customWidth="1"/>
    <col min="16" max="16384" width="5.85546875" style="333"/>
  </cols>
  <sheetData>
    <row r="1" spans="1:15" s="256" customFormat="1" ht="14.25" customHeight="1">
      <c r="C1" s="1897" t="s">
        <v>155</v>
      </c>
      <c r="D1" s="1897"/>
      <c r="E1" s="1897"/>
      <c r="F1" s="1897"/>
      <c r="G1" s="1897"/>
      <c r="H1" s="685" t="s">
        <v>147</v>
      </c>
      <c r="I1" s="685"/>
      <c r="J1" s="685"/>
      <c r="K1" s="686"/>
      <c r="L1" s="686"/>
      <c r="M1" s="686"/>
      <c r="N1" s="1897" t="s">
        <v>1805</v>
      </c>
      <c r="O1" s="1897"/>
    </row>
    <row r="2" spans="1:15" s="259" customFormat="1" ht="12.75" customHeight="1">
      <c r="G2" s="687" t="s">
        <v>188</v>
      </c>
      <c r="H2" s="2041" t="s">
        <v>187</v>
      </c>
      <c r="I2" s="2041"/>
      <c r="J2" s="2041"/>
    </row>
    <row r="3" spans="1:15" s="262" customFormat="1" ht="26.25" customHeight="1">
      <c r="A3" s="2039" t="s">
        <v>739</v>
      </c>
      <c r="B3" s="1090" t="s">
        <v>833</v>
      </c>
      <c r="C3" s="1090" t="s">
        <v>834</v>
      </c>
      <c r="D3" s="1091" t="s">
        <v>754</v>
      </c>
      <c r="E3" s="1091" t="s">
        <v>835</v>
      </c>
      <c r="F3" s="1091" t="s">
        <v>755</v>
      </c>
      <c r="G3" s="1090" t="s">
        <v>301</v>
      </c>
      <c r="H3" s="1318" t="s">
        <v>300</v>
      </c>
      <c r="I3" s="1091" t="s">
        <v>866</v>
      </c>
      <c r="J3" s="1091" t="s">
        <v>836</v>
      </c>
      <c r="K3" s="1091" t="s">
        <v>757</v>
      </c>
      <c r="L3" s="1090" t="s">
        <v>299</v>
      </c>
      <c r="M3" s="1101" t="s">
        <v>2170</v>
      </c>
      <c r="N3" s="1091" t="s">
        <v>758</v>
      </c>
      <c r="O3" s="2042" t="s">
        <v>739</v>
      </c>
    </row>
    <row r="4" spans="1:15" s="262" customFormat="1" ht="25.5" customHeight="1">
      <c r="A4" s="2039"/>
      <c r="B4" s="114" t="s">
        <v>1487</v>
      </c>
      <c r="C4" s="114" t="s">
        <v>1486</v>
      </c>
      <c r="D4" s="114" t="s">
        <v>1488</v>
      </c>
      <c r="E4" s="114" t="s">
        <v>1488</v>
      </c>
      <c r="F4" s="114" t="s">
        <v>1489</v>
      </c>
      <c r="G4" s="114" t="s">
        <v>1490</v>
      </c>
      <c r="H4" s="1318" t="s">
        <v>1493</v>
      </c>
      <c r="I4" s="114" t="s">
        <v>1490</v>
      </c>
      <c r="J4" s="114" t="s">
        <v>1490</v>
      </c>
      <c r="K4" s="114" t="s">
        <v>1492</v>
      </c>
      <c r="L4" s="688" t="s">
        <v>287</v>
      </c>
      <c r="M4" s="114" t="s">
        <v>1490</v>
      </c>
      <c r="N4" s="114" t="s">
        <v>1491</v>
      </c>
      <c r="O4" s="1985"/>
    </row>
    <row r="5" spans="1:15" s="253" customFormat="1" ht="14.45" customHeight="1">
      <c r="A5" s="446" t="s">
        <v>102</v>
      </c>
      <c r="B5" s="437">
        <v>981</v>
      </c>
      <c r="C5" s="437">
        <v>50566</v>
      </c>
      <c r="D5" s="437">
        <v>24240</v>
      </c>
      <c r="E5" s="437" t="s">
        <v>481</v>
      </c>
      <c r="F5" s="437">
        <v>236410</v>
      </c>
      <c r="G5" s="437">
        <v>73077</v>
      </c>
      <c r="H5" s="437">
        <v>134069</v>
      </c>
      <c r="I5" s="437">
        <v>79922</v>
      </c>
      <c r="J5" s="437">
        <v>1342024</v>
      </c>
      <c r="K5" s="437" t="s">
        <v>861</v>
      </c>
      <c r="L5" s="437">
        <v>2111</v>
      </c>
      <c r="M5" s="437" t="s">
        <v>481</v>
      </c>
      <c r="N5" s="437">
        <v>13416</v>
      </c>
      <c r="O5" s="447" t="s">
        <v>102</v>
      </c>
    </row>
    <row r="6" spans="1:15" s="253" customFormat="1" ht="14.45" customHeight="1">
      <c r="A6" s="251" t="s">
        <v>98</v>
      </c>
      <c r="B6" s="211">
        <v>1006.35</v>
      </c>
      <c r="C6" s="39">
        <v>52975</v>
      </c>
      <c r="D6" s="39">
        <v>18676</v>
      </c>
      <c r="E6" s="39" t="s">
        <v>481</v>
      </c>
      <c r="F6" s="39">
        <v>236790</v>
      </c>
      <c r="G6" s="39">
        <v>76918</v>
      </c>
      <c r="H6" s="39">
        <v>156528</v>
      </c>
      <c r="I6" s="39">
        <v>62203</v>
      </c>
      <c r="J6" s="39">
        <v>1138644</v>
      </c>
      <c r="K6" s="39" t="s">
        <v>481</v>
      </c>
      <c r="L6" s="39">
        <v>2021</v>
      </c>
      <c r="M6" s="39" t="s">
        <v>481</v>
      </c>
      <c r="N6" s="39">
        <v>13330</v>
      </c>
      <c r="O6" s="315" t="s">
        <v>98</v>
      </c>
    </row>
    <row r="7" spans="1:15" s="251" customFormat="1" ht="14.45" customHeight="1">
      <c r="A7" s="446" t="s">
        <v>241</v>
      </c>
      <c r="B7" s="441">
        <v>1030</v>
      </c>
      <c r="C7" s="441">
        <v>56181</v>
      </c>
      <c r="D7" s="441">
        <v>20241</v>
      </c>
      <c r="E7" s="437" t="s">
        <v>481</v>
      </c>
      <c r="F7" s="441">
        <v>234510</v>
      </c>
      <c r="G7" s="441">
        <v>76970</v>
      </c>
      <c r="H7" s="441">
        <v>154384</v>
      </c>
      <c r="I7" s="441">
        <v>100963</v>
      </c>
      <c r="J7" s="441">
        <v>1011941</v>
      </c>
      <c r="K7" s="437" t="s">
        <v>481</v>
      </c>
      <c r="L7" s="441">
        <v>1898</v>
      </c>
      <c r="M7" s="437" t="s">
        <v>481</v>
      </c>
      <c r="N7" s="441">
        <v>14143</v>
      </c>
      <c r="O7" s="447" t="s">
        <v>241</v>
      </c>
    </row>
    <row r="8" spans="1:15" s="251" customFormat="1" ht="14.45" customHeight="1">
      <c r="A8" s="251" t="s">
        <v>1142</v>
      </c>
      <c r="B8" s="211">
        <v>955.09444444444443</v>
      </c>
      <c r="C8" s="211">
        <v>56546</v>
      </c>
      <c r="D8" s="211">
        <v>20740</v>
      </c>
      <c r="E8" s="39" t="s">
        <v>481</v>
      </c>
      <c r="F8" s="211">
        <v>315050</v>
      </c>
      <c r="G8" s="211">
        <v>113765</v>
      </c>
      <c r="H8" s="211">
        <v>162407</v>
      </c>
      <c r="I8" s="211">
        <v>63309</v>
      </c>
      <c r="J8" s="211">
        <v>1036947</v>
      </c>
      <c r="K8" s="39" t="s">
        <v>481</v>
      </c>
      <c r="L8" s="211">
        <v>1442</v>
      </c>
      <c r="M8" s="39" t="s">
        <v>481</v>
      </c>
      <c r="N8" s="211">
        <v>18148</v>
      </c>
      <c r="O8" s="315" t="s">
        <v>1142</v>
      </c>
    </row>
    <row r="9" spans="1:15" s="251" customFormat="1" ht="14.45" customHeight="1">
      <c r="A9" s="446" t="s">
        <v>1333</v>
      </c>
      <c r="B9" s="441">
        <v>970.12777777777774</v>
      </c>
      <c r="C9" s="441">
        <v>56949</v>
      </c>
      <c r="D9" s="441">
        <v>17774</v>
      </c>
      <c r="E9" s="437" t="s">
        <v>481</v>
      </c>
      <c r="F9" s="441">
        <v>262620</v>
      </c>
      <c r="G9" s="441">
        <v>313265</v>
      </c>
      <c r="H9" s="441">
        <v>194048</v>
      </c>
      <c r="I9" s="441">
        <v>107133</v>
      </c>
      <c r="J9" s="441">
        <v>1074791</v>
      </c>
      <c r="K9" s="437" t="s">
        <v>481</v>
      </c>
      <c r="L9" s="441">
        <v>2364</v>
      </c>
      <c r="M9" s="437" t="s">
        <v>481</v>
      </c>
      <c r="N9" s="441">
        <v>20989</v>
      </c>
      <c r="O9" s="447" t="s">
        <v>1333</v>
      </c>
    </row>
    <row r="10" spans="1:15" s="251" customFormat="1" ht="14.45" customHeight="1">
      <c r="A10" s="251" t="s">
        <v>1664</v>
      </c>
      <c r="B10" s="211">
        <v>974.33888888888885</v>
      </c>
      <c r="C10" s="211">
        <v>57386</v>
      </c>
      <c r="D10" s="211">
        <v>13098</v>
      </c>
      <c r="E10" s="39" t="s">
        <v>481</v>
      </c>
      <c r="F10" s="211">
        <v>283130</v>
      </c>
      <c r="G10" s="211">
        <v>352115</v>
      </c>
      <c r="H10" s="211">
        <v>209106</v>
      </c>
      <c r="I10" s="211">
        <v>128268</v>
      </c>
      <c r="J10" s="211">
        <v>976691</v>
      </c>
      <c r="K10" s="211" t="s">
        <v>481</v>
      </c>
      <c r="L10" s="211">
        <v>2009</v>
      </c>
      <c r="M10" s="211" t="s">
        <v>481</v>
      </c>
      <c r="N10" s="211">
        <v>20813</v>
      </c>
      <c r="O10" s="315" t="s">
        <v>1664</v>
      </c>
    </row>
    <row r="11" spans="1:15" s="251" customFormat="1" ht="14.45" customHeight="1">
      <c r="A11" s="446" t="s">
        <v>1754</v>
      </c>
      <c r="B11" s="435">
        <v>780.2166666666667</v>
      </c>
      <c r="C11" s="435">
        <v>44692</v>
      </c>
      <c r="D11" s="435">
        <v>12660</v>
      </c>
      <c r="E11" s="435" t="s">
        <v>481</v>
      </c>
      <c r="F11" s="435">
        <v>264850</v>
      </c>
      <c r="G11" s="435">
        <v>609045</v>
      </c>
      <c r="H11" s="435">
        <v>298939</v>
      </c>
      <c r="I11" s="435">
        <v>77450</v>
      </c>
      <c r="J11" s="435">
        <v>1028157</v>
      </c>
      <c r="K11" s="435" t="s">
        <v>481</v>
      </c>
      <c r="L11" s="435">
        <v>1529</v>
      </c>
      <c r="M11" s="435" t="s">
        <v>481</v>
      </c>
      <c r="N11" s="435">
        <v>18935</v>
      </c>
      <c r="O11" s="447" t="s">
        <v>1754</v>
      </c>
    </row>
    <row r="12" spans="1:15" s="251" customFormat="1" ht="14.45" customHeight="1">
      <c r="A12" s="251" t="s">
        <v>1954</v>
      </c>
      <c r="B12" s="577">
        <v>892</v>
      </c>
      <c r="C12" s="577">
        <v>47444</v>
      </c>
      <c r="D12" s="577">
        <v>10577</v>
      </c>
      <c r="E12" s="388" t="s">
        <v>481</v>
      </c>
      <c r="F12" s="577">
        <v>224210</v>
      </c>
      <c r="G12" s="577">
        <v>728260</v>
      </c>
      <c r="H12" s="577">
        <v>278952</v>
      </c>
      <c r="I12" s="577">
        <v>58219.3</v>
      </c>
      <c r="J12" s="577">
        <v>1010446</v>
      </c>
      <c r="K12" s="388" t="s">
        <v>481</v>
      </c>
      <c r="L12" s="577">
        <v>1363</v>
      </c>
      <c r="M12" s="388" t="s">
        <v>481</v>
      </c>
      <c r="N12" s="577">
        <v>19506</v>
      </c>
      <c r="O12" s="315" t="s">
        <v>1954</v>
      </c>
    </row>
    <row r="13" spans="1:15" s="251" customFormat="1" ht="14.45" customHeight="1">
      <c r="A13" s="448" t="s">
        <v>2046</v>
      </c>
      <c r="B13" s="720">
        <v>898</v>
      </c>
      <c r="C13" s="720">
        <v>47060</v>
      </c>
      <c r="D13" s="720">
        <v>6777</v>
      </c>
      <c r="E13" s="798" t="s">
        <v>481</v>
      </c>
      <c r="F13" s="720">
        <v>175730</v>
      </c>
      <c r="G13" s="720">
        <v>657966</v>
      </c>
      <c r="H13" s="720">
        <v>348931</v>
      </c>
      <c r="I13" s="720">
        <v>59984.55</v>
      </c>
      <c r="J13" s="720">
        <v>1089418.05</v>
      </c>
      <c r="K13" s="798" t="s">
        <v>481</v>
      </c>
      <c r="L13" s="720">
        <v>1333</v>
      </c>
      <c r="M13" s="798" t="s">
        <v>481</v>
      </c>
      <c r="N13" s="720">
        <v>22827</v>
      </c>
      <c r="O13" s="449" t="s">
        <v>2046</v>
      </c>
    </row>
    <row r="14" spans="1:15" s="251" customFormat="1" ht="14.45" customHeight="1">
      <c r="A14" s="288" t="s">
        <v>2268</v>
      </c>
      <c r="B14" s="524">
        <f>SUM(B15:B26)</f>
        <v>932</v>
      </c>
      <c r="C14" s="524">
        <f>SUM(C15:C26)</f>
        <v>42447</v>
      </c>
      <c r="D14" s="524">
        <f>SUM(D15:D26)</f>
        <v>3182</v>
      </c>
      <c r="E14" s="728" t="s">
        <v>481</v>
      </c>
      <c r="F14" s="524">
        <f>SUM(F15:F26)</f>
        <v>156600</v>
      </c>
      <c r="G14" s="524">
        <f>SUM(G15:G26)</f>
        <v>1001358</v>
      </c>
      <c r="H14" s="524">
        <f>SUM(H15:H26)</f>
        <v>408516</v>
      </c>
      <c r="I14" s="524">
        <f>SUM(I15:I26)</f>
        <v>68602.5</v>
      </c>
      <c r="J14" s="524">
        <f>SUM(J15:J26)</f>
        <v>913965</v>
      </c>
      <c r="K14" s="728" t="s">
        <v>481</v>
      </c>
      <c r="L14" s="524">
        <f>SUM(L15:L26)</f>
        <v>1629</v>
      </c>
      <c r="M14" s="728" t="s">
        <v>481</v>
      </c>
      <c r="N14" s="524">
        <f>SUM(N15:N26)</f>
        <v>25124</v>
      </c>
      <c r="O14" s="689" t="s">
        <v>2268</v>
      </c>
    </row>
    <row r="15" spans="1:15" s="251" customFormat="1" ht="14.45" customHeight="1">
      <c r="A15" s="446" t="s">
        <v>818</v>
      </c>
      <c r="B15" s="433">
        <v>66</v>
      </c>
      <c r="C15" s="433">
        <v>3393</v>
      </c>
      <c r="D15" s="437">
        <v>458</v>
      </c>
      <c r="E15" s="433" t="s">
        <v>481</v>
      </c>
      <c r="F15" s="433">
        <v>10340</v>
      </c>
      <c r="G15" s="433">
        <v>75622</v>
      </c>
      <c r="H15" s="433">
        <v>34819</v>
      </c>
      <c r="I15" s="435">
        <v>0</v>
      </c>
      <c r="J15" s="432">
        <f>78482+8861+3518</f>
        <v>90861</v>
      </c>
      <c r="K15" s="437" t="s">
        <v>481</v>
      </c>
      <c r="L15" s="437">
        <v>56</v>
      </c>
      <c r="M15" s="433" t="s">
        <v>481</v>
      </c>
      <c r="N15" s="433">
        <v>2018</v>
      </c>
      <c r="O15" s="447" t="s">
        <v>818</v>
      </c>
    </row>
    <row r="16" spans="1:15" s="251" customFormat="1" ht="14.45" customHeight="1">
      <c r="A16" s="251" t="s">
        <v>819</v>
      </c>
      <c r="B16" s="388">
        <v>69</v>
      </c>
      <c r="C16" s="388">
        <v>3408</v>
      </c>
      <c r="D16" s="39">
        <v>528</v>
      </c>
      <c r="E16" s="388" t="s">
        <v>481</v>
      </c>
      <c r="F16" s="388">
        <v>11430</v>
      </c>
      <c r="G16" s="388">
        <v>76230</v>
      </c>
      <c r="H16" s="388">
        <v>35752</v>
      </c>
      <c r="I16" s="577">
        <v>0</v>
      </c>
      <c r="J16" s="78">
        <f>104840+9572+248</f>
        <v>114660</v>
      </c>
      <c r="K16" s="39" t="s">
        <v>481</v>
      </c>
      <c r="L16" s="39">
        <v>34</v>
      </c>
      <c r="M16" s="388" t="s">
        <v>481</v>
      </c>
      <c r="N16" s="388">
        <v>2047</v>
      </c>
      <c r="O16" s="315" t="s">
        <v>819</v>
      </c>
    </row>
    <row r="17" spans="1:15" s="251" customFormat="1" ht="14.45" customHeight="1">
      <c r="A17" s="446" t="s">
        <v>813</v>
      </c>
      <c r="B17" s="433">
        <v>79</v>
      </c>
      <c r="C17" s="433">
        <v>3210</v>
      </c>
      <c r="D17" s="437">
        <v>448</v>
      </c>
      <c r="E17" s="433" t="s">
        <v>481</v>
      </c>
      <c r="F17" s="433">
        <v>12410</v>
      </c>
      <c r="G17" s="433">
        <v>74594</v>
      </c>
      <c r="H17" s="433">
        <v>39204</v>
      </c>
      <c r="I17" s="435">
        <v>0</v>
      </c>
      <c r="J17" s="432">
        <f>86931+8637+3917</f>
        <v>99485</v>
      </c>
      <c r="K17" s="437" t="s">
        <v>481</v>
      </c>
      <c r="L17" s="437">
        <v>38</v>
      </c>
      <c r="M17" s="433" t="s">
        <v>481</v>
      </c>
      <c r="N17" s="433">
        <v>2035</v>
      </c>
      <c r="O17" s="447" t="s">
        <v>813</v>
      </c>
    </row>
    <row r="18" spans="1:15" s="251" customFormat="1" ht="14.45" customHeight="1">
      <c r="A18" s="251" t="s">
        <v>820</v>
      </c>
      <c r="B18" s="388">
        <v>80</v>
      </c>
      <c r="C18" s="388">
        <v>3507</v>
      </c>
      <c r="D18" s="39">
        <v>340</v>
      </c>
      <c r="E18" s="388" t="s">
        <v>481</v>
      </c>
      <c r="F18" s="388">
        <v>14200</v>
      </c>
      <c r="G18" s="388">
        <v>86510</v>
      </c>
      <c r="H18" s="388">
        <v>42605</v>
      </c>
      <c r="I18" s="577">
        <v>0</v>
      </c>
      <c r="J18" s="78">
        <f>77391+11035+6790</f>
        <v>95216</v>
      </c>
      <c r="K18" s="39" t="s">
        <v>481</v>
      </c>
      <c r="L18" s="39">
        <v>163</v>
      </c>
      <c r="M18" s="388" t="s">
        <v>481</v>
      </c>
      <c r="N18" s="388">
        <v>2062</v>
      </c>
      <c r="O18" s="315" t="s">
        <v>820</v>
      </c>
    </row>
    <row r="19" spans="1:15" s="251" customFormat="1" ht="14.45" customHeight="1">
      <c r="A19" s="446" t="s">
        <v>821</v>
      </c>
      <c r="B19" s="433">
        <v>80</v>
      </c>
      <c r="C19" s="433">
        <v>3526</v>
      </c>
      <c r="D19" s="437">
        <v>467</v>
      </c>
      <c r="E19" s="433" t="s">
        <v>481</v>
      </c>
      <c r="F19" s="433">
        <v>12290</v>
      </c>
      <c r="G19" s="433">
        <v>93426</v>
      </c>
      <c r="H19" s="433">
        <v>39808</v>
      </c>
      <c r="I19" s="435">
        <v>2859</v>
      </c>
      <c r="J19" s="432">
        <f>105557+9403+1010</f>
        <v>115970</v>
      </c>
      <c r="K19" s="437" t="s">
        <v>481</v>
      </c>
      <c r="L19" s="437">
        <v>178</v>
      </c>
      <c r="M19" s="433" t="s">
        <v>481</v>
      </c>
      <c r="N19" s="433">
        <v>2092</v>
      </c>
      <c r="O19" s="447" t="s">
        <v>821</v>
      </c>
    </row>
    <row r="20" spans="1:15" s="251" customFormat="1" ht="14.45" customHeight="1">
      <c r="A20" s="251" t="s">
        <v>814</v>
      </c>
      <c r="B20" s="388">
        <v>81</v>
      </c>
      <c r="C20" s="388">
        <v>3681</v>
      </c>
      <c r="D20" s="39" t="s">
        <v>481</v>
      </c>
      <c r="E20" s="388" t="s">
        <v>481</v>
      </c>
      <c r="F20" s="388">
        <v>11860</v>
      </c>
      <c r="G20" s="388">
        <v>84730</v>
      </c>
      <c r="H20" s="388">
        <v>33130</v>
      </c>
      <c r="I20" s="577">
        <v>18602</v>
      </c>
      <c r="J20" s="78">
        <f>102251+7454+3610</f>
        <v>113315</v>
      </c>
      <c r="K20" s="39" t="s">
        <v>481</v>
      </c>
      <c r="L20" s="39">
        <v>178</v>
      </c>
      <c r="M20" s="388" t="s">
        <v>481</v>
      </c>
      <c r="N20" s="388">
        <v>2122</v>
      </c>
      <c r="O20" s="315" t="s">
        <v>814</v>
      </c>
    </row>
    <row r="21" spans="1:15" s="251" customFormat="1" ht="14.45" customHeight="1">
      <c r="A21" s="446" t="s">
        <v>822</v>
      </c>
      <c r="B21" s="433">
        <v>82</v>
      </c>
      <c r="C21" s="433">
        <v>3577</v>
      </c>
      <c r="D21" s="437">
        <v>93</v>
      </c>
      <c r="E21" s="433" t="s">
        <v>481</v>
      </c>
      <c r="F21" s="433">
        <v>15720</v>
      </c>
      <c r="G21" s="433">
        <v>83102</v>
      </c>
      <c r="H21" s="433">
        <v>41948</v>
      </c>
      <c r="I21" s="435">
        <v>29782.65</v>
      </c>
      <c r="J21" s="432">
        <f>82201+5775+11260</f>
        <v>99236</v>
      </c>
      <c r="K21" s="437" t="s">
        <v>481</v>
      </c>
      <c r="L21" s="437">
        <v>178</v>
      </c>
      <c r="M21" s="433" t="s">
        <v>481</v>
      </c>
      <c r="N21" s="433">
        <v>2160</v>
      </c>
      <c r="O21" s="447" t="s">
        <v>822</v>
      </c>
    </row>
    <row r="22" spans="1:15" s="251" customFormat="1" ht="14.45" customHeight="1">
      <c r="A22" s="251" t="s">
        <v>823</v>
      </c>
      <c r="B22" s="388">
        <v>78</v>
      </c>
      <c r="C22" s="388">
        <v>4059</v>
      </c>
      <c r="D22" s="39">
        <v>21</v>
      </c>
      <c r="E22" s="388" t="s">
        <v>481</v>
      </c>
      <c r="F22" s="388">
        <v>11240</v>
      </c>
      <c r="G22" s="388">
        <v>79675</v>
      </c>
      <c r="H22" s="388">
        <v>35614</v>
      </c>
      <c r="I22" s="577">
        <v>15575.6</v>
      </c>
      <c r="J22" s="78">
        <f>29087+8259+10479</f>
        <v>47825</v>
      </c>
      <c r="K22" s="39" t="s">
        <v>481</v>
      </c>
      <c r="L22" s="39">
        <v>161</v>
      </c>
      <c r="M22" s="388" t="s">
        <v>481</v>
      </c>
      <c r="N22" s="388">
        <v>2112</v>
      </c>
      <c r="O22" s="315" t="s">
        <v>823</v>
      </c>
    </row>
    <row r="23" spans="1:15" s="251" customFormat="1" ht="14.45" customHeight="1">
      <c r="A23" s="446" t="s">
        <v>815</v>
      </c>
      <c r="B23" s="433">
        <v>80</v>
      </c>
      <c r="C23" s="433">
        <v>3601</v>
      </c>
      <c r="D23" s="437">
        <v>333</v>
      </c>
      <c r="E23" s="433" t="s">
        <v>481</v>
      </c>
      <c r="F23" s="433">
        <v>15210</v>
      </c>
      <c r="G23" s="433">
        <v>82576</v>
      </c>
      <c r="H23" s="433">
        <v>30679</v>
      </c>
      <c r="I23" s="435">
        <v>1783.25</v>
      </c>
      <c r="J23" s="432">
        <f>56362+11188+9289</f>
        <v>76839</v>
      </c>
      <c r="K23" s="437" t="s">
        <v>481</v>
      </c>
      <c r="L23" s="437">
        <v>170</v>
      </c>
      <c r="M23" s="433" t="s">
        <v>481</v>
      </c>
      <c r="N23" s="433">
        <v>2416</v>
      </c>
      <c r="O23" s="447" t="s">
        <v>815</v>
      </c>
    </row>
    <row r="24" spans="1:15" s="251" customFormat="1" ht="14.45" customHeight="1">
      <c r="A24" s="251" t="s">
        <v>824</v>
      </c>
      <c r="B24" s="388">
        <v>81</v>
      </c>
      <c r="C24" s="388">
        <v>3693</v>
      </c>
      <c r="D24" s="39">
        <v>323</v>
      </c>
      <c r="E24" s="388" t="s">
        <v>481</v>
      </c>
      <c r="F24" s="388">
        <v>14200</v>
      </c>
      <c r="G24" s="388">
        <v>82780</v>
      </c>
      <c r="H24" s="388">
        <v>31659</v>
      </c>
      <c r="I24" s="577">
        <v>0</v>
      </c>
      <c r="J24" s="78">
        <f>36838+9303</f>
        <v>46141</v>
      </c>
      <c r="K24" s="39" t="s">
        <v>481</v>
      </c>
      <c r="L24" s="39">
        <v>172</v>
      </c>
      <c r="M24" s="388" t="s">
        <v>481</v>
      </c>
      <c r="N24" s="388">
        <v>2480</v>
      </c>
      <c r="O24" s="315" t="s">
        <v>824</v>
      </c>
    </row>
    <row r="25" spans="1:15" s="251" customFormat="1" ht="14.45" customHeight="1">
      <c r="A25" s="456" t="s">
        <v>825</v>
      </c>
      <c r="B25" s="433">
        <v>78</v>
      </c>
      <c r="C25" s="433">
        <v>3128</v>
      </c>
      <c r="D25" s="437">
        <v>31</v>
      </c>
      <c r="E25" s="433" t="s">
        <v>481</v>
      </c>
      <c r="F25" s="433">
        <v>14500</v>
      </c>
      <c r="G25" s="433">
        <v>112134</v>
      </c>
      <c r="H25" s="433">
        <v>22716</v>
      </c>
      <c r="I25" s="435">
        <v>0</v>
      </c>
      <c r="J25" s="432">
        <v>9282</v>
      </c>
      <c r="K25" s="437" t="s">
        <v>481</v>
      </c>
      <c r="L25" s="437">
        <v>169</v>
      </c>
      <c r="M25" s="433" t="s">
        <v>481</v>
      </c>
      <c r="N25" s="433">
        <v>2461</v>
      </c>
      <c r="O25" s="447" t="s">
        <v>825</v>
      </c>
    </row>
    <row r="26" spans="1:15" s="251" customFormat="1" ht="14.45" customHeight="1">
      <c r="A26" s="212" t="s">
        <v>816</v>
      </c>
      <c r="B26" s="388">
        <v>78</v>
      </c>
      <c r="C26" s="388">
        <v>3664</v>
      </c>
      <c r="D26" s="39">
        <v>140</v>
      </c>
      <c r="E26" s="388" t="s">
        <v>481</v>
      </c>
      <c r="F26" s="388">
        <v>13200</v>
      </c>
      <c r="G26" s="388">
        <v>69979</v>
      </c>
      <c r="H26" s="388">
        <v>20582</v>
      </c>
      <c r="I26" s="577">
        <v>0</v>
      </c>
      <c r="J26" s="78">
        <f>1590+3545</f>
        <v>5135</v>
      </c>
      <c r="K26" s="39" t="s">
        <v>481</v>
      </c>
      <c r="L26" s="39">
        <v>132</v>
      </c>
      <c r="M26" s="388" t="s">
        <v>481</v>
      </c>
      <c r="N26" s="388">
        <v>1119</v>
      </c>
      <c r="O26" s="315" t="s">
        <v>816</v>
      </c>
    </row>
    <row r="27" spans="1:15" s="251" customFormat="1" ht="14.45" customHeight="1">
      <c r="A27" s="448" t="s">
        <v>2524</v>
      </c>
      <c r="B27" s="433"/>
      <c r="C27" s="433"/>
      <c r="D27" s="437"/>
      <c r="E27" s="433"/>
      <c r="F27" s="433"/>
      <c r="G27" s="433"/>
      <c r="H27" s="433"/>
      <c r="I27" s="435"/>
      <c r="J27" s="432"/>
      <c r="K27" s="437"/>
      <c r="L27" s="437"/>
      <c r="M27" s="433"/>
      <c r="N27" s="433"/>
      <c r="O27" s="449" t="s">
        <v>2524</v>
      </c>
    </row>
    <row r="28" spans="1:15" s="251" customFormat="1" ht="14.45" customHeight="1">
      <c r="A28" s="251" t="s">
        <v>818</v>
      </c>
      <c r="B28" s="388">
        <v>78</v>
      </c>
      <c r="C28" s="388">
        <v>3459</v>
      </c>
      <c r="D28" s="39">
        <v>352</v>
      </c>
      <c r="E28" s="388" t="s">
        <v>481</v>
      </c>
      <c r="F28" s="388">
        <v>10350</v>
      </c>
      <c r="G28" s="388">
        <v>72947</v>
      </c>
      <c r="H28" s="388">
        <v>24031</v>
      </c>
      <c r="I28" s="577">
        <v>0</v>
      </c>
      <c r="J28" s="78">
        <f>12705+7184+7506</f>
        <v>27395</v>
      </c>
      <c r="K28" s="39" t="s">
        <v>481</v>
      </c>
      <c r="L28" s="39">
        <v>115</v>
      </c>
      <c r="M28" s="388" t="s">
        <v>481</v>
      </c>
      <c r="N28" s="388">
        <v>2653</v>
      </c>
      <c r="O28" s="315" t="s">
        <v>818</v>
      </c>
    </row>
    <row r="29" spans="1:15" s="251" customFormat="1" ht="14.45" customHeight="1">
      <c r="A29" s="446" t="s">
        <v>819</v>
      </c>
      <c r="B29" s="433">
        <v>78</v>
      </c>
      <c r="C29" s="433">
        <v>3531</v>
      </c>
      <c r="D29" s="437">
        <v>530</v>
      </c>
      <c r="E29" s="433" t="s">
        <v>481</v>
      </c>
      <c r="F29" s="433">
        <v>11440</v>
      </c>
      <c r="G29" s="433">
        <v>74491</v>
      </c>
      <c r="H29" s="433">
        <v>25880</v>
      </c>
      <c r="I29" s="435" t="s">
        <v>481</v>
      </c>
      <c r="J29" s="432">
        <f>12249+9570+6824</f>
        <v>28643</v>
      </c>
      <c r="K29" s="437" t="s">
        <v>481</v>
      </c>
      <c r="L29" s="437">
        <v>129</v>
      </c>
      <c r="M29" s="433" t="s">
        <v>481</v>
      </c>
      <c r="N29" s="433">
        <v>2682</v>
      </c>
      <c r="O29" s="447" t="s">
        <v>819</v>
      </c>
    </row>
    <row r="30" spans="1:15" s="251" customFormat="1" ht="14.45" customHeight="1">
      <c r="A30" s="251" t="s">
        <v>813</v>
      </c>
      <c r="B30" s="388">
        <v>82</v>
      </c>
      <c r="C30" s="388">
        <v>3416</v>
      </c>
      <c r="D30" s="39">
        <v>262</v>
      </c>
      <c r="E30" s="388" t="s">
        <v>481</v>
      </c>
      <c r="F30" s="388">
        <v>11870</v>
      </c>
      <c r="G30" s="388">
        <v>91826</v>
      </c>
      <c r="H30" s="388">
        <v>25530</v>
      </c>
      <c r="I30" s="577" t="s">
        <v>481</v>
      </c>
      <c r="J30" s="78">
        <v>82036</v>
      </c>
      <c r="K30" s="39" t="s">
        <v>481</v>
      </c>
      <c r="L30" s="39">
        <v>117</v>
      </c>
      <c r="M30" s="388" t="s">
        <v>481</v>
      </c>
      <c r="N30" s="388">
        <v>2644</v>
      </c>
      <c r="O30" s="315" t="s">
        <v>813</v>
      </c>
    </row>
    <row r="31" spans="1:15" s="251" customFormat="1" ht="14.45" customHeight="1">
      <c r="A31" s="446" t="s">
        <v>820</v>
      </c>
      <c r="B31" s="433">
        <v>84</v>
      </c>
      <c r="C31" s="433">
        <v>3163</v>
      </c>
      <c r="D31" s="437">
        <v>420</v>
      </c>
      <c r="E31" s="433" t="s">
        <v>481</v>
      </c>
      <c r="F31" s="433">
        <v>11730</v>
      </c>
      <c r="G31" s="433">
        <v>81850</v>
      </c>
      <c r="H31" s="433">
        <v>25120</v>
      </c>
      <c r="I31" s="435" t="s">
        <v>481</v>
      </c>
      <c r="J31" s="432">
        <f>125752+10422+270</f>
        <v>136444</v>
      </c>
      <c r="K31" s="437" t="s">
        <v>481</v>
      </c>
      <c r="L31" s="437">
        <v>122</v>
      </c>
      <c r="M31" s="433" t="s">
        <v>481</v>
      </c>
      <c r="N31" s="433">
        <v>2673</v>
      </c>
      <c r="O31" s="447" t="s">
        <v>820</v>
      </c>
    </row>
    <row r="32" spans="1:15" s="251" customFormat="1" ht="14.45" customHeight="1">
      <c r="A32" s="251" t="s">
        <v>821</v>
      </c>
      <c r="B32" s="388">
        <v>84</v>
      </c>
      <c r="C32" s="388">
        <v>3197</v>
      </c>
      <c r="D32" s="39">
        <v>620</v>
      </c>
      <c r="E32" s="388" t="s">
        <v>481</v>
      </c>
      <c r="F32" s="388">
        <v>14670</v>
      </c>
      <c r="G32" s="388">
        <v>111701</v>
      </c>
      <c r="H32" s="388">
        <v>31875</v>
      </c>
      <c r="I32" s="577">
        <v>2236.5</v>
      </c>
      <c r="J32" s="78">
        <f>65506+9475</f>
        <v>74981</v>
      </c>
      <c r="K32" s="39" t="s">
        <v>481</v>
      </c>
      <c r="L32" s="39">
        <v>122</v>
      </c>
      <c r="M32" s="388" t="s">
        <v>481</v>
      </c>
      <c r="N32" s="388">
        <v>2768</v>
      </c>
      <c r="O32" s="315" t="s">
        <v>821</v>
      </c>
    </row>
    <row r="33" spans="1:15" s="251" customFormat="1" ht="14.45" customHeight="1">
      <c r="A33" s="446" t="s">
        <v>814</v>
      </c>
      <c r="B33" s="433">
        <v>85</v>
      </c>
      <c r="C33" s="433">
        <v>3655</v>
      </c>
      <c r="D33" s="437">
        <v>468</v>
      </c>
      <c r="E33" s="433" t="s">
        <v>481</v>
      </c>
      <c r="F33" s="433">
        <v>12500</v>
      </c>
      <c r="G33" s="433">
        <v>94627</v>
      </c>
      <c r="H33" s="433">
        <v>33197</v>
      </c>
      <c r="I33" s="435">
        <v>15980.5</v>
      </c>
      <c r="J33" s="432">
        <f>112635+10140</f>
        <v>122775</v>
      </c>
      <c r="K33" s="437" t="s">
        <v>481</v>
      </c>
      <c r="L33" s="437">
        <v>116</v>
      </c>
      <c r="M33" s="433" t="s">
        <v>481</v>
      </c>
      <c r="N33" s="433">
        <v>2825</v>
      </c>
      <c r="O33" s="447" t="s">
        <v>814</v>
      </c>
    </row>
    <row r="34" spans="1:15" s="251" customFormat="1" ht="14.45" customHeight="1">
      <c r="A34" s="251" t="s">
        <v>822</v>
      </c>
      <c r="B34" s="388">
        <v>85</v>
      </c>
      <c r="C34" s="388">
        <v>3615</v>
      </c>
      <c r="D34" s="39">
        <v>717</v>
      </c>
      <c r="E34" s="388" t="s">
        <v>481</v>
      </c>
      <c r="F34" s="388">
        <v>13200</v>
      </c>
      <c r="G34" s="388">
        <v>91632</v>
      </c>
      <c r="H34" s="388">
        <v>38250</v>
      </c>
      <c r="I34" s="577">
        <v>30586</v>
      </c>
      <c r="J34" s="78">
        <f>112021+10904</f>
        <v>122925</v>
      </c>
      <c r="K34" s="39" t="s">
        <v>481</v>
      </c>
      <c r="L34" s="39">
        <v>126</v>
      </c>
      <c r="M34" s="388" t="s">
        <v>481</v>
      </c>
      <c r="N34" s="388">
        <v>2880</v>
      </c>
      <c r="O34" s="315" t="s">
        <v>822</v>
      </c>
    </row>
    <row r="35" spans="1:15" s="251" customFormat="1" ht="14.45" customHeight="1">
      <c r="A35" s="446" t="s">
        <v>823</v>
      </c>
      <c r="B35" s="433">
        <v>85</v>
      </c>
      <c r="C35" s="433">
        <v>3625</v>
      </c>
      <c r="D35" s="437">
        <v>555</v>
      </c>
      <c r="E35" s="433" t="s">
        <v>481</v>
      </c>
      <c r="F35" s="433">
        <v>13500</v>
      </c>
      <c r="G35" s="433">
        <v>91752</v>
      </c>
      <c r="H35" s="433">
        <v>34192</v>
      </c>
      <c r="I35" s="435">
        <v>17390.099999999999</v>
      </c>
      <c r="J35" s="432">
        <f>82168+11336</f>
        <v>93504</v>
      </c>
      <c r="K35" s="437" t="s">
        <v>481</v>
      </c>
      <c r="L35" s="437">
        <v>95</v>
      </c>
      <c r="M35" s="433" t="s">
        <v>481</v>
      </c>
      <c r="N35" s="433">
        <v>2948</v>
      </c>
      <c r="O35" s="447" t="s">
        <v>823</v>
      </c>
    </row>
    <row r="36" spans="1:15" s="251" customFormat="1" ht="14.45" customHeight="1" thickBot="1">
      <c r="A36" s="1566" t="s">
        <v>815</v>
      </c>
      <c r="B36" s="675" t="s">
        <v>481</v>
      </c>
      <c r="C36" s="675" t="s">
        <v>481</v>
      </c>
      <c r="D36" s="1384" t="s">
        <v>481</v>
      </c>
      <c r="E36" s="675" t="s">
        <v>481</v>
      </c>
      <c r="F36" s="675" t="s">
        <v>481</v>
      </c>
      <c r="G36" s="675" t="s">
        <v>481</v>
      </c>
      <c r="H36" s="675" t="s">
        <v>481</v>
      </c>
      <c r="I36" s="1643">
        <v>2760</v>
      </c>
      <c r="J36" s="1644" t="s">
        <v>481</v>
      </c>
      <c r="K36" s="1384" t="s">
        <v>481</v>
      </c>
      <c r="L36" s="1384" t="s">
        <v>481</v>
      </c>
      <c r="M36" s="675" t="s">
        <v>481</v>
      </c>
      <c r="N36" s="675" t="s">
        <v>481</v>
      </c>
      <c r="O36" s="1645" t="s">
        <v>815</v>
      </c>
    </row>
    <row r="37" spans="1:15" s="251" customFormat="1" ht="9.75" customHeight="1">
      <c r="B37" s="388"/>
      <c r="C37" s="388"/>
      <c r="D37" s="39"/>
      <c r="E37" s="388"/>
      <c r="F37" s="388"/>
      <c r="G37" s="388"/>
      <c r="H37" s="388"/>
      <c r="I37" s="577"/>
      <c r="J37" s="78"/>
      <c r="K37" s="39"/>
      <c r="L37" s="39"/>
      <c r="M37" s="388"/>
      <c r="N37" s="388"/>
      <c r="O37" s="315"/>
    </row>
    <row r="38" spans="1:15" s="420" customFormat="1" ht="9" customHeight="1">
      <c r="A38" s="690" t="s">
        <v>1060</v>
      </c>
      <c r="B38" s="2038" t="s">
        <v>2344</v>
      </c>
      <c r="C38" s="2038"/>
      <c r="D38" s="2038"/>
      <c r="E38" s="249"/>
      <c r="F38" s="249"/>
      <c r="G38" s="249"/>
      <c r="H38" s="691" t="s">
        <v>288</v>
      </c>
      <c r="I38" s="2040" t="s">
        <v>2368</v>
      </c>
      <c r="J38" s="2040"/>
      <c r="K38" s="2040"/>
      <c r="L38" s="2040"/>
      <c r="M38" s="2040"/>
      <c r="N38" s="2040"/>
    </row>
    <row r="39" spans="1:15" s="420" customFormat="1" ht="9" customHeight="1">
      <c r="A39" s="249" t="s">
        <v>911</v>
      </c>
      <c r="B39" s="2037" t="s">
        <v>2345</v>
      </c>
      <c r="C39" s="2037"/>
      <c r="D39" s="2037"/>
      <c r="E39" s="2037"/>
      <c r="F39" s="692"/>
      <c r="G39" s="692"/>
      <c r="H39" s="692"/>
      <c r="I39" s="2038" t="s">
        <v>2369</v>
      </c>
      <c r="J39" s="2038"/>
      <c r="K39" s="2038"/>
      <c r="L39" s="2038"/>
      <c r="M39" s="2038"/>
      <c r="N39" s="2038"/>
    </row>
    <row r="40" spans="1:15" s="420" customFormat="1" ht="9" customHeight="1">
      <c r="A40" s="692" t="s">
        <v>289</v>
      </c>
      <c r="B40" s="2037" t="s">
        <v>2346</v>
      </c>
      <c r="C40" s="2037"/>
      <c r="D40" s="2037"/>
      <c r="E40" s="2037"/>
      <c r="F40" s="692"/>
      <c r="G40" s="692"/>
      <c r="H40" s="692"/>
      <c r="I40" s="2037" t="s">
        <v>2370</v>
      </c>
      <c r="J40" s="2037"/>
      <c r="K40" s="2037"/>
      <c r="L40" s="2037"/>
      <c r="M40" s="2037"/>
      <c r="N40" s="2037"/>
    </row>
    <row r="41" spans="1:15" s="420" customFormat="1" ht="9" customHeight="1">
      <c r="A41" s="692" t="s">
        <v>290</v>
      </c>
      <c r="B41" s="2037" t="s">
        <v>2347</v>
      </c>
      <c r="C41" s="2037"/>
      <c r="D41" s="2037"/>
      <c r="E41" s="2037"/>
      <c r="F41" s="2037"/>
      <c r="G41" s="2037"/>
      <c r="H41" s="692"/>
      <c r="I41" s="2037" t="s">
        <v>2371</v>
      </c>
      <c r="J41" s="2037"/>
      <c r="K41" s="2037"/>
      <c r="L41" s="2037"/>
      <c r="M41" s="2037"/>
      <c r="N41" s="2037"/>
    </row>
    <row r="42" spans="1:15" s="420" customFormat="1" ht="9" customHeight="1">
      <c r="A42" s="692" t="s">
        <v>291</v>
      </c>
      <c r="B42" s="2037" t="s">
        <v>2348</v>
      </c>
      <c r="C42" s="2037"/>
      <c r="D42" s="692"/>
      <c r="E42" s="692"/>
      <c r="F42" s="692"/>
      <c r="G42" s="692"/>
      <c r="H42" s="692"/>
      <c r="I42" s="18" t="s">
        <v>283</v>
      </c>
      <c r="J42" s="18"/>
    </row>
    <row r="46" spans="1:15" ht="9.75" customHeight="1"/>
  </sheetData>
  <mergeCells count="14">
    <mergeCell ref="A3:A4"/>
    <mergeCell ref="C1:G1"/>
    <mergeCell ref="I38:N38"/>
    <mergeCell ref="I39:N39"/>
    <mergeCell ref="I41:N41"/>
    <mergeCell ref="I40:N40"/>
    <mergeCell ref="H2:J2"/>
    <mergeCell ref="N1:O1"/>
    <mergeCell ref="O3:O4"/>
    <mergeCell ref="B42:C42"/>
    <mergeCell ref="B41:G41"/>
    <mergeCell ref="B40:E40"/>
    <mergeCell ref="B39:E39"/>
    <mergeCell ref="B38:D38"/>
  </mergeCells>
  <phoneticPr fontId="4" type="noConversion"/>
  <pageMargins left="0.62992125984252001" right="0.511811023622047" top="0.511811023622047" bottom="0.511811023622047" header="0" footer="0.39370078740157499"/>
  <pageSetup paperSize="448" firstPageNumber="40" orientation="portrait" useFirstPageNumber="1" r:id="rId1"/>
  <headerFooter alignWithMargins="0">
    <oddFooter>&amp;C&amp;"Times New Roman,Regular"&amp;8&amp;P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8"/>
  <dimension ref="A1:Q57"/>
  <sheetViews>
    <sheetView zoomScale="150" zoomScaleNormal="150" workbookViewId="0">
      <pane xSplit="1" ySplit="6" topLeftCell="B42" activePane="bottomRight" state="frozen"/>
      <selection pane="topRight" activeCell="B1" sqref="B1"/>
      <selection pane="bottomLeft" activeCell="A7" sqref="A7"/>
      <selection pane="bottomRight" activeCell="H51" sqref="H51"/>
    </sheetView>
  </sheetViews>
  <sheetFormatPr defaultColWidth="9.140625" defaultRowHeight="11.25"/>
  <cols>
    <col min="1" max="1" width="10.140625" style="23" customWidth="1"/>
    <col min="2" max="2" width="7.140625" style="10" customWidth="1"/>
    <col min="3" max="3" width="6.7109375" style="10" customWidth="1"/>
    <col min="4" max="4" width="7.42578125" style="10" customWidth="1"/>
    <col min="5" max="5" width="7.7109375" style="10" customWidth="1"/>
    <col min="6" max="6" width="8.140625" style="10" customWidth="1"/>
    <col min="7" max="7" width="8.42578125" style="10" customWidth="1"/>
    <col min="8" max="8" width="7.7109375" style="10" customWidth="1"/>
    <col min="9" max="9" width="7.28515625" style="10" customWidth="1"/>
    <col min="10" max="10" width="8.28515625" style="10" customWidth="1"/>
    <col min="11" max="11" width="9.7109375" style="10" customWidth="1"/>
    <col min="12" max="12" width="9.85546875" style="10" customWidth="1"/>
    <col min="13" max="13" width="10.7109375" style="10" customWidth="1"/>
    <col min="14" max="14" width="10.85546875" style="10" customWidth="1"/>
    <col min="15" max="15" width="10.42578125" style="10" customWidth="1"/>
    <col min="16" max="16" width="13.85546875" style="10" customWidth="1"/>
    <col min="17" max="17" width="10.85546875" style="10" customWidth="1"/>
    <col min="18" max="16384" width="9.140625" style="10"/>
  </cols>
  <sheetData>
    <row r="1" spans="1:17" s="32" customFormat="1" ht="15.75" customHeight="1">
      <c r="B1" s="71"/>
      <c r="C1" s="71"/>
      <c r="D1" s="2035" t="s">
        <v>2172</v>
      </c>
      <c r="E1" s="2035"/>
      <c r="F1" s="2035"/>
      <c r="G1" s="2035"/>
      <c r="H1" s="2035"/>
      <c r="I1" s="2035"/>
      <c r="J1" s="2035"/>
      <c r="K1" s="2057" t="s">
        <v>525</v>
      </c>
      <c r="L1" s="2057"/>
      <c r="M1" s="2057"/>
      <c r="N1" s="2057"/>
      <c r="O1" s="2057"/>
      <c r="P1" s="2035" t="s">
        <v>1806</v>
      </c>
      <c r="Q1" s="2035"/>
    </row>
    <row r="2" spans="1:17" s="29" customFormat="1" ht="11.25" customHeight="1">
      <c r="B2" s="15"/>
      <c r="F2" s="15"/>
      <c r="G2" s="2059"/>
      <c r="H2" s="2059"/>
      <c r="I2" s="2059"/>
      <c r="J2" s="2059"/>
      <c r="K2" s="1044"/>
      <c r="L2" s="15"/>
      <c r="M2" s="15"/>
      <c r="N2" s="15"/>
      <c r="O2" s="15"/>
      <c r="P2" s="15"/>
      <c r="Q2" s="15"/>
    </row>
    <row r="3" spans="1:17" s="110" customFormat="1" ht="12" customHeight="1">
      <c r="A3" s="2015" t="s">
        <v>739</v>
      </c>
      <c r="B3" s="1156" t="s">
        <v>759</v>
      </c>
      <c r="C3" s="2052" t="s">
        <v>761</v>
      </c>
      <c r="D3" s="2054"/>
      <c r="E3" s="1156" t="s">
        <v>759</v>
      </c>
      <c r="F3" s="2052" t="s">
        <v>110</v>
      </c>
      <c r="G3" s="2054"/>
      <c r="H3" s="1156" t="s">
        <v>759</v>
      </c>
      <c r="I3" s="2052" t="s">
        <v>111</v>
      </c>
      <c r="J3" s="2054"/>
      <c r="K3" s="2052" t="s">
        <v>232</v>
      </c>
      <c r="L3" s="2053"/>
      <c r="M3" s="2053"/>
      <c r="N3" s="2053"/>
      <c r="O3" s="2053"/>
      <c r="P3" s="2053"/>
      <c r="Q3" s="2054"/>
    </row>
    <row r="4" spans="1:17" s="110" customFormat="1" ht="12.75" customHeight="1">
      <c r="A4" s="2016"/>
      <c r="B4" s="2050" t="s">
        <v>760</v>
      </c>
      <c r="C4" s="2046" t="s">
        <v>112</v>
      </c>
      <c r="D4" s="2044" t="s">
        <v>113</v>
      </c>
      <c r="E4" s="2046" t="s">
        <v>756</v>
      </c>
      <c r="F4" s="2044" t="s">
        <v>112</v>
      </c>
      <c r="G4" s="2046" t="s">
        <v>113</v>
      </c>
      <c r="H4" s="2044" t="s">
        <v>438</v>
      </c>
      <c r="I4" s="2046" t="s">
        <v>128</v>
      </c>
      <c r="J4" s="2046" t="s">
        <v>113</v>
      </c>
      <c r="K4" s="2015" t="s">
        <v>25</v>
      </c>
      <c r="L4" s="2058" t="s">
        <v>26</v>
      </c>
      <c r="M4" s="2055" t="s">
        <v>1395</v>
      </c>
      <c r="N4" s="2055" t="s">
        <v>2173</v>
      </c>
      <c r="O4" s="2055" t="s">
        <v>439</v>
      </c>
      <c r="P4" s="2056" t="s">
        <v>440</v>
      </c>
      <c r="Q4" s="2055" t="s">
        <v>1396</v>
      </c>
    </row>
    <row r="5" spans="1:17" s="110" customFormat="1" ht="24.75" customHeight="1">
      <c r="A5" s="2016"/>
      <c r="B5" s="2051"/>
      <c r="C5" s="2046"/>
      <c r="D5" s="2045"/>
      <c r="E5" s="2046"/>
      <c r="F5" s="2045"/>
      <c r="G5" s="2046"/>
      <c r="H5" s="2045"/>
      <c r="I5" s="2046"/>
      <c r="J5" s="2046"/>
      <c r="K5" s="2017"/>
      <c r="L5" s="2058"/>
      <c r="M5" s="2055"/>
      <c r="N5" s="2055"/>
      <c r="O5" s="2055"/>
      <c r="P5" s="2056"/>
      <c r="Q5" s="2055"/>
    </row>
    <row r="6" spans="1:17" ht="11.1" customHeight="1">
      <c r="A6" s="118" t="s">
        <v>827</v>
      </c>
      <c r="B6" s="1157">
        <v>100</v>
      </c>
      <c r="C6" s="2048" t="s">
        <v>180</v>
      </c>
      <c r="D6" s="2049"/>
      <c r="E6" s="1157">
        <v>58.84</v>
      </c>
      <c r="F6" s="2047" t="s">
        <v>180</v>
      </c>
      <c r="G6" s="2047"/>
      <c r="H6" s="1157">
        <v>41.16</v>
      </c>
      <c r="I6" s="2047" t="s">
        <v>180</v>
      </c>
      <c r="J6" s="2047"/>
      <c r="K6" s="1157">
        <v>6.85</v>
      </c>
      <c r="L6" s="1157">
        <v>16.87</v>
      </c>
      <c r="M6" s="1157">
        <v>2.67</v>
      </c>
      <c r="N6" s="1157">
        <v>2.84</v>
      </c>
      <c r="O6" s="1157">
        <v>4.17</v>
      </c>
      <c r="P6" s="1157">
        <v>4.13</v>
      </c>
      <c r="Q6" s="1157">
        <v>3.63</v>
      </c>
    </row>
    <row r="7" spans="1:17" s="409" customFormat="1" ht="12.95" customHeight="1">
      <c r="A7" s="357" t="s">
        <v>1333</v>
      </c>
      <c r="B7" s="20">
        <v>181.72583333333333</v>
      </c>
      <c r="C7" s="40">
        <v>8.0500000000000007</v>
      </c>
      <c r="D7" s="40">
        <v>6.78</v>
      </c>
      <c r="E7" s="20">
        <v>193.23666666666665</v>
      </c>
      <c r="F7" s="40">
        <v>8.26</v>
      </c>
      <c r="G7" s="40">
        <v>5.22</v>
      </c>
      <c r="H7" s="20">
        <v>166.96916666666667</v>
      </c>
      <c r="I7" s="20">
        <v>7.75</v>
      </c>
      <c r="J7" s="20">
        <v>9.17</v>
      </c>
      <c r="K7" s="20">
        <v>179.65833333333333</v>
      </c>
      <c r="L7" s="20">
        <v>155.61333333333334</v>
      </c>
      <c r="M7" s="20">
        <v>195.33166666666671</v>
      </c>
      <c r="N7" s="20">
        <v>159.6575</v>
      </c>
      <c r="O7" s="20">
        <v>159.33833333333334</v>
      </c>
      <c r="P7" s="20">
        <v>157.23416666666671</v>
      </c>
      <c r="Q7" s="20">
        <v>182.53750000000002</v>
      </c>
    </row>
    <row r="8" spans="1:17" s="115" customFormat="1" ht="12.95" customHeight="1">
      <c r="A8" s="446" t="s">
        <v>1664</v>
      </c>
      <c r="B8" s="440">
        <v>195.08250000000001</v>
      </c>
      <c r="C8" s="440">
        <v>6.97</v>
      </c>
      <c r="D8" s="440">
        <v>7.35</v>
      </c>
      <c r="E8" s="440">
        <v>209.79083333333335</v>
      </c>
      <c r="F8" s="440">
        <v>8</v>
      </c>
      <c r="G8" s="437">
        <v>8.57</v>
      </c>
      <c r="H8" s="440">
        <v>176.22416666666666</v>
      </c>
      <c r="I8" s="440">
        <v>5.45</v>
      </c>
      <c r="J8" s="440">
        <v>5.54</v>
      </c>
      <c r="K8" s="440">
        <v>194.76499999999999</v>
      </c>
      <c r="L8" s="440">
        <v>163.47083333333333</v>
      </c>
      <c r="M8" s="440">
        <v>206.13583333333338</v>
      </c>
      <c r="N8" s="440">
        <v>164.05583333333337</v>
      </c>
      <c r="O8" s="440">
        <v>167.20250000000001</v>
      </c>
      <c r="P8" s="440">
        <v>164.38166666666666</v>
      </c>
      <c r="Q8" s="440">
        <v>193.75416666666663</v>
      </c>
    </row>
    <row r="9" spans="1:17" s="409" customFormat="1" ht="12.95" customHeight="1">
      <c r="A9" s="386" t="s">
        <v>1754</v>
      </c>
      <c r="B9" s="40">
        <v>207.57750000000001</v>
      </c>
      <c r="C9" s="40">
        <v>6.25</v>
      </c>
      <c r="D9" s="40">
        <v>6.4</v>
      </c>
      <c r="E9" s="40">
        <v>223.7883333333333</v>
      </c>
      <c r="F9" s="40">
        <v>6.32</v>
      </c>
      <c r="G9" s="39">
        <v>6.67</v>
      </c>
      <c r="H9" s="40">
        <v>186.785</v>
      </c>
      <c r="I9" s="40">
        <v>6.15</v>
      </c>
      <c r="J9" s="40">
        <v>5.99</v>
      </c>
      <c r="K9" s="40">
        <v>209.44583333333333</v>
      </c>
      <c r="L9" s="40">
        <v>171.79583333333335</v>
      </c>
      <c r="M9" s="40">
        <v>214.44333333333336</v>
      </c>
      <c r="N9" s="40">
        <v>181.09000000000003</v>
      </c>
      <c r="O9" s="40">
        <v>181.77833333333331</v>
      </c>
      <c r="P9" s="40">
        <v>168.02416666666667</v>
      </c>
      <c r="Q9" s="40">
        <v>204.20583333333332</v>
      </c>
    </row>
    <row r="10" spans="1:17" s="115" customFormat="1" ht="12.95" customHeight="1">
      <c r="A10" s="548" t="s">
        <v>1954</v>
      </c>
      <c r="B10" s="445">
        <v>219.85833333333335</v>
      </c>
      <c r="C10" s="445">
        <v>5.53</v>
      </c>
      <c r="D10" s="445">
        <v>5.92</v>
      </c>
      <c r="E10" s="445">
        <v>234.77166666666668</v>
      </c>
      <c r="F10" s="445">
        <v>4.2300000000000004</v>
      </c>
      <c r="G10" s="445">
        <v>4.91</v>
      </c>
      <c r="H10" s="445">
        <v>200.73749999999998</v>
      </c>
      <c r="I10" s="445">
        <v>7.5</v>
      </c>
      <c r="J10" s="445">
        <v>7.47</v>
      </c>
      <c r="K10" s="445">
        <v>233.52</v>
      </c>
      <c r="L10" s="445">
        <v>182.75</v>
      </c>
      <c r="M10" s="445">
        <v>227.5325</v>
      </c>
      <c r="N10" s="445">
        <v>200.02916666666667</v>
      </c>
      <c r="O10" s="445">
        <v>201.59583333333333</v>
      </c>
      <c r="P10" s="445">
        <v>171.00583333333336</v>
      </c>
      <c r="Q10" s="445">
        <v>211.61166666666665</v>
      </c>
    </row>
    <row r="11" spans="1:17" s="409" customFormat="1" ht="12.95" customHeight="1">
      <c r="A11" s="550" t="s">
        <v>2070</v>
      </c>
      <c r="B11" s="213">
        <f>AVERAGE(B12:B23)</f>
        <v>231.81916666666666</v>
      </c>
      <c r="C11" s="213">
        <f>C23</f>
        <v>5.94</v>
      </c>
      <c r="D11" s="213">
        <f>D23</f>
        <v>5.44</v>
      </c>
      <c r="E11" s="213">
        <f>AVERAGE(E12:E23)</f>
        <v>248.89999999999998</v>
      </c>
      <c r="F11" s="213">
        <f>F23</f>
        <v>7.51</v>
      </c>
      <c r="G11" s="213">
        <f>G23</f>
        <v>6.02</v>
      </c>
      <c r="H11" s="213">
        <f>AVERAGE(H12:H23)</f>
        <v>209.92083333333332</v>
      </c>
      <c r="I11" s="213">
        <f>I23</f>
        <v>3.67</v>
      </c>
      <c r="J11" s="213">
        <f>J23</f>
        <v>4.57</v>
      </c>
      <c r="K11" s="213">
        <f t="shared" ref="K11:Q11" si="0">AVERAGE(K12:K23)</f>
        <v>243.56333333333336</v>
      </c>
      <c r="L11" s="213">
        <f t="shared" si="0"/>
        <v>194.00750000000002</v>
      </c>
      <c r="M11" s="213">
        <f t="shared" si="0"/>
        <v>235.8475</v>
      </c>
      <c r="N11" s="213">
        <f t="shared" si="0"/>
        <v>206.69833333333335</v>
      </c>
      <c r="O11" s="213">
        <f t="shared" si="0"/>
        <v>210.77666666666664</v>
      </c>
      <c r="P11" s="213">
        <f t="shared" si="0"/>
        <v>177.55500000000004</v>
      </c>
      <c r="Q11" s="213">
        <f t="shared" si="0"/>
        <v>217.51000000000002</v>
      </c>
    </row>
    <row r="12" spans="1:17" s="409" customFormat="1" ht="12.95" customHeight="1">
      <c r="A12" s="491" t="s">
        <v>2071</v>
      </c>
      <c r="B12" s="437">
        <v>224.13</v>
      </c>
      <c r="C12" s="440">
        <v>5.4</v>
      </c>
      <c r="D12" s="440">
        <v>5.84</v>
      </c>
      <c r="E12" s="437">
        <v>237.69</v>
      </c>
      <c r="F12" s="437">
        <v>4.3499999999999996</v>
      </c>
      <c r="G12" s="437">
        <v>4.7699999999999996</v>
      </c>
      <c r="H12" s="437">
        <v>206.75</v>
      </c>
      <c r="I12" s="437">
        <v>6.98</v>
      </c>
      <c r="J12" s="440">
        <v>7.48</v>
      </c>
      <c r="K12" s="437">
        <v>241.4</v>
      </c>
      <c r="L12" s="440">
        <v>190.22</v>
      </c>
      <c r="M12" s="437">
        <v>232.95</v>
      </c>
      <c r="N12" s="440">
        <v>205.91</v>
      </c>
      <c r="O12" s="440">
        <v>207.41</v>
      </c>
      <c r="P12" s="437">
        <v>172.56</v>
      </c>
      <c r="Q12" s="440">
        <v>214.73</v>
      </c>
    </row>
    <row r="13" spans="1:17" s="409" customFormat="1" ht="12.95" customHeight="1">
      <c r="A13" s="386" t="s">
        <v>819</v>
      </c>
      <c r="B13" s="39">
        <v>226.57</v>
      </c>
      <c r="C13" s="40">
        <v>5.37</v>
      </c>
      <c r="D13" s="40">
        <v>5.77</v>
      </c>
      <c r="E13" s="39">
        <v>241.89</v>
      </c>
      <c r="F13" s="40">
        <v>4.3</v>
      </c>
      <c r="G13" s="39">
        <v>4.62</v>
      </c>
      <c r="H13" s="39">
        <v>206.93</v>
      </c>
      <c r="I13" s="40">
        <v>7</v>
      </c>
      <c r="J13" s="40">
        <v>7.53</v>
      </c>
      <c r="K13" s="39">
        <v>241.59</v>
      </c>
      <c r="L13" s="40">
        <v>190.26</v>
      </c>
      <c r="M13" s="39">
        <v>233.62</v>
      </c>
      <c r="N13" s="40">
        <v>206.08</v>
      </c>
      <c r="O13" s="40">
        <v>207.56</v>
      </c>
      <c r="P13" s="39">
        <v>172.68</v>
      </c>
      <c r="Q13" s="40">
        <v>214.95</v>
      </c>
    </row>
    <row r="14" spans="1:17" s="409" customFormat="1" ht="12.95" customHeight="1">
      <c r="A14" s="491" t="s">
        <v>813</v>
      </c>
      <c r="B14" s="437">
        <v>230.27</v>
      </c>
      <c r="C14" s="440">
        <v>5.53</v>
      </c>
      <c r="D14" s="440">
        <v>5.71</v>
      </c>
      <c r="E14" s="437">
        <v>247.88</v>
      </c>
      <c r="F14" s="440">
        <v>5.0999999999999996</v>
      </c>
      <c r="G14" s="437">
        <v>4.5599999999999996</v>
      </c>
      <c r="H14" s="437">
        <v>207.69</v>
      </c>
      <c r="I14" s="440">
        <v>6.19</v>
      </c>
      <c r="J14" s="440">
        <v>7.48</v>
      </c>
      <c r="K14" s="437">
        <v>242.85</v>
      </c>
      <c r="L14" s="440">
        <v>190.62</v>
      </c>
      <c r="M14" s="437">
        <v>234.01</v>
      </c>
      <c r="N14" s="440">
        <v>206.32</v>
      </c>
      <c r="O14" s="440">
        <v>209.32</v>
      </c>
      <c r="P14" s="437">
        <v>172.72</v>
      </c>
      <c r="Q14" s="440">
        <v>216.62</v>
      </c>
    </row>
    <row r="15" spans="1:17" s="409" customFormat="1" ht="12.95" customHeight="1">
      <c r="A15" s="386" t="s">
        <v>820</v>
      </c>
      <c r="B15" s="39">
        <v>231.85</v>
      </c>
      <c r="C15" s="40">
        <v>5.57</v>
      </c>
      <c r="D15" s="40">
        <v>5.66</v>
      </c>
      <c r="E15" s="39">
        <v>250.64</v>
      </c>
      <c r="F15" s="40">
        <v>5.56</v>
      </c>
      <c r="G15" s="39">
        <v>4.54</v>
      </c>
      <c r="H15" s="39">
        <v>207.75</v>
      </c>
      <c r="I15" s="40">
        <v>5.58</v>
      </c>
      <c r="J15" s="40">
        <v>7.38</v>
      </c>
      <c r="K15" s="39">
        <v>242.88</v>
      </c>
      <c r="L15" s="40">
        <v>190.65</v>
      </c>
      <c r="M15" s="39">
        <v>234.23</v>
      </c>
      <c r="N15" s="40">
        <v>206.38</v>
      </c>
      <c r="O15" s="40">
        <v>209.42</v>
      </c>
      <c r="P15" s="39">
        <v>172.76</v>
      </c>
      <c r="Q15" s="40">
        <v>216.65</v>
      </c>
    </row>
    <row r="16" spans="1:17" s="409" customFormat="1" ht="12.95" customHeight="1">
      <c r="A16" s="491" t="s">
        <v>821</v>
      </c>
      <c r="B16" s="437">
        <v>231.18</v>
      </c>
      <c r="C16" s="440">
        <v>5.38</v>
      </c>
      <c r="D16" s="440">
        <v>5.6</v>
      </c>
      <c r="E16" s="437">
        <v>249.41</v>
      </c>
      <c r="F16" s="440">
        <v>5.41</v>
      </c>
      <c r="G16" s="437">
        <v>4.5199999999999996</v>
      </c>
      <c r="H16" s="437">
        <v>207.81</v>
      </c>
      <c r="I16" s="440">
        <v>5.33</v>
      </c>
      <c r="J16" s="440">
        <v>7.27</v>
      </c>
      <c r="K16" s="437">
        <v>242.94</v>
      </c>
      <c r="L16" s="440">
        <v>190.68</v>
      </c>
      <c r="M16" s="437">
        <v>234.31</v>
      </c>
      <c r="N16" s="440">
        <v>206.42</v>
      </c>
      <c r="O16" s="440">
        <v>209.51</v>
      </c>
      <c r="P16" s="440">
        <v>172.8</v>
      </c>
      <c r="Q16" s="440">
        <v>216.74</v>
      </c>
    </row>
    <row r="17" spans="1:17" s="409" customFormat="1" ht="12.95" customHeight="1">
      <c r="A17" s="386" t="s">
        <v>814</v>
      </c>
      <c r="B17" s="39">
        <v>231.53</v>
      </c>
      <c r="C17" s="40">
        <v>5.03</v>
      </c>
      <c r="D17" s="40">
        <v>5.51</v>
      </c>
      <c r="E17" s="39">
        <v>249.29</v>
      </c>
      <c r="F17" s="40">
        <v>5.38</v>
      </c>
      <c r="G17" s="40">
        <v>4.51</v>
      </c>
      <c r="H17" s="39">
        <v>208.76</v>
      </c>
      <c r="I17" s="40">
        <v>4.49</v>
      </c>
      <c r="J17" s="40">
        <v>7.05</v>
      </c>
      <c r="K17" s="39">
        <v>243.49</v>
      </c>
      <c r="L17" s="40">
        <v>190.87</v>
      </c>
      <c r="M17" s="39">
        <v>236.54</v>
      </c>
      <c r="N17" s="40">
        <v>206.83</v>
      </c>
      <c r="O17" s="40">
        <v>211.61</v>
      </c>
      <c r="P17" s="39">
        <v>172.91</v>
      </c>
      <c r="Q17" s="40">
        <v>219.53</v>
      </c>
    </row>
    <row r="18" spans="1:17" s="409" customFormat="1" ht="12.95" customHeight="1">
      <c r="A18" s="491" t="s">
        <v>822</v>
      </c>
      <c r="B18" s="437">
        <v>234.34</v>
      </c>
      <c r="C18" s="440">
        <v>5.15</v>
      </c>
      <c r="D18" s="440">
        <v>5.44</v>
      </c>
      <c r="E18" s="437">
        <v>251.86</v>
      </c>
      <c r="F18" s="440">
        <v>6.53</v>
      </c>
      <c r="G18" s="440">
        <v>4.7</v>
      </c>
      <c r="H18" s="437">
        <v>211.88</v>
      </c>
      <c r="I18" s="440">
        <v>3.1</v>
      </c>
      <c r="J18" s="440">
        <v>6.57</v>
      </c>
      <c r="K18" s="437">
        <v>243.72</v>
      </c>
      <c r="L18" s="440">
        <v>196.92</v>
      </c>
      <c r="M18" s="437">
        <v>237.24</v>
      </c>
      <c r="N18" s="440">
        <v>206.9</v>
      </c>
      <c r="O18" s="440">
        <v>212.14</v>
      </c>
      <c r="P18" s="440">
        <v>182.2</v>
      </c>
      <c r="Q18" s="440">
        <v>219.22</v>
      </c>
    </row>
    <row r="19" spans="1:17" s="409" customFormat="1" ht="12.95" customHeight="1">
      <c r="A19" s="386" t="s">
        <v>823</v>
      </c>
      <c r="B19" s="40">
        <v>234.4</v>
      </c>
      <c r="C19" s="40">
        <v>5.31</v>
      </c>
      <c r="D19" s="40">
        <v>5.41</v>
      </c>
      <c r="E19" s="39">
        <v>251.93</v>
      </c>
      <c r="F19" s="40">
        <v>6.84</v>
      </c>
      <c r="G19" s="40">
        <v>4.95</v>
      </c>
      <c r="H19" s="39">
        <v>211.92</v>
      </c>
      <c r="I19" s="40">
        <v>3.07</v>
      </c>
      <c r="J19" s="40">
        <v>6.11</v>
      </c>
      <c r="K19" s="39">
        <v>243.73</v>
      </c>
      <c r="L19" s="40">
        <v>196.93</v>
      </c>
      <c r="M19" s="39">
        <v>237.29</v>
      </c>
      <c r="N19" s="40">
        <v>207</v>
      </c>
      <c r="O19" s="40">
        <v>212.19</v>
      </c>
      <c r="P19" s="40">
        <v>182.29</v>
      </c>
      <c r="Q19" s="40">
        <v>219.25</v>
      </c>
    </row>
    <row r="20" spans="1:17" s="409" customFormat="1" ht="12.95" customHeight="1">
      <c r="A20" s="491" t="s">
        <v>815</v>
      </c>
      <c r="B20" s="440">
        <v>235.29</v>
      </c>
      <c r="C20" s="440">
        <v>5.39</v>
      </c>
      <c r="D20" s="440">
        <v>5.39</v>
      </c>
      <c r="E20" s="437">
        <v>253.32</v>
      </c>
      <c r="F20" s="440">
        <v>6.89</v>
      </c>
      <c r="G20" s="440">
        <v>5.2</v>
      </c>
      <c r="H20" s="437">
        <v>212.18</v>
      </c>
      <c r="I20" s="440">
        <v>3.18</v>
      </c>
      <c r="J20" s="440">
        <v>5.67</v>
      </c>
      <c r="K20" s="437">
        <v>243.87</v>
      </c>
      <c r="L20" s="440">
        <v>197.51</v>
      </c>
      <c r="M20" s="437">
        <v>237.41</v>
      </c>
      <c r="N20" s="440">
        <v>207.03</v>
      </c>
      <c r="O20" s="440">
        <v>212.27</v>
      </c>
      <c r="P20" s="440">
        <v>182.4</v>
      </c>
      <c r="Q20" s="440">
        <v>219.31</v>
      </c>
    </row>
    <row r="21" spans="1:17" s="409" customFormat="1" ht="12.95" customHeight="1">
      <c r="A21" s="386" t="s">
        <v>824</v>
      </c>
      <c r="B21" s="40">
        <v>235.58</v>
      </c>
      <c r="C21" s="40">
        <v>5.47</v>
      </c>
      <c r="D21" s="40">
        <v>5.38</v>
      </c>
      <c r="E21" s="39">
        <v>253.6</v>
      </c>
      <c r="F21" s="40">
        <v>6.94</v>
      </c>
      <c r="G21" s="40">
        <v>5.46</v>
      </c>
      <c r="H21" s="39">
        <v>212.48</v>
      </c>
      <c r="I21" s="40">
        <v>3.3</v>
      </c>
      <c r="J21" s="40">
        <v>5.25</v>
      </c>
      <c r="K21" s="39">
        <v>245.09</v>
      </c>
      <c r="L21" s="40">
        <v>197.55</v>
      </c>
      <c r="M21" s="39">
        <v>237.81</v>
      </c>
      <c r="N21" s="40">
        <v>207.13</v>
      </c>
      <c r="O21" s="40">
        <v>212.51</v>
      </c>
      <c r="P21" s="40">
        <v>182.42</v>
      </c>
      <c r="Q21" s="40">
        <v>219.4</v>
      </c>
    </row>
    <row r="22" spans="1:17" s="409" customFormat="1" ht="12.95" customHeight="1">
      <c r="A22" s="491" t="s">
        <v>825</v>
      </c>
      <c r="B22" s="440">
        <v>232.83</v>
      </c>
      <c r="C22" s="440">
        <v>5.76</v>
      </c>
      <c r="D22" s="440">
        <v>5.41</v>
      </c>
      <c r="E22" s="437">
        <v>248.94</v>
      </c>
      <c r="F22" s="440">
        <v>7.37</v>
      </c>
      <c r="G22" s="440">
        <v>5.75</v>
      </c>
      <c r="H22" s="437">
        <v>212.18</v>
      </c>
      <c r="I22" s="440">
        <v>3.44</v>
      </c>
      <c r="J22" s="440">
        <v>4.8899999999999997</v>
      </c>
      <c r="K22" s="437">
        <v>244.93</v>
      </c>
      <c r="L22" s="440">
        <v>197.61</v>
      </c>
      <c r="M22" s="437">
        <v>237.09</v>
      </c>
      <c r="N22" s="440">
        <v>207.14</v>
      </c>
      <c r="O22" s="440">
        <v>212.58</v>
      </c>
      <c r="P22" s="440">
        <v>182.45</v>
      </c>
      <c r="Q22" s="440">
        <v>216.84</v>
      </c>
    </row>
    <row r="23" spans="1:17" s="409" customFormat="1" ht="12.95" customHeight="1">
      <c r="A23" s="386" t="s">
        <v>816</v>
      </c>
      <c r="B23" s="40">
        <v>233.86</v>
      </c>
      <c r="C23" s="40">
        <v>5.94</v>
      </c>
      <c r="D23" s="40">
        <v>5.44</v>
      </c>
      <c r="E23" s="39">
        <v>250.35</v>
      </c>
      <c r="F23" s="40">
        <v>7.51</v>
      </c>
      <c r="G23" s="40">
        <v>6.02</v>
      </c>
      <c r="H23" s="39">
        <v>212.72</v>
      </c>
      <c r="I23" s="40">
        <v>3.67</v>
      </c>
      <c r="J23" s="40">
        <v>4.57</v>
      </c>
      <c r="K23" s="39">
        <v>246.27</v>
      </c>
      <c r="L23" s="40">
        <v>198.27</v>
      </c>
      <c r="M23" s="39">
        <v>237.67</v>
      </c>
      <c r="N23" s="40">
        <v>207.24</v>
      </c>
      <c r="O23" s="40">
        <v>212.8</v>
      </c>
      <c r="P23" s="40">
        <v>182.47</v>
      </c>
      <c r="Q23" s="40">
        <v>216.88</v>
      </c>
    </row>
    <row r="24" spans="1:17" s="409" customFormat="1" ht="12.95" customHeight="1">
      <c r="A24" s="548" t="s">
        <v>2268</v>
      </c>
      <c r="B24" s="445">
        <f>AVERAGE(B25:B36)</f>
        <v>245.22416666666666</v>
      </c>
      <c r="C24" s="445">
        <f>C36</f>
        <v>5.54</v>
      </c>
      <c r="D24" s="445">
        <f>D36</f>
        <v>5.78</v>
      </c>
      <c r="E24" s="445">
        <f>AVERAGE(E25:E36)</f>
        <v>266.63833333333332</v>
      </c>
      <c r="F24" s="445">
        <f>F36</f>
        <v>5.98</v>
      </c>
      <c r="G24" s="445">
        <f>G36</f>
        <v>7.13</v>
      </c>
      <c r="H24" s="445">
        <f>AVERAGE(H25:H36)</f>
        <v>217.76500000000001</v>
      </c>
      <c r="I24" s="445">
        <f>I36</f>
        <v>4.87</v>
      </c>
      <c r="J24" s="445">
        <f>J36</f>
        <v>3.74</v>
      </c>
      <c r="K24" s="445">
        <f t="shared" ref="K24:Q24" si="1">AVERAGE(K25:K36)</f>
        <v>255.23666666666665</v>
      </c>
      <c r="L24" s="445">
        <f t="shared" si="1"/>
        <v>200.24833333333333</v>
      </c>
      <c r="M24" s="445">
        <f t="shared" si="1"/>
        <v>249.67583333333332</v>
      </c>
      <c r="N24" s="445">
        <f t="shared" si="1"/>
        <v>209.2775</v>
      </c>
      <c r="O24" s="445">
        <f t="shared" si="1"/>
        <v>218.79666666666665</v>
      </c>
      <c r="P24" s="445">
        <f t="shared" si="1"/>
        <v>183.64916666666667</v>
      </c>
      <c r="Q24" s="445">
        <f t="shared" si="1"/>
        <v>223.80666666666664</v>
      </c>
    </row>
    <row r="25" spans="1:17" s="409" customFormat="1" ht="12.95" customHeight="1">
      <c r="A25" s="386" t="s">
        <v>2071</v>
      </c>
      <c r="B25" s="40">
        <v>236.61</v>
      </c>
      <c r="C25" s="40">
        <v>5.57</v>
      </c>
      <c r="D25" s="40">
        <v>5.45</v>
      </c>
      <c r="E25" s="40">
        <v>254.2</v>
      </c>
      <c r="F25" s="40">
        <v>6.95</v>
      </c>
      <c r="G25" s="40">
        <v>6.23</v>
      </c>
      <c r="H25" s="39">
        <v>214.05</v>
      </c>
      <c r="I25" s="40">
        <v>3.53</v>
      </c>
      <c r="J25" s="40">
        <v>4.29</v>
      </c>
      <c r="K25" s="39">
        <v>246.77</v>
      </c>
      <c r="L25" s="40">
        <v>199.5</v>
      </c>
      <c r="M25" s="39">
        <v>241.75</v>
      </c>
      <c r="N25" s="40">
        <v>207.58</v>
      </c>
      <c r="O25" s="40">
        <v>215.24</v>
      </c>
      <c r="P25" s="40">
        <v>182.62</v>
      </c>
      <c r="Q25" s="40">
        <v>217.15</v>
      </c>
    </row>
    <row r="26" spans="1:17" ht="12.95" customHeight="1">
      <c r="A26" s="491" t="s">
        <v>819</v>
      </c>
      <c r="B26" s="440">
        <v>239.92</v>
      </c>
      <c r="C26" s="440">
        <v>5.89</v>
      </c>
      <c r="D26" s="440">
        <v>5.5</v>
      </c>
      <c r="E26" s="440">
        <v>259.60000000000002</v>
      </c>
      <c r="F26" s="440">
        <v>7.32</v>
      </c>
      <c r="G26" s="440">
        <v>6.48</v>
      </c>
      <c r="H26" s="437">
        <v>214.68</v>
      </c>
      <c r="I26" s="440">
        <v>3.75</v>
      </c>
      <c r="J26" s="440">
        <v>4.03</v>
      </c>
      <c r="K26" s="437">
        <v>247.67</v>
      </c>
      <c r="L26" s="440">
        <v>199.1</v>
      </c>
      <c r="M26" s="440">
        <v>244</v>
      </c>
      <c r="N26" s="440">
        <v>207.67</v>
      </c>
      <c r="O26" s="440">
        <v>216.38</v>
      </c>
      <c r="P26" s="440">
        <v>182.81</v>
      </c>
      <c r="Q26" s="440">
        <v>219.51</v>
      </c>
    </row>
    <row r="27" spans="1:17" ht="12.95" customHeight="1">
      <c r="A27" s="386" t="s">
        <v>813</v>
      </c>
      <c r="B27" s="40">
        <v>244.36</v>
      </c>
      <c r="C27" s="40">
        <v>6.12</v>
      </c>
      <c r="D27" s="40">
        <v>5.55</v>
      </c>
      <c r="E27" s="40">
        <v>267.38</v>
      </c>
      <c r="F27" s="40">
        <v>7.87</v>
      </c>
      <c r="G27" s="40">
        <v>6.72</v>
      </c>
      <c r="H27" s="39">
        <v>214.84</v>
      </c>
      <c r="I27" s="40">
        <v>3.44</v>
      </c>
      <c r="J27" s="40">
        <v>3.81</v>
      </c>
      <c r="K27" s="39">
        <v>247.78</v>
      </c>
      <c r="L27" s="40">
        <v>199.16</v>
      </c>
      <c r="M27" s="39">
        <v>244.12</v>
      </c>
      <c r="N27" s="40">
        <v>207.84</v>
      </c>
      <c r="O27" s="40">
        <v>216.44</v>
      </c>
      <c r="P27" s="40">
        <v>182.87</v>
      </c>
      <c r="Q27" s="40">
        <v>220.48</v>
      </c>
    </row>
    <row r="28" spans="1:17" ht="12.95" customHeight="1">
      <c r="A28" s="491" t="s">
        <v>820</v>
      </c>
      <c r="B28" s="440">
        <v>245.86</v>
      </c>
      <c r="C28" s="440">
        <v>6.04</v>
      </c>
      <c r="D28" s="440">
        <v>5.59</v>
      </c>
      <c r="E28" s="440">
        <v>269.73</v>
      </c>
      <c r="F28" s="440">
        <v>7.62</v>
      </c>
      <c r="G28" s="440">
        <v>6.89</v>
      </c>
      <c r="H28" s="437">
        <v>215.26</v>
      </c>
      <c r="I28" s="440">
        <v>3.61</v>
      </c>
      <c r="J28" s="440">
        <v>3.65</v>
      </c>
      <c r="K28" s="437">
        <v>248.03</v>
      </c>
      <c r="L28" s="440">
        <v>199.21</v>
      </c>
      <c r="M28" s="437">
        <v>247.01</v>
      </c>
      <c r="N28" s="440">
        <v>207.92</v>
      </c>
      <c r="O28" s="440">
        <v>216.59</v>
      </c>
      <c r="P28" s="440">
        <v>182.97</v>
      </c>
      <c r="Q28" s="440">
        <v>220.61</v>
      </c>
    </row>
    <row r="29" spans="1:17" s="253" customFormat="1" ht="12.95" customHeight="1">
      <c r="A29" s="386" t="s">
        <v>821</v>
      </c>
      <c r="B29" s="40">
        <v>244.85</v>
      </c>
      <c r="C29" s="40">
        <v>5.91</v>
      </c>
      <c r="D29" s="40">
        <v>5.64</v>
      </c>
      <c r="E29" s="40">
        <v>267.10000000000002</v>
      </c>
      <c r="F29" s="40">
        <v>7.09</v>
      </c>
      <c r="G29" s="40">
        <v>7.03</v>
      </c>
      <c r="H29" s="39">
        <v>216.33</v>
      </c>
      <c r="I29" s="40">
        <v>4.0999999999999996</v>
      </c>
      <c r="J29" s="40">
        <v>3.56</v>
      </c>
      <c r="K29" s="39">
        <v>249.62</v>
      </c>
      <c r="L29" s="40">
        <v>199.41</v>
      </c>
      <c r="M29" s="39">
        <v>249.66</v>
      </c>
      <c r="N29" s="40">
        <v>208.32</v>
      </c>
      <c r="O29" s="40">
        <v>217.68</v>
      </c>
      <c r="P29" s="40">
        <v>183.07</v>
      </c>
      <c r="Q29" s="40">
        <v>223.89</v>
      </c>
    </row>
    <row r="30" spans="1:17" ht="12.95" customHeight="1">
      <c r="A30" s="491" t="s">
        <v>814</v>
      </c>
      <c r="B30" s="440">
        <v>245.03</v>
      </c>
      <c r="C30" s="440">
        <v>5.83</v>
      </c>
      <c r="D30" s="440">
        <v>5.7</v>
      </c>
      <c r="E30" s="440">
        <v>267.06</v>
      </c>
      <c r="F30" s="440">
        <v>7.13</v>
      </c>
      <c r="G30" s="440">
        <v>7.17</v>
      </c>
      <c r="H30" s="437">
        <v>216.79</v>
      </c>
      <c r="I30" s="440">
        <v>3.85</v>
      </c>
      <c r="J30" s="440">
        <v>3.5</v>
      </c>
      <c r="K30" s="437">
        <v>249.92</v>
      </c>
      <c r="L30" s="440">
        <v>199.98</v>
      </c>
      <c r="M30" s="437">
        <v>250.06</v>
      </c>
      <c r="N30" s="440">
        <v>208.83</v>
      </c>
      <c r="O30" s="440">
        <v>217.89</v>
      </c>
      <c r="P30" s="440">
        <v>183.69</v>
      </c>
      <c r="Q30" s="440">
        <v>224.44</v>
      </c>
    </row>
    <row r="31" spans="1:17" s="253" customFormat="1" ht="12.95" customHeight="1">
      <c r="A31" s="386" t="s">
        <v>822</v>
      </c>
      <c r="B31" s="40">
        <v>248.13</v>
      </c>
      <c r="C31" s="40">
        <v>5.88</v>
      </c>
      <c r="D31" s="40">
        <v>5.7633200488242498</v>
      </c>
      <c r="E31" s="40">
        <v>271.05</v>
      </c>
      <c r="F31" s="40">
        <v>7.62</v>
      </c>
      <c r="G31" s="40">
        <v>7.2647364759208521</v>
      </c>
      <c r="H31" s="39">
        <v>218.73</v>
      </c>
      <c r="I31" s="40">
        <v>3.23</v>
      </c>
      <c r="J31" s="40">
        <v>3.5141095603741013</v>
      </c>
      <c r="K31" s="39">
        <v>259.67</v>
      </c>
      <c r="L31" s="40">
        <v>200.65</v>
      </c>
      <c r="M31" s="39">
        <v>250.87</v>
      </c>
      <c r="N31" s="40">
        <v>209.09</v>
      </c>
      <c r="O31" s="40">
        <v>218.22</v>
      </c>
      <c r="P31" s="40">
        <v>184</v>
      </c>
      <c r="Q31" s="40">
        <v>224.61</v>
      </c>
    </row>
    <row r="32" spans="1:17" ht="12.95" customHeight="1">
      <c r="A32" s="491" t="s">
        <v>823</v>
      </c>
      <c r="B32" s="440">
        <v>247.81</v>
      </c>
      <c r="C32" s="440">
        <v>5.72</v>
      </c>
      <c r="D32" s="440">
        <v>5.7965868408144328</v>
      </c>
      <c r="E32" s="440">
        <v>270.25</v>
      </c>
      <c r="F32" s="440">
        <v>7.27</v>
      </c>
      <c r="G32" s="440">
        <v>7.2999801333123449</v>
      </c>
      <c r="H32" s="437">
        <v>219.04</v>
      </c>
      <c r="I32" s="440">
        <v>3.36</v>
      </c>
      <c r="J32" s="440">
        <v>3.5377235413362795</v>
      </c>
      <c r="K32" s="437">
        <v>259.98</v>
      </c>
      <c r="L32" s="440">
        <v>200.69</v>
      </c>
      <c r="M32" s="437">
        <v>251.08</v>
      </c>
      <c r="N32" s="440">
        <v>209.58</v>
      </c>
      <c r="O32" s="440">
        <v>219.29</v>
      </c>
      <c r="P32" s="440">
        <v>184.21</v>
      </c>
      <c r="Q32" s="440">
        <v>224.83</v>
      </c>
    </row>
    <row r="33" spans="1:17" s="253" customFormat="1" ht="12.95" customHeight="1">
      <c r="A33" s="386" t="s">
        <v>815</v>
      </c>
      <c r="B33" s="40">
        <v>248.65</v>
      </c>
      <c r="C33" s="40">
        <v>5.68</v>
      </c>
      <c r="D33" s="40">
        <v>5.8192592808566257</v>
      </c>
      <c r="E33" s="40">
        <v>271.27</v>
      </c>
      <c r="F33" s="40">
        <v>7.09</v>
      </c>
      <c r="G33" s="40">
        <v>7.3145558776342989</v>
      </c>
      <c r="H33" s="39">
        <v>219.64</v>
      </c>
      <c r="I33" s="40">
        <v>3.52</v>
      </c>
      <c r="J33" s="40">
        <v>3.5652943319627095</v>
      </c>
      <c r="K33" s="39">
        <v>260.22000000000003</v>
      </c>
      <c r="L33" s="40">
        <v>200.75</v>
      </c>
      <c r="M33" s="39">
        <v>253.21</v>
      </c>
      <c r="N33" s="40">
        <v>210.47</v>
      </c>
      <c r="O33" s="40">
        <v>219.94</v>
      </c>
      <c r="P33" s="40">
        <v>184.27</v>
      </c>
      <c r="Q33" s="40">
        <v>226.55</v>
      </c>
    </row>
    <row r="34" spans="1:17" s="253" customFormat="1" ht="12.95" customHeight="1">
      <c r="A34" s="491" t="s">
        <v>824</v>
      </c>
      <c r="B34" s="440">
        <v>248.85</v>
      </c>
      <c r="C34" s="440">
        <v>5.63</v>
      </c>
      <c r="D34" s="440">
        <v>5.8319394201079122</v>
      </c>
      <c r="E34" s="440">
        <v>271.42</v>
      </c>
      <c r="F34" s="440">
        <v>7.03</v>
      </c>
      <c r="G34" s="440">
        <v>7.3202043194320554</v>
      </c>
      <c r="H34" s="440">
        <v>219.9</v>
      </c>
      <c r="I34" s="440">
        <v>3.49</v>
      </c>
      <c r="J34" s="440">
        <v>3.5811968200856859</v>
      </c>
      <c r="K34" s="437">
        <v>260.33</v>
      </c>
      <c r="L34" s="440">
        <v>200.86</v>
      </c>
      <c r="M34" s="437">
        <v>254.08</v>
      </c>
      <c r="N34" s="440">
        <v>210.78</v>
      </c>
      <c r="O34" s="440">
        <v>220.47</v>
      </c>
      <c r="P34" s="440">
        <v>184.31</v>
      </c>
      <c r="Q34" s="440">
        <v>226.72</v>
      </c>
    </row>
    <row r="35" spans="1:17" s="253" customFormat="1" ht="12.95" customHeight="1">
      <c r="A35" s="386" t="s">
        <v>825</v>
      </c>
      <c r="B35" s="40">
        <v>245.8</v>
      </c>
      <c r="C35" s="40">
        <v>5.57</v>
      </c>
      <c r="D35" s="40">
        <v>5.82</v>
      </c>
      <c r="E35" s="40">
        <v>265.27</v>
      </c>
      <c r="F35" s="40">
        <v>6.56</v>
      </c>
      <c r="G35" s="40">
        <v>7.25</v>
      </c>
      <c r="H35" s="40">
        <v>220.83</v>
      </c>
      <c r="I35" s="40">
        <v>4.08</v>
      </c>
      <c r="J35" s="40">
        <v>3.63</v>
      </c>
      <c r="K35" s="39">
        <v>261.92</v>
      </c>
      <c r="L35" s="40">
        <v>201.61</v>
      </c>
      <c r="M35" s="39">
        <v>254.88</v>
      </c>
      <c r="N35" s="40">
        <v>211.45</v>
      </c>
      <c r="O35" s="40">
        <v>221.55</v>
      </c>
      <c r="P35" s="40">
        <v>184.4</v>
      </c>
      <c r="Q35" s="40">
        <v>228.29</v>
      </c>
    </row>
    <row r="36" spans="1:17" s="253" customFormat="1" ht="12.95" customHeight="1">
      <c r="A36" s="491" t="s">
        <v>816</v>
      </c>
      <c r="B36" s="440">
        <v>246.82</v>
      </c>
      <c r="C36" s="440">
        <v>5.54</v>
      </c>
      <c r="D36" s="440">
        <v>5.78</v>
      </c>
      <c r="E36" s="440">
        <v>265.33</v>
      </c>
      <c r="F36" s="440">
        <v>5.98</v>
      </c>
      <c r="G36" s="440">
        <v>7.13</v>
      </c>
      <c r="H36" s="440">
        <v>223.09</v>
      </c>
      <c r="I36" s="440">
        <v>4.87</v>
      </c>
      <c r="J36" s="440">
        <v>3.74</v>
      </c>
      <c r="K36" s="437">
        <v>270.93</v>
      </c>
      <c r="L36" s="440">
        <v>202.06</v>
      </c>
      <c r="M36" s="437">
        <v>255.39</v>
      </c>
      <c r="N36" s="440">
        <v>211.8</v>
      </c>
      <c r="O36" s="440">
        <v>225.87</v>
      </c>
      <c r="P36" s="440">
        <v>184.57</v>
      </c>
      <c r="Q36" s="440">
        <v>228.6</v>
      </c>
    </row>
    <row r="37" spans="1:17" s="253" customFormat="1" ht="12.95" customHeight="1">
      <c r="A37" s="550" t="s">
        <v>2524</v>
      </c>
      <c r="B37" s="40"/>
      <c r="C37" s="40"/>
      <c r="D37" s="40"/>
      <c r="E37" s="40"/>
      <c r="F37" s="40"/>
      <c r="G37" s="40"/>
      <c r="H37" s="40"/>
      <c r="I37" s="40"/>
      <c r="J37" s="40"/>
      <c r="K37" s="39"/>
      <c r="L37" s="40"/>
      <c r="M37" s="39"/>
      <c r="N37" s="40"/>
      <c r="O37" s="40"/>
      <c r="P37" s="40"/>
      <c r="Q37" s="40"/>
    </row>
    <row r="38" spans="1:17" s="253" customFormat="1" ht="12.95" customHeight="1">
      <c r="A38" s="491" t="s">
        <v>2071</v>
      </c>
      <c r="B38" s="440">
        <v>249.65</v>
      </c>
      <c r="C38" s="440">
        <v>5.51</v>
      </c>
      <c r="D38" s="440">
        <v>5.78</v>
      </c>
      <c r="E38" s="440">
        <v>269.91000000000003</v>
      </c>
      <c r="F38" s="440">
        <v>6.18</v>
      </c>
      <c r="G38" s="440">
        <v>7.06</v>
      </c>
      <c r="H38" s="440">
        <v>223.66</v>
      </c>
      <c r="I38" s="440">
        <v>4.49</v>
      </c>
      <c r="J38" s="440">
        <v>3.82</v>
      </c>
      <c r="K38" s="437">
        <v>270.94</v>
      </c>
      <c r="L38" s="440">
        <v>202.11</v>
      </c>
      <c r="M38" s="437">
        <v>255.79</v>
      </c>
      <c r="N38" s="440">
        <v>211.96</v>
      </c>
      <c r="O38" s="440">
        <v>226.6</v>
      </c>
      <c r="P38" s="440">
        <v>184.71</v>
      </c>
      <c r="Q38" s="440">
        <v>233.1</v>
      </c>
    </row>
    <row r="39" spans="1:17" s="253" customFormat="1" ht="12.95" customHeight="1">
      <c r="A39" s="386" t="s">
        <v>819</v>
      </c>
      <c r="B39" s="40">
        <v>253.07</v>
      </c>
      <c r="C39" s="40">
        <v>5.48</v>
      </c>
      <c r="D39" s="40">
        <v>5.74</v>
      </c>
      <c r="E39" s="40">
        <v>275.08999999999997</v>
      </c>
      <c r="F39" s="40">
        <v>5.97</v>
      </c>
      <c r="G39" s="40">
        <v>6.95</v>
      </c>
      <c r="H39" s="40">
        <v>224.84</v>
      </c>
      <c r="I39" s="40">
        <v>4.7300000000000004</v>
      </c>
      <c r="J39" s="40">
        <v>3.9</v>
      </c>
      <c r="K39" s="39">
        <v>272.39</v>
      </c>
      <c r="L39" s="40">
        <v>202.59</v>
      </c>
      <c r="M39" s="39">
        <v>257.76</v>
      </c>
      <c r="N39" s="40">
        <v>213.34</v>
      </c>
      <c r="O39" s="40">
        <v>229.48</v>
      </c>
      <c r="P39" s="40">
        <v>184.82</v>
      </c>
      <c r="Q39" s="40">
        <v>233.94</v>
      </c>
    </row>
    <row r="40" spans="1:17" s="253" customFormat="1" ht="12.95" customHeight="1">
      <c r="A40" s="491" t="s">
        <v>813</v>
      </c>
      <c r="B40" s="440">
        <v>257.62</v>
      </c>
      <c r="C40" s="440">
        <v>5.43</v>
      </c>
      <c r="D40" s="440">
        <v>5.68</v>
      </c>
      <c r="E40" s="440">
        <v>281.86</v>
      </c>
      <c r="F40" s="440">
        <v>5.42</v>
      </c>
      <c r="G40" s="440">
        <v>6.74</v>
      </c>
      <c r="H40" s="440">
        <v>226.54</v>
      </c>
      <c r="I40" s="440">
        <v>5.45</v>
      </c>
      <c r="J40" s="440">
        <v>4.07</v>
      </c>
      <c r="K40" s="437">
        <v>273.56</v>
      </c>
      <c r="L40" s="440">
        <v>203.56</v>
      </c>
      <c r="M40" s="437">
        <v>262.51</v>
      </c>
      <c r="N40" s="440">
        <v>214.29</v>
      </c>
      <c r="O40" s="440">
        <v>232.09</v>
      </c>
      <c r="P40" s="440">
        <v>185.01</v>
      </c>
      <c r="Q40" s="440">
        <v>236.64</v>
      </c>
    </row>
    <row r="41" spans="1:17" s="253" customFormat="1" ht="12.95" customHeight="1">
      <c r="A41" s="386" t="s">
        <v>820</v>
      </c>
      <c r="B41" s="40">
        <v>259.13</v>
      </c>
      <c r="C41" s="40">
        <v>5.4</v>
      </c>
      <c r="D41" s="40">
        <v>5.63</v>
      </c>
      <c r="E41" s="40">
        <v>283.44</v>
      </c>
      <c r="F41" s="40">
        <v>5.08</v>
      </c>
      <c r="G41" s="40">
        <v>6.52</v>
      </c>
      <c r="H41" s="40">
        <v>227.96</v>
      </c>
      <c r="I41" s="40">
        <v>5.9</v>
      </c>
      <c r="J41" s="40">
        <v>4.26</v>
      </c>
      <c r="K41" s="39">
        <v>275.01</v>
      </c>
      <c r="L41" s="40">
        <v>204.49</v>
      </c>
      <c r="M41" s="40">
        <v>265.5</v>
      </c>
      <c r="N41" s="40">
        <v>214.82</v>
      </c>
      <c r="O41" s="40">
        <v>234.21</v>
      </c>
      <c r="P41" s="40">
        <v>185.29</v>
      </c>
      <c r="Q41" s="40">
        <v>239.03</v>
      </c>
    </row>
    <row r="42" spans="1:17" s="253" customFormat="1" ht="12.95" customHeight="1">
      <c r="A42" s="491" t="s">
        <v>821</v>
      </c>
      <c r="B42" s="440">
        <v>258</v>
      </c>
      <c r="C42" s="440">
        <v>5.37</v>
      </c>
      <c r="D42" s="440">
        <v>5.58</v>
      </c>
      <c r="E42" s="440">
        <v>281.24</v>
      </c>
      <c r="F42" s="440">
        <v>5.29</v>
      </c>
      <c r="G42" s="440">
        <v>6.37</v>
      </c>
      <c r="H42" s="440">
        <v>228.21</v>
      </c>
      <c r="I42" s="440">
        <v>5.49</v>
      </c>
      <c r="J42" s="440">
        <v>4.38</v>
      </c>
      <c r="K42" s="437">
        <v>275.45999999999998</v>
      </c>
      <c r="L42" s="440">
        <v>204.77</v>
      </c>
      <c r="M42" s="440">
        <v>265.68</v>
      </c>
      <c r="N42" s="440">
        <v>214.91</v>
      </c>
      <c r="O42" s="440">
        <v>234.47</v>
      </c>
      <c r="P42" s="440">
        <v>185.35</v>
      </c>
      <c r="Q42" s="440">
        <v>239.18</v>
      </c>
    </row>
    <row r="43" spans="1:17" s="253" customFormat="1" ht="12.95" customHeight="1">
      <c r="A43" s="386" t="s">
        <v>814</v>
      </c>
      <c r="B43" s="40">
        <v>258.13</v>
      </c>
      <c r="C43" s="40">
        <v>5.35</v>
      </c>
      <c r="D43" s="40">
        <v>5.54</v>
      </c>
      <c r="E43" s="40">
        <v>281.17</v>
      </c>
      <c r="F43" s="40">
        <v>5.28</v>
      </c>
      <c r="G43" s="40">
        <v>6.2108449889663131</v>
      </c>
      <c r="H43" s="40">
        <v>228.6</v>
      </c>
      <c r="I43" s="40">
        <v>5.45</v>
      </c>
      <c r="J43" s="40">
        <v>4.5113456073534675</v>
      </c>
      <c r="K43" s="39">
        <v>275.85000000000002</v>
      </c>
      <c r="L43" s="40">
        <v>205.26</v>
      </c>
      <c r="M43" s="40">
        <v>265.97000000000003</v>
      </c>
      <c r="N43" s="40">
        <v>215.17</v>
      </c>
      <c r="O43" s="40">
        <v>235.17</v>
      </c>
      <c r="P43" s="40">
        <v>185.41</v>
      </c>
      <c r="Q43" s="40">
        <v>239.33</v>
      </c>
    </row>
    <row r="44" spans="1:17" s="253" customFormat="1" ht="12.95" customHeight="1">
      <c r="A44" s="491" t="s">
        <v>822</v>
      </c>
      <c r="B44" s="440">
        <v>261.58</v>
      </c>
      <c r="C44" s="440">
        <v>5.42</v>
      </c>
      <c r="D44" s="440">
        <v>5.51</v>
      </c>
      <c r="E44" s="440">
        <v>285.5</v>
      </c>
      <c r="F44" s="440">
        <v>5.33</v>
      </c>
      <c r="G44" s="440">
        <v>6.02</v>
      </c>
      <c r="H44" s="440">
        <v>230.91</v>
      </c>
      <c r="I44" s="440">
        <v>5.57</v>
      </c>
      <c r="J44" s="440">
        <v>4.71</v>
      </c>
      <c r="K44" s="437">
        <v>277.56</v>
      </c>
      <c r="L44" s="440">
        <v>209.66</v>
      </c>
      <c r="M44" s="440">
        <v>266.24</v>
      </c>
      <c r="N44" s="440">
        <v>216.04</v>
      </c>
      <c r="O44" s="440">
        <v>235.83</v>
      </c>
      <c r="P44" s="440">
        <v>188.11</v>
      </c>
      <c r="Q44" s="440">
        <v>240.53</v>
      </c>
    </row>
    <row r="45" spans="1:17" s="253" customFormat="1" ht="12.95" customHeight="1">
      <c r="A45" s="386" t="s">
        <v>823</v>
      </c>
      <c r="B45" s="40">
        <v>261.36</v>
      </c>
      <c r="C45" s="40">
        <v>5.47</v>
      </c>
      <c r="D45" s="40">
        <v>5.49</v>
      </c>
      <c r="E45" s="40">
        <v>284.95999999999998</v>
      </c>
      <c r="F45" s="40">
        <v>5.44</v>
      </c>
      <c r="G45" s="40">
        <v>5.87</v>
      </c>
      <c r="H45" s="40">
        <v>231.1</v>
      </c>
      <c r="I45" s="40">
        <v>5.51</v>
      </c>
      <c r="J45" s="40">
        <v>4.8899999999999997</v>
      </c>
      <c r="K45" s="39">
        <v>277.68</v>
      </c>
      <c r="L45" s="40">
        <v>209.72</v>
      </c>
      <c r="M45" s="40">
        <v>266.35000000000002</v>
      </c>
      <c r="N45" s="40">
        <v>216.08</v>
      </c>
      <c r="O45" s="40">
        <v>236.23</v>
      </c>
      <c r="P45" s="40">
        <v>188.14</v>
      </c>
      <c r="Q45" s="40">
        <v>241.42</v>
      </c>
    </row>
    <row r="46" spans="1:17" s="253" customFormat="1" ht="12.95" customHeight="1">
      <c r="A46" s="491" t="s">
        <v>815</v>
      </c>
      <c r="B46" s="440">
        <v>262.45</v>
      </c>
      <c r="C46" s="440">
        <v>5.55</v>
      </c>
      <c r="D46" s="440">
        <v>5.48</v>
      </c>
      <c r="E46" s="440">
        <v>286.77999999999997</v>
      </c>
      <c r="F46" s="440">
        <v>5.72</v>
      </c>
      <c r="G46" s="440">
        <v>5.76</v>
      </c>
      <c r="H46" s="440">
        <v>231.25</v>
      </c>
      <c r="I46" s="440">
        <v>5.29</v>
      </c>
      <c r="J46" s="440">
        <v>5.03</v>
      </c>
      <c r="K46" s="437">
        <v>277.74</v>
      </c>
      <c r="L46" s="440">
        <v>209.77</v>
      </c>
      <c r="M46" s="440">
        <v>266.57</v>
      </c>
      <c r="N46" s="440">
        <v>216.18</v>
      </c>
      <c r="O46" s="440">
        <v>236.9</v>
      </c>
      <c r="P46" s="440">
        <v>188.16</v>
      </c>
      <c r="Q46" s="440">
        <v>241.46</v>
      </c>
    </row>
    <row r="47" spans="1:17" s="253" customFormat="1" ht="12.95" customHeight="1" thickBot="1">
      <c r="A47" s="745" t="s">
        <v>824</v>
      </c>
      <c r="B47" s="1682">
        <v>262.73</v>
      </c>
      <c r="C47" s="1682">
        <v>5.58</v>
      </c>
      <c r="D47" s="1682">
        <v>5.47</v>
      </c>
      <c r="E47" s="1682">
        <v>286.45999999999998</v>
      </c>
      <c r="F47" s="1682">
        <v>5.54</v>
      </c>
      <c r="G47" s="1682">
        <v>5.64</v>
      </c>
      <c r="H47" s="1682">
        <v>232.31</v>
      </c>
      <c r="I47" s="1682">
        <v>5.64</v>
      </c>
      <c r="J47" s="1682">
        <v>5.21</v>
      </c>
      <c r="K47" s="1384">
        <v>281.42</v>
      </c>
      <c r="L47" s="1682">
        <v>209.84</v>
      </c>
      <c r="M47" s="1682">
        <v>267.58999999999997</v>
      </c>
      <c r="N47" s="1682">
        <v>216.39</v>
      </c>
      <c r="O47" s="1682">
        <v>238.13</v>
      </c>
      <c r="P47" s="1682">
        <v>188.47</v>
      </c>
      <c r="Q47" s="1682">
        <v>243.07</v>
      </c>
    </row>
    <row r="48" spans="1:17">
      <c r="A48" s="268" t="s">
        <v>2454</v>
      </c>
      <c r="B48" s="149"/>
      <c r="C48" s="149"/>
      <c r="D48" s="149"/>
      <c r="E48" s="149"/>
      <c r="F48" s="149"/>
      <c r="G48" s="40"/>
      <c r="H48" s="45" t="s">
        <v>611</v>
      </c>
      <c r="I48" s="45"/>
      <c r="J48" s="45"/>
      <c r="K48" s="40"/>
      <c r="L48" s="40"/>
      <c r="M48" s="40"/>
      <c r="N48" s="40"/>
      <c r="O48" s="40"/>
      <c r="P48" s="40"/>
      <c r="Q48" s="40"/>
    </row>
    <row r="49" spans="1:17">
      <c r="A49" s="2043" t="s">
        <v>442</v>
      </c>
      <c r="B49" s="2043"/>
      <c r="C49" s="2043"/>
      <c r="D49" s="2043"/>
      <c r="E49" s="45"/>
      <c r="F49" s="45"/>
      <c r="G49" s="45"/>
      <c r="H49" s="45"/>
      <c r="I49" s="45"/>
    </row>
    <row r="50" spans="1:17">
      <c r="A50" s="45"/>
      <c r="B50" s="45"/>
      <c r="C50" s="45"/>
      <c r="D50" s="45"/>
      <c r="E50" s="1155"/>
      <c r="F50" s="1155"/>
      <c r="G50" s="1010"/>
      <c r="H50" s="1155"/>
      <c r="I50" s="216"/>
      <c r="J50" s="1010"/>
      <c r="K50" s="96"/>
      <c r="L50" s="96"/>
      <c r="M50" s="96"/>
      <c r="N50" s="96"/>
    </row>
    <row r="51" spans="1:17">
      <c r="B51" s="119"/>
      <c r="C51" s="119"/>
      <c r="D51" s="119"/>
      <c r="E51" s="119"/>
      <c r="F51" s="119"/>
      <c r="H51" s="119"/>
      <c r="I51" s="389"/>
    </row>
    <row r="52" spans="1:17">
      <c r="B52" s="119"/>
      <c r="C52" s="389"/>
      <c r="D52" s="119"/>
      <c r="E52" s="119"/>
      <c r="F52" s="389"/>
      <c r="G52" s="119"/>
      <c r="H52" s="119"/>
      <c r="I52" s="389"/>
      <c r="J52" s="119"/>
    </row>
    <row r="53" spans="1:17">
      <c r="A53" s="386"/>
      <c r="B53" s="389"/>
      <c r="C53" s="389"/>
      <c r="D53" s="389"/>
      <c r="F53" s="389"/>
      <c r="H53" s="119"/>
      <c r="I53" s="389"/>
      <c r="L53" s="389"/>
      <c r="M53" s="389"/>
      <c r="N53" s="389"/>
      <c r="O53" s="389"/>
      <c r="P53" s="389"/>
      <c r="Q53" s="389"/>
    </row>
    <row r="54" spans="1:17">
      <c r="B54" s="119"/>
      <c r="C54" s="119"/>
      <c r="D54" s="119"/>
      <c r="E54" s="119"/>
      <c r="F54" s="119"/>
      <c r="G54" s="1010"/>
      <c r="H54" s="119"/>
      <c r="I54" s="119"/>
      <c r="J54" s="1010"/>
    </row>
    <row r="55" spans="1:17">
      <c r="H55" s="119"/>
    </row>
    <row r="56" spans="1:17">
      <c r="H56" s="119"/>
    </row>
    <row r="57" spans="1:17">
      <c r="C57" s="1010"/>
      <c r="F57" s="119"/>
      <c r="I57" s="119"/>
    </row>
  </sheetData>
  <mergeCells count="29">
    <mergeCell ref="D1:J1"/>
    <mergeCell ref="H4:H5"/>
    <mergeCell ref="F3:G3"/>
    <mergeCell ref="K4:K5"/>
    <mergeCell ref="I3:J3"/>
    <mergeCell ref="C3:D3"/>
    <mergeCell ref="G4:G5"/>
    <mergeCell ref="C4:C5"/>
    <mergeCell ref="G2:J2"/>
    <mergeCell ref="E4:E5"/>
    <mergeCell ref="J4:J5"/>
    <mergeCell ref="P1:Q1"/>
    <mergeCell ref="K3:Q3"/>
    <mergeCell ref="O4:O5"/>
    <mergeCell ref="P4:P5"/>
    <mergeCell ref="K1:O1"/>
    <mergeCell ref="Q4:Q5"/>
    <mergeCell ref="L4:L5"/>
    <mergeCell ref="M4:M5"/>
    <mergeCell ref="N4:N5"/>
    <mergeCell ref="A49:D49"/>
    <mergeCell ref="D4:D5"/>
    <mergeCell ref="I4:I5"/>
    <mergeCell ref="F6:G6"/>
    <mergeCell ref="F4:F5"/>
    <mergeCell ref="A3:A5"/>
    <mergeCell ref="I6:J6"/>
    <mergeCell ref="C6:D6"/>
    <mergeCell ref="B4:B5"/>
  </mergeCells>
  <phoneticPr fontId="0" type="noConversion"/>
  <pageMargins left="0.62992125984252001" right="0.39370078740157499" top="0.511811023622047" bottom="0.511811023622047" header="0" footer="0.511811023622047"/>
  <pageSetup paperSize="448" firstPageNumber="42" orientation="portrait" useFirstPageNumber="1" r:id="rId1"/>
  <headerFooter alignWithMargins="0">
    <oddFooter>&amp;C&amp;"Times New Roman,Regular"&amp;8&amp;P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9"/>
  <dimension ref="A1:I54"/>
  <sheetViews>
    <sheetView zoomScale="140" zoomScaleNormal="140" workbookViewId="0">
      <pane xSplit="1" ySplit="5" topLeftCell="B39" activePane="bottomRight" state="frozen"/>
      <selection pane="topRight" activeCell="C1" sqref="C1"/>
      <selection pane="bottomLeft" activeCell="A7" sqref="A7"/>
      <selection pane="bottomRight" activeCell="F51" sqref="F51"/>
    </sheetView>
  </sheetViews>
  <sheetFormatPr defaultColWidth="9.140625" defaultRowHeight="12.75"/>
  <cols>
    <col min="1" max="1" width="11.42578125" style="1315" customWidth="1"/>
    <col min="2" max="2" width="16.140625" style="1315" customWidth="1"/>
    <col min="3" max="3" width="16" style="1315" customWidth="1"/>
    <col min="4" max="4" width="14.85546875" style="1315" customWidth="1"/>
    <col min="5" max="5" width="15.140625" style="1315" customWidth="1"/>
    <col min="6" max="6" width="19.42578125" style="1315" customWidth="1"/>
    <col min="7" max="7" width="21" style="1315" customWidth="1"/>
    <col min="8" max="8" width="19.42578125" style="1315" customWidth="1"/>
    <col min="9" max="9" width="15" style="1315" customWidth="1"/>
    <col min="10" max="10" width="11.5703125" style="1315" customWidth="1"/>
    <col min="11" max="11" width="11.42578125" style="1315" customWidth="1"/>
    <col min="12" max="16384" width="9.140625" style="1315"/>
  </cols>
  <sheetData>
    <row r="1" spans="1:9" s="1271" customFormat="1" ht="19.899999999999999" customHeight="1">
      <c r="A1" s="2064" t="s">
        <v>526</v>
      </c>
      <c r="B1" s="2064"/>
      <c r="C1" s="2064"/>
      <c r="D1" s="2064"/>
      <c r="E1" s="2064"/>
      <c r="F1" s="2063" t="s">
        <v>527</v>
      </c>
      <c r="G1" s="2063"/>
      <c r="H1" s="1269"/>
      <c r="I1" s="1270" t="s">
        <v>1807</v>
      </c>
    </row>
    <row r="2" spans="1:9" s="1272" customFormat="1" ht="24" customHeight="1">
      <c r="A2" s="2067" t="s">
        <v>739</v>
      </c>
      <c r="B2" s="2065" t="s">
        <v>2211</v>
      </c>
      <c r="C2" s="2065"/>
      <c r="D2" s="2065" t="s">
        <v>109</v>
      </c>
      <c r="E2" s="2065"/>
      <c r="F2" s="1764" t="s">
        <v>2379</v>
      </c>
      <c r="G2" s="2066" t="s">
        <v>2174</v>
      </c>
      <c r="H2" s="2066"/>
      <c r="I2" s="2061" t="s">
        <v>739</v>
      </c>
    </row>
    <row r="3" spans="1:9" s="1272" customFormat="1">
      <c r="A3" s="2068"/>
      <c r="B3" s="1764" t="s">
        <v>2375</v>
      </c>
      <c r="C3" s="1764" t="s">
        <v>2376</v>
      </c>
      <c r="D3" s="1764" t="s">
        <v>2377</v>
      </c>
      <c r="E3" s="1764" t="s">
        <v>2378</v>
      </c>
      <c r="F3" s="2060"/>
      <c r="G3" s="1764" t="s">
        <v>2380</v>
      </c>
      <c r="H3" s="1764" t="s">
        <v>2381</v>
      </c>
      <c r="I3" s="2061"/>
    </row>
    <row r="4" spans="1:9" s="1272" customFormat="1">
      <c r="A4" s="2068"/>
      <c r="B4" s="2060"/>
      <c r="C4" s="2060"/>
      <c r="D4" s="2060"/>
      <c r="E4" s="2060"/>
      <c r="F4" s="2060"/>
      <c r="G4" s="2060"/>
      <c r="H4" s="2060"/>
      <c r="I4" s="2061"/>
    </row>
    <row r="5" spans="1:9" s="1272" customFormat="1" ht="12.75" customHeight="1">
      <c r="A5" s="2069"/>
      <c r="B5" s="2060"/>
      <c r="C5" s="2060"/>
      <c r="D5" s="2060"/>
      <c r="E5" s="2060"/>
      <c r="F5" s="2060"/>
      <c r="G5" s="2060"/>
      <c r="H5" s="2060"/>
      <c r="I5" s="2061"/>
    </row>
    <row r="6" spans="1:9" s="1277" customFormat="1" ht="12.6" customHeight="1">
      <c r="A6" s="1273">
        <v>2008</v>
      </c>
      <c r="B6" s="1274">
        <v>3128.9166666666665</v>
      </c>
      <c r="C6" s="1274">
        <v>6691.666666666667</v>
      </c>
      <c r="D6" s="1275">
        <v>42.047499999999999</v>
      </c>
      <c r="E6" s="1274">
        <v>22825</v>
      </c>
      <c r="F6" s="1275">
        <v>113.4179864994834</v>
      </c>
      <c r="G6" s="1274">
        <v>1285</v>
      </c>
      <c r="H6" s="1274">
        <v>165.25</v>
      </c>
      <c r="I6" s="1276">
        <v>2008</v>
      </c>
    </row>
    <row r="7" spans="1:9" s="1277" customFormat="1" ht="12.6" customHeight="1">
      <c r="A7" s="1278">
        <v>2009</v>
      </c>
      <c r="B7" s="1279">
        <v>3756.3333333333335</v>
      </c>
      <c r="C7" s="1279">
        <v>7758.333333333333</v>
      </c>
      <c r="D7" s="1280">
        <v>35.204166666666673</v>
      </c>
      <c r="E7" s="1279">
        <v>23980.833333333332</v>
      </c>
      <c r="F7" s="1280">
        <v>128.69797063195713</v>
      </c>
      <c r="G7" s="1279">
        <v>586.66666666666663</v>
      </c>
      <c r="H7" s="1279">
        <v>90.25</v>
      </c>
      <c r="I7" s="1281">
        <v>2009</v>
      </c>
    </row>
    <row r="8" spans="1:9" s="1277" customFormat="1" ht="12.6" customHeight="1">
      <c r="A8" s="1273">
        <v>2010</v>
      </c>
      <c r="B8" s="1274">
        <v>6190.916666666667</v>
      </c>
      <c r="C8" s="1274">
        <v>13941.416666666666</v>
      </c>
      <c r="D8" s="1275">
        <v>35.166666666666664</v>
      </c>
      <c r="E8" s="1274">
        <v>31114.166666666668</v>
      </c>
      <c r="F8" s="1275">
        <v>142.05333333333334</v>
      </c>
      <c r="G8" s="1274">
        <v>912.5</v>
      </c>
      <c r="H8" s="1274">
        <v>101.58333333333333</v>
      </c>
      <c r="I8" s="1276">
        <v>2010</v>
      </c>
    </row>
    <row r="9" spans="1:9" s="1286" customFormat="1" ht="12.6" customHeight="1">
      <c r="A9" s="1282">
        <v>2011</v>
      </c>
      <c r="B9" s="1283">
        <v>5937.5</v>
      </c>
      <c r="C9" s="1283">
        <v>13850</v>
      </c>
      <c r="D9" s="1284">
        <v>37.541666666666664</v>
      </c>
      <c r="E9" s="1283">
        <v>26950</v>
      </c>
      <c r="F9" s="1284">
        <v>166.13499999999999</v>
      </c>
      <c r="G9" s="1283">
        <v>1087.9166666666667</v>
      </c>
      <c r="H9" s="1283">
        <v>156.33333333333334</v>
      </c>
      <c r="I9" s="1285">
        <v>2011</v>
      </c>
    </row>
    <row r="10" spans="1:9" s="1286" customFormat="1" ht="12.6" customHeight="1">
      <c r="A10" s="1287">
        <v>2012</v>
      </c>
      <c r="B10" s="1274">
        <v>5833.333333333333</v>
      </c>
      <c r="C10" s="1274">
        <v>13600</v>
      </c>
      <c r="D10" s="1275">
        <v>32.875</v>
      </c>
      <c r="E10" s="1274">
        <v>54033.333333333336</v>
      </c>
      <c r="F10" s="1275">
        <v>172.94416666666669</v>
      </c>
      <c r="G10" s="1274">
        <v>1053.125</v>
      </c>
      <c r="H10" s="1274">
        <v>112.77777777777777</v>
      </c>
      <c r="I10" s="1276">
        <v>2012</v>
      </c>
    </row>
    <row r="11" spans="1:9" s="1289" customFormat="1" ht="12.6" customHeight="1">
      <c r="A11" s="1278">
        <v>2013</v>
      </c>
      <c r="B11" s="1283">
        <v>5375</v>
      </c>
      <c r="C11" s="1283">
        <v>12500</v>
      </c>
      <c r="D11" s="1284">
        <v>37.041666666666664</v>
      </c>
      <c r="E11" s="1283">
        <v>51868.181818181816</v>
      </c>
      <c r="F11" s="1284">
        <v>199.83166666666662</v>
      </c>
      <c r="G11" s="1283">
        <v>680</v>
      </c>
      <c r="H11" s="1283">
        <v>79.833333333333329</v>
      </c>
      <c r="I11" s="1288">
        <v>2013</v>
      </c>
    </row>
    <row r="12" spans="1:9" s="328" customFormat="1" ht="12.6" customHeight="1">
      <c r="A12" s="476">
        <v>2014</v>
      </c>
      <c r="B12" s="1341">
        <v>5375</v>
      </c>
      <c r="C12" s="1341">
        <v>12500</v>
      </c>
      <c r="D12" s="439">
        <v>40</v>
      </c>
      <c r="E12" s="1341">
        <v>48600</v>
      </c>
      <c r="F12" s="439">
        <v>185.97166666666666</v>
      </c>
      <c r="G12" s="1341">
        <v>1078.75</v>
      </c>
      <c r="H12" s="1341">
        <v>109.33333333333333</v>
      </c>
      <c r="I12" s="1340">
        <v>2014</v>
      </c>
    </row>
    <row r="13" spans="1:9" s="328" customFormat="1" ht="12.6" customHeight="1">
      <c r="A13" s="1417">
        <v>2015</v>
      </c>
      <c r="B13" s="1418">
        <v>5770.833333333333</v>
      </c>
      <c r="C13" s="1418">
        <v>13650</v>
      </c>
      <c r="D13" s="1419">
        <v>37.666666666666664</v>
      </c>
      <c r="E13" s="1418">
        <v>44166.666666666664</v>
      </c>
      <c r="F13" s="344">
        <v>166.07666666666668</v>
      </c>
      <c r="G13" s="345">
        <v>1287.5</v>
      </c>
      <c r="H13" s="345">
        <v>96.416666666666671</v>
      </c>
      <c r="I13" s="1358">
        <v>2015</v>
      </c>
    </row>
    <row r="14" spans="1:9" s="1301" customFormat="1" ht="12.6" customHeight="1">
      <c r="A14" s="1290">
        <v>2016</v>
      </c>
      <c r="B14" s="1302">
        <v>6375</v>
      </c>
      <c r="C14" s="1302">
        <v>15100</v>
      </c>
      <c r="D14" s="1303">
        <v>38.416666666666664</v>
      </c>
      <c r="E14" s="1304">
        <v>44000</v>
      </c>
      <c r="F14" s="1303">
        <v>161.27999999999997</v>
      </c>
      <c r="G14" s="1304">
        <v>1009.1666666666666</v>
      </c>
      <c r="H14" s="1304">
        <v>87</v>
      </c>
      <c r="I14" s="1291">
        <v>2016</v>
      </c>
    </row>
    <row r="15" spans="1:9" s="1301" customFormat="1" ht="12.6" customHeight="1">
      <c r="A15" s="1292">
        <v>2017</v>
      </c>
      <c r="B15" s="1342">
        <f t="shared" ref="B15:C15" si="0">AVERAGE(B16:B27)</f>
        <v>6375</v>
      </c>
      <c r="C15" s="1342">
        <f t="shared" si="0"/>
        <v>15100</v>
      </c>
      <c r="D15" s="1293">
        <f>AVERAGE(D16:D22)</f>
        <v>43.428571428571431</v>
      </c>
      <c r="E15" s="1294">
        <f>AVERAGE(E16:E23)</f>
        <v>44056.25</v>
      </c>
      <c r="F15" s="1293">
        <f>AVERAGE(F16:F27)</f>
        <v>164.67</v>
      </c>
      <c r="G15" s="1294">
        <f>AVERAGE(G16:G22)</f>
        <v>895.71428571428567</v>
      </c>
      <c r="H15" s="1294">
        <f>AVERAGE(H16:H22)</f>
        <v>74.285714285714292</v>
      </c>
      <c r="I15" s="1307">
        <v>2017</v>
      </c>
    </row>
    <row r="16" spans="1:9" s="1301" customFormat="1" ht="12.6" customHeight="1">
      <c r="A16" s="1273" t="s">
        <v>822</v>
      </c>
      <c r="B16" s="1295">
        <v>6375</v>
      </c>
      <c r="C16" s="1295">
        <v>15100</v>
      </c>
      <c r="D16" s="1296">
        <v>38</v>
      </c>
      <c r="E16" s="1274">
        <v>44000</v>
      </c>
      <c r="F16" s="1305">
        <v>190.53</v>
      </c>
      <c r="G16" s="1295">
        <v>860</v>
      </c>
      <c r="H16" s="1295">
        <v>51</v>
      </c>
      <c r="I16" s="1297" t="s">
        <v>822</v>
      </c>
    </row>
    <row r="17" spans="1:9" s="1301" customFormat="1" ht="12.6" customHeight="1">
      <c r="A17" s="1282" t="s">
        <v>823</v>
      </c>
      <c r="B17" s="1298">
        <v>6375</v>
      </c>
      <c r="C17" s="1298">
        <v>15100</v>
      </c>
      <c r="D17" s="1299">
        <v>40</v>
      </c>
      <c r="E17" s="1283">
        <v>44000</v>
      </c>
      <c r="F17" s="1306">
        <v>170.6</v>
      </c>
      <c r="G17" s="1298">
        <v>880</v>
      </c>
      <c r="H17" s="1298">
        <v>60</v>
      </c>
      <c r="I17" s="1300" t="s">
        <v>823</v>
      </c>
    </row>
    <row r="18" spans="1:9" s="1301" customFormat="1" ht="12.6" customHeight="1">
      <c r="A18" s="1273" t="s">
        <v>815</v>
      </c>
      <c r="B18" s="1295">
        <v>6375</v>
      </c>
      <c r="C18" s="1295">
        <v>15100</v>
      </c>
      <c r="D18" s="1296">
        <v>42</v>
      </c>
      <c r="E18" s="1274">
        <v>43950</v>
      </c>
      <c r="F18" s="1305">
        <v>188.33</v>
      </c>
      <c r="G18" s="1295">
        <v>900</v>
      </c>
      <c r="H18" s="1295">
        <v>80</v>
      </c>
      <c r="I18" s="1297" t="s">
        <v>815</v>
      </c>
    </row>
    <row r="19" spans="1:9" s="1301" customFormat="1" ht="12.6" customHeight="1">
      <c r="A19" s="1282" t="s">
        <v>824</v>
      </c>
      <c r="B19" s="1298">
        <v>6375</v>
      </c>
      <c r="C19" s="1298">
        <v>15100</v>
      </c>
      <c r="D19" s="1299">
        <v>44</v>
      </c>
      <c r="E19" s="1283">
        <v>44100</v>
      </c>
      <c r="F19" s="1306">
        <v>158.11000000000001</v>
      </c>
      <c r="G19" s="1298">
        <v>990</v>
      </c>
      <c r="H19" s="1298">
        <v>78</v>
      </c>
      <c r="I19" s="1300" t="s">
        <v>824</v>
      </c>
    </row>
    <row r="20" spans="1:9" s="1301" customFormat="1" ht="12.6" customHeight="1">
      <c r="A20" s="1273" t="s">
        <v>825</v>
      </c>
      <c r="B20" s="1295">
        <v>6375</v>
      </c>
      <c r="C20" s="1295">
        <v>15100</v>
      </c>
      <c r="D20" s="1296">
        <v>45</v>
      </c>
      <c r="E20" s="1274">
        <v>44000</v>
      </c>
      <c r="F20" s="1305">
        <v>140.69999999999999</v>
      </c>
      <c r="G20" s="1295">
        <v>970</v>
      </c>
      <c r="H20" s="1295">
        <v>73</v>
      </c>
      <c r="I20" s="1297" t="s">
        <v>825</v>
      </c>
    </row>
    <row r="21" spans="1:9" s="1308" customFormat="1" ht="12.6" customHeight="1">
      <c r="A21" s="1282" t="s">
        <v>816</v>
      </c>
      <c r="B21" s="1298">
        <v>6375</v>
      </c>
      <c r="C21" s="1298">
        <v>15100</v>
      </c>
      <c r="D21" s="1299">
        <v>48</v>
      </c>
      <c r="E21" s="1283">
        <v>44000</v>
      </c>
      <c r="F21" s="1306">
        <v>152.85</v>
      </c>
      <c r="G21" s="1298">
        <v>840</v>
      </c>
      <c r="H21" s="1298">
        <v>90</v>
      </c>
      <c r="I21" s="1300" t="s">
        <v>816</v>
      </c>
    </row>
    <row r="22" spans="1:9" s="1301" customFormat="1" ht="12.6" customHeight="1">
      <c r="A22" s="1273" t="s">
        <v>818</v>
      </c>
      <c r="B22" s="1295">
        <v>6375</v>
      </c>
      <c r="C22" s="1295">
        <v>15100</v>
      </c>
      <c r="D22" s="1296">
        <v>47</v>
      </c>
      <c r="E22" s="1274">
        <v>44200</v>
      </c>
      <c r="F22" s="1305">
        <v>161.63</v>
      </c>
      <c r="G22" s="1295">
        <v>830</v>
      </c>
      <c r="H22" s="1295">
        <v>88</v>
      </c>
      <c r="I22" s="1297" t="s">
        <v>818</v>
      </c>
    </row>
    <row r="23" spans="1:9" s="1301" customFormat="1" ht="12.6" customHeight="1">
      <c r="A23" s="1282" t="s">
        <v>819</v>
      </c>
      <c r="B23" s="1298">
        <v>6375</v>
      </c>
      <c r="C23" s="1298">
        <v>15100</v>
      </c>
      <c r="D23" s="1299" t="s">
        <v>481</v>
      </c>
      <c r="E23" s="1283">
        <v>44200</v>
      </c>
      <c r="F23" s="1306">
        <v>151.88</v>
      </c>
      <c r="G23" s="1298" t="s">
        <v>481</v>
      </c>
      <c r="H23" s="1298" t="s">
        <v>481</v>
      </c>
      <c r="I23" s="1300" t="s">
        <v>819</v>
      </c>
    </row>
    <row r="24" spans="1:9" s="1301" customFormat="1" ht="12.6" customHeight="1">
      <c r="A24" s="1273" t="s">
        <v>813</v>
      </c>
      <c r="B24" s="1295">
        <v>6375</v>
      </c>
      <c r="C24" s="1295">
        <v>15100</v>
      </c>
      <c r="D24" s="1296" t="s">
        <v>481</v>
      </c>
      <c r="E24" s="1274">
        <v>44180</v>
      </c>
      <c r="F24" s="1305">
        <v>154.63999999999999</v>
      </c>
      <c r="G24" s="1295" t="s">
        <v>481</v>
      </c>
      <c r="H24" s="1295" t="s">
        <v>481</v>
      </c>
      <c r="I24" s="1297" t="s">
        <v>813</v>
      </c>
    </row>
    <row r="25" spans="1:9" s="1308" customFormat="1" ht="12.6" customHeight="1">
      <c r="A25" s="360" t="s">
        <v>820</v>
      </c>
      <c r="B25" s="1298">
        <v>6375</v>
      </c>
      <c r="C25" s="1298">
        <v>15100</v>
      </c>
      <c r="D25" s="1299" t="s">
        <v>481</v>
      </c>
      <c r="E25" s="1283">
        <v>39450</v>
      </c>
      <c r="F25" s="1306">
        <v>161.5</v>
      </c>
      <c r="G25" s="1298" t="s">
        <v>481</v>
      </c>
      <c r="H25" s="1298" t="s">
        <v>481</v>
      </c>
      <c r="I25" s="1300" t="s">
        <v>820</v>
      </c>
    </row>
    <row r="26" spans="1:9" s="1301" customFormat="1" ht="12.6" customHeight="1">
      <c r="A26" s="476" t="s">
        <v>821</v>
      </c>
      <c r="B26" s="1295">
        <v>6375</v>
      </c>
      <c r="C26" s="1295">
        <v>15100</v>
      </c>
      <c r="D26" s="1296" t="s">
        <v>481</v>
      </c>
      <c r="E26" s="1274">
        <v>41000</v>
      </c>
      <c r="F26" s="1305">
        <v>172.56</v>
      </c>
      <c r="G26" s="1295" t="s">
        <v>481</v>
      </c>
      <c r="H26" s="1295" t="s">
        <v>481</v>
      </c>
      <c r="I26" s="1297" t="s">
        <v>821</v>
      </c>
    </row>
    <row r="27" spans="1:9" s="1301" customFormat="1" ht="12.6" customHeight="1">
      <c r="A27" s="360" t="s">
        <v>814</v>
      </c>
      <c r="B27" s="1298">
        <v>6375</v>
      </c>
      <c r="C27" s="1298">
        <v>15100</v>
      </c>
      <c r="D27" s="1299" t="s">
        <v>481</v>
      </c>
      <c r="E27" s="1283">
        <v>41000</v>
      </c>
      <c r="F27" s="1306">
        <v>172.71</v>
      </c>
      <c r="G27" s="1298" t="s">
        <v>481</v>
      </c>
      <c r="H27" s="1298" t="s">
        <v>481</v>
      </c>
      <c r="I27" s="1358" t="s">
        <v>814</v>
      </c>
    </row>
    <row r="28" spans="1:9" s="1301" customFormat="1" ht="12.6" customHeight="1">
      <c r="A28" s="1290">
        <v>2018</v>
      </c>
      <c r="B28" s="1302">
        <f>AVERAGE(B29:B40)</f>
        <v>6375</v>
      </c>
      <c r="C28" s="1302">
        <f t="shared" ref="C28" si="1">AVERAGE(C29:C40)</f>
        <v>15100</v>
      </c>
      <c r="D28" s="1303" t="s">
        <v>481</v>
      </c>
      <c r="E28" s="1304">
        <f>AVERAGE(E29:E40)</f>
        <v>41401.666666666664</v>
      </c>
      <c r="F28" s="1303">
        <f>AVERAGE(F29:F40)</f>
        <v>171.87749999999997</v>
      </c>
      <c r="G28" s="1304" t="s">
        <v>481</v>
      </c>
      <c r="H28" s="1304" t="s">
        <v>481</v>
      </c>
      <c r="I28" s="1291">
        <v>2018</v>
      </c>
    </row>
    <row r="29" spans="1:9" s="1301" customFormat="1" ht="12.6" customHeight="1">
      <c r="A29" s="360" t="s">
        <v>822</v>
      </c>
      <c r="B29" s="1298">
        <v>6375</v>
      </c>
      <c r="C29" s="1298">
        <v>15100</v>
      </c>
      <c r="D29" s="1299" t="s">
        <v>481</v>
      </c>
      <c r="E29" s="1283">
        <v>41000</v>
      </c>
      <c r="F29" s="1306">
        <v>186.97</v>
      </c>
      <c r="G29" s="1298" t="s">
        <v>481</v>
      </c>
      <c r="H29" s="1298" t="s">
        <v>481</v>
      </c>
      <c r="I29" s="1358" t="s">
        <v>822</v>
      </c>
    </row>
    <row r="30" spans="1:9" s="1301" customFormat="1" ht="12.6" customHeight="1">
      <c r="A30" s="476" t="s">
        <v>823</v>
      </c>
      <c r="B30" s="1295">
        <v>6375</v>
      </c>
      <c r="C30" s="1295">
        <v>15100</v>
      </c>
      <c r="D30" s="1296" t="s">
        <v>481</v>
      </c>
      <c r="E30" s="1274">
        <v>41000</v>
      </c>
      <c r="F30" s="1305">
        <v>159.93</v>
      </c>
      <c r="G30" s="1295" t="s">
        <v>481</v>
      </c>
      <c r="H30" s="1295" t="s">
        <v>481</v>
      </c>
      <c r="I30" s="1340" t="s">
        <v>823</v>
      </c>
    </row>
    <row r="31" spans="1:9" s="1308" customFormat="1" ht="12.6" customHeight="1">
      <c r="A31" s="360" t="s">
        <v>815</v>
      </c>
      <c r="B31" s="1298">
        <v>6375</v>
      </c>
      <c r="C31" s="1298">
        <v>15100</v>
      </c>
      <c r="D31" s="1299" t="s">
        <v>481</v>
      </c>
      <c r="E31" s="1283">
        <v>40950</v>
      </c>
      <c r="F31" s="1306">
        <v>159.56</v>
      </c>
      <c r="G31" s="1298" t="s">
        <v>481</v>
      </c>
      <c r="H31" s="1298" t="s">
        <v>481</v>
      </c>
      <c r="I31" s="1358" t="s">
        <v>815</v>
      </c>
    </row>
    <row r="32" spans="1:9" s="1308" customFormat="1" ht="12.6" customHeight="1">
      <c r="A32" s="476" t="s">
        <v>824</v>
      </c>
      <c r="B32" s="1295">
        <v>6375</v>
      </c>
      <c r="C32" s="1295">
        <v>15100</v>
      </c>
      <c r="D32" s="1296" t="s">
        <v>481</v>
      </c>
      <c r="E32" s="1274">
        <v>41000</v>
      </c>
      <c r="F32" s="1305">
        <v>168.75</v>
      </c>
      <c r="G32" s="1295" t="s">
        <v>481</v>
      </c>
      <c r="H32" s="1295" t="s">
        <v>481</v>
      </c>
      <c r="I32" s="1340" t="s">
        <v>824</v>
      </c>
    </row>
    <row r="33" spans="1:9" s="1308" customFormat="1" ht="12.6" customHeight="1">
      <c r="A33" s="360" t="s">
        <v>825</v>
      </c>
      <c r="B33" s="1298">
        <v>6375</v>
      </c>
      <c r="C33" s="1298">
        <v>15100</v>
      </c>
      <c r="D33" s="1299" t="s">
        <v>481</v>
      </c>
      <c r="E33" s="1283">
        <v>41000</v>
      </c>
      <c r="F33" s="1306">
        <v>165.41</v>
      </c>
      <c r="G33" s="1298" t="s">
        <v>481</v>
      </c>
      <c r="H33" s="1298" t="s">
        <v>481</v>
      </c>
      <c r="I33" s="1358" t="s">
        <v>825</v>
      </c>
    </row>
    <row r="34" spans="1:9" s="1308" customFormat="1" ht="12.6" customHeight="1">
      <c r="A34" s="476" t="s">
        <v>816</v>
      </c>
      <c r="B34" s="1295">
        <v>6375</v>
      </c>
      <c r="C34" s="1295">
        <v>15100</v>
      </c>
      <c r="D34" s="1296" t="s">
        <v>481</v>
      </c>
      <c r="E34" s="1274">
        <v>41000</v>
      </c>
      <c r="F34" s="1305">
        <v>140.85</v>
      </c>
      <c r="G34" s="1295" t="s">
        <v>481</v>
      </c>
      <c r="H34" s="1295" t="s">
        <v>481</v>
      </c>
      <c r="I34" s="1340" t="s">
        <v>816</v>
      </c>
    </row>
    <row r="35" spans="1:9" s="1308" customFormat="1" ht="12.6" customHeight="1">
      <c r="A35" s="360" t="s">
        <v>818</v>
      </c>
      <c r="B35" s="1298">
        <v>6375</v>
      </c>
      <c r="C35" s="1298">
        <v>15100</v>
      </c>
      <c r="D35" s="1299" t="s">
        <v>481</v>
      </c>
      <c r="E35" s="1283">
        <v>41800</v>
      </c>
      <c r="F35" s="1306">
        <v>179.7</v>
      </c>
      <c r="G35" s="1298" t="s">
        <v>481</v>
      </c>
      <c r="H35" s="1298" t="s">
        <v>481</v>
      </c>
      <c r="I35" s="1358" t="s">
        <v>818</v>
      </c>
    </row>
    <row r="36" spans="1:9" s="1311" customFormat="1" ht="12.6" customHeight="1">
      <c r="A36" s="476" t="s">
        <v>819</v>
      </c>
      <c r="B36" s="1295">
        <v>6375</v>
      </c>
      <c r="C36" s="1295">
        <v>15100</v>
      </c>
      <c r="D36" s="1296" t="s">
        <v>481</v>
      </c>
      <c r="E36" s="1274">
        <v>41800</v>
      </c>
      <c r="F36" s="1305">
        <v>180.4</v>
      </c>
      <c r="G36" s="1295" t="s">
        <v>481</v>
      </c>
      <c r="H36" s="1295" t="s">
        <v>481</v>
      </c>
      <c r="I36" s="1340" t="s">
        <v>819</v>
      </c>
    </row>
    <row r="37" spans="1:9" s="1311" customFormat="1" ht="12.6" customHeight="1">
      <c r="A37" s="360" t="s">
        <v>813</v>
      </c>
      <c r="B37" s="1298">
        <v>6375</v>
      </c>
      <c r="C37" s="1298">
        <v>15100</v>
      </c>
      <c r="D37" s="1299" t="s">
        <v>481</v>
      </c>
      <c r="E37" s="1283">
        <v>41820</v>
      </c>
      <c r="F37" s="1306">
        <v>184.89</v>
      </c>
      <c r="G37" s="1298" t="s">
        <v>481</v>
      </c>
      <c r="H37" s="1298" t="s">
        <v>481</v>
      </c>
      <c r="I37" s="1358" t="s">
        <v>813</v>
      </c>
    </row>
    <row r="38" spans="1:9" s="1311" customFormat="1" ht="12.6" customHeight="1">
      <c r="A38" s="476" t="s">
        <v>820</v>
      </c>
      <c r="B38" s="1295">
        <v>6375</v>
      </c>
      <c r="C38" s="1295">
        <v>15100</v>
      </c>
      <c r="D38" s="1296" t="s">
        <v>481</v>
      </c>
      <c r="E38" s="1274">
        <v>41800</v>
      </c>
      <c r="F38" s="1305">
        <v>182.89</v>
      </c>
      <c r="G38" s="1295" t="s">
        <v>481</v>
      </c>
      <c r="H38" s="1295" t="s">
        <v>481</v>
      </c>
      <c r="I38" s="1340" t="s">
        <v>820</v>
      </c>
    </row>
    <row r="39" spans="1:9" s="1311" customFormat="1" ht="12.6" customHeight="1">
      <c r="A39" s="360" t="s">
        <v>821</v>
      </c>
      <c r="B39" s="1298" t="s">
        <v>481</v>
      </c>
      <c r="C39" s="1298" t="s">
        <v>481</v>
      </c>
      <c r="D39" s="1298" t="s">
        <v>481</v>
      </c>
      <c r="E39" s="1298">
        <v>41820</v>
      </c>
      <c r="F39" s="1306">
        <v>203.57</v>
      </c>
      <c r="G39" s="1306" t="s">
        <v>481</v>
      </c>
      <c r="H39" s="1306" t="s">
        <v>481</v>
      </c>
      <c r="I39" s="1358" t="s">
        <v>821</v>
      </c>
    </row>
    <row r="40" spans="1:9" s="1311" customFormat="1" ht="12.6" customHeight="1">
      <c r="A40" s="476" t="s">
        <v>814</v>
      </c>
      <c r="B40" s="1295" t="s">
        <v>481</v>
      </c>
      <c r="C40" s="1295" t="s">
        <v>481</v>
      </c>
      <c r="D40" s="1295" t="s">
        <v>481</v>
      </c>
      <c r="E40" s="1295">
        <v>41830</v>
      </c>
      <c r="F40" s="1305">
        <v>149.61000000000001</v>
      </c>
      <c r="G40" s="1305" t="s">
        <v>481</v>
      </c>
      <c r="H40" s="1305" t="s">
        <v>481</v>
      </c>
      <c r="I40" s="1340" t="s">
        <v>814</v>
      </c>
    </row>
    <row r="41" spans="1:9" s="1661" customFormat="1" ht="12.6" customHeight="1">
      <c r="A41" s="1659">
        <v>2019</v>
      </c>
      <c r="B41" s="1298"/>
      <c r="C41" s="1298"/>
      <c r="D41" s="1298"/>
      <c r="E41" s="1298"/>
      <c r="F41" s="1306"/>
      <c r="G41" s="1306"/>
      <c r="H41" s="1306"/>
      <c r="I41" s="1660">
        <v>2019</v>
      </c>
    </row>
    <row r="42" spans="1:9" s="1661" customFormat="1" ht="12.6" customHeight="1">
      <c r="A42" s="476" t="s">
        <v>822</v>
      </c>
      <c r="B42" s="1295" t="s">
        <v>481</v>
      </c>
      <c r="C42" s="1295" t="s">
        <v>481</v>
      </c>
      <c r="D42" s="1295" t="s">
        <v>481</v>
      </c>
      <c r="E42" s="1295" t="s">
        <v>481</v>
      </c>
      <c r="F42" s="1305">
        <v>213.4</v>
      </c>
      <c r="G42" s="1305" t="s">
        <v>481</v>
      </c>
      <c r="H42" s="1305" t="s">
        <v>481</v>
      </c>
      <c r="I42" s="1340" t="s">
        <v>822</v>
      </c>
    </row>
    <row r="43" spans="1:9" s="1661" customFormat="1" ht="12.6" customHeight="1">
      <c r="A43" s="360" t="s">
        <v>823</v>
      </c>
      <c r="B43" s="1298" t="s">
        <v>481</v>
      </c>
      <c r="C43" s="1298" t="s">
        <v>481</v>
      </c>
      <c r="D43" s="1298" t="s">
        <v>481</v>
      </c>
      <c r="E43" s="1298" t="s">
        <v>481</v>
      </c>
      <c r="F43" s="1306">
        <v>137.62</v>
      </c>
      <c r="G43" s="1306" t="s">
        <v>481</v>
      </c>
      <c r="H43" s="1306" t="s">
        <v>481</v>
      </c>
      <c r="I43" s="1358" t="s">
        <v>823</v>
      </c>
    </row>
    <row r="44" spans="1:9" s="1661" customFormat="1" ht="12.6" customHeight="1">
      <c r="A44" s="476" t="s">
        <v>815</v>
      </c>
      <c r="B44" s="1295" t="s">
        <v>481</v>
      </c>
      <c r="C44" s="1295" t="s">
        <v>481</v>
      </c>
      <c r="D44" s="1295" t="s">
        <v>481</v>
      </c>
      <c r="E44" s="1295" t="s">
        <v>481</v>
      </c>
      <c r="F44" s="1305">
        <v>168.7</v>
      </c>
      <c r="G44" s="1305" t="s">
        <v>481</v>
      </c>
      <c r="H44" s="1305" t="s">
        <v>481</v>
      </c>
      <c r="I44" s="1340" t="s">
        <v>815</v>
      </c>
    </row>
    <row r="45" spans="1:9" s="1661" customFormat="1" ht="12.6" customHeight="1" thickBot="1">
      <c r="A45" s="1498" t="s">
        <v>824</v>
      </c>
      <c r="B45" s="1671" t="s">
        <v>481</v>
      </c>
      <c r="C45" s="1671" t="s">
        <v>481</v>
      </c>
      <c r="D45" s="1671" t="s">
        <v>481</v>
      </c>
      <c r="E45" s="1671" t="s">
        <v>481</v>
      </c>
      <c r="F45" s="1672">
        <v>167</v>
      </c>
      <c r="G45" s="1672" t="s">
        <v>481</v>
      </c>
      <c r="H45" s="1672" t="s">
        <v>481</v>
      </c>
      <c r="I45" s="1673" t="s">
        <v>824</v>
      </c>
    </row>
    <row r="46" spans="1:9" s="1311" customFormat="1" ht="11.1" customHeight="1">
      <c r="A46" s="1309" t="s">
        <v>2363</v>
      </c>
      <c r="B46" s="66" t="s">
        <v>2143</v>
      </c>
      <c r="C46" s="2062"/>
      <c r="D46" s="2062"/>
      <c r="F46" s="2062" t="s">
        <v>2144</v>
      </c>
      <c r="G46" s="2062"/>
      <c r="H46" s="1310"/>
      <c r="I46" s="1310"/>
    </row>
    <row r="47" spans="1:9" s="1311" customFormat="1" ht="11.1" customHeight="1">
      <c r="A47" s="1312"/>
      <c r="B47" s="1313" t="s">
        <v>2349</v>
      </c>
      <c r="C47" s="1310"/>
      <c r="D47" s="1310"/>
      <c r="E47" s="1310"/>
      <c r="F47" s="2062" t="s">
        <v>2145</v>
      </c>
      <c r="G47" s="2062"/>
      <c r="H47" s="1310"/>
      <c r="I47" s="1310"/>
    </row>
    <row r="48" spans="1:9" s="1311" customFormat="1" ht="11.1" customHeight="1">
      <c r="C48" s="1313"/>
      <c r="D48" s="1310"/>
      <c r="F48" s="1567" t="s">
        <v>2146</v>
      </c>
      <c r="G48" s="1310"/>
      <c r="H48" s="1310"/>
      <c r="I48" s="1310"/>
    </row>
    <row r="49" spans="1:9" ht="11.1" customHeight="1">
      <c r="A49" s="1311"/>
      <c r="B49" s="1314"/>
      <c r="C49" s="1311"/>
      <c r="D49" s="1311"/>
      <c r="E49" s="1311"/>
      <c r="F49" s="1311"/>
      <c r="G49" s="1311"/>
      <c r="H49" s="1311"/>
      <c r="I49" s="1311"/>
    </row>
    <row r="50" spans="1:9" ht="12" customHeight="1"/>
    <row r="51" spans="1:9" ht="11.25" customHeight="1"/>
    <row r="52" spans="1:9" ht="12" customHeight="1"/>
    <row r="53" spans="1:9" ht="12.6" customHeight="1"/>
    <row r="54" spans="1:9" ht="12" customHeight="1"/>
  </sheetData>
  <mergeCells count="17">
    <mergeCell ref="F1:G1"/>
    <mergeCell ref="A1:E1"/>
    <mergeCell ref="C3:C5"/>
    <mergeCell ref="D3:D5"/>
    <mergeCell ref="E3:E5"/>
    <mergeCell ref="B2:C2"/>
    <mergeCell ref="D2:E2"/>
    <mergeCell ref="F2:F5"/>
    <mergeCell ref="G2:H2"/>
    <mergeCell ref="A2:A5"/>
    <mergeCell ref="B3:B5"/>
    <mergeCell ref="H3:H5"/>
    <mergeCell ref="G3:G5"/>
    <mergeCell ref="I2:I5"/>
    <mergeCell ref="C46:D46"/>
    <mergeCell ref="F46:G46"/>
    <mergeCell ref="F47:G47"/>
  </mergeCells>
  <phoneticPr fontId="0" type="noConversion"/>
  <pageMargins left="0.62992125984252001" right="0.511811023622047" top="0.511811023622047" bottom="0.511811023622047" header="0" footer="0.39370078740157499"/>
  <pageSetup paperSize="448" firstPageNumber="44" orientation="portrait" useFirstPageNumber="1" r:id="rId1"/>
  <headerFooter alignWithMargins="0">
    <oddFooter>&amp;C&amp;"Times New Roman,Regular"&amp;8&amp;P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20"/>
  <dimension ref="A1:AA79"/>
  <sheetViews>
    <sheetView zoomScale="180" zoomScaleNormal="180" workbookViewId="0">
      <pane xSplit="1" ySplit="4" topLeftCell="B56" activePane="bottomRight" state="frozen"/>
      <selection pane="topRight" activeCell="B1" sqref="B1"/>
      <selection pane="bottomLeft" activeCell="A5" sqref="A5"/>
      <selection pane="bottomRight" activeCell="W56" sqref="W56"/>
    </sheetView>
  </sheetViews>
  <sheetFormatPr defaultColWidth="9.140625" defaultRowHeight="12.75"/>
  <cols>
    <col min="1" max="1" width="7.85546875" style="2" customWidth="1"/>
    <col min="2" max="2" width="7.7109375" style="2" customWidth="1"/>
    <col min="3" max="3" width="6.7109375" style="2" customWidth="1"/>
    <col min="4" max="4" width="6.42578125" style="2" customWidth="1"/>
    <col min="5" max="5" width="6.7109375" style="2" customWidth="1"/>
    <col min="6" max="6" width="7.28515625" style="2" customWidth="1"/>
    <col min="7" max="7" width="7" style="2" customWidth="1"/>
    <col min="8" max="8" width="7.28515625" style="2" customWidth="1"/>
    <col min="9" max="9" width="6.7109375" style="2" customWidth="1"/>
    <col min="10" max="10" width="8.7109375" style="2" customWidth="1"/>
    <col min="11" max="11" width="6.28515625" style="2" customWidth="1"/>
    <col min="12" max="12" width="7.7109375" style="2" customWidth="1"/>
    <col min="13" max="13" width="7" style="2" customWidth="1"/>
    <col min="14" max="14" width="6.28515625" style="2" customWidth="1"/>
    <col min="15" max="15" width="6.5703125" style="2" customWidth="1"/>
    <col min="16" max="16" width="7.140625" style="2" customWidth="1"/>
    <col min="17" max="17" width="7.28515625" style="2" customWidth="1"/>
    <col min="18" max="18" width="7.42578125" style="2" customWidth="1"/>
    <col min="19" max="19" width="7.140625" style="2" customWidth="1"/>
    <col min="20" max="20" width="6.5703125" style="2" customWidth="1"/>
    <col min="21" max="21" width="6.85546875" style="2" customWidth="1"/>
    <col min="22" max="22" width="7.140625" style="2" customWidth="1"/>
    <col min="23" max="23" width="9.140625" style="2"/>
    <col min="24" max="24" width="15.85546875" style="2" bestFit="1" customWidth="1"/>
    <col min="25" max="16384" width="9.140625" style="2"/>
  </cols>
  <sheetData>
    <row r="1" spans="1:24" s="32" customFormat="1" ht="17.25" customHeight="1">
      <c r="A1" s="2035" t="s">
        <v>27</v>
      </c>
      <c r="B1" s="2035"/>
      <c r="C1" s="2035"/>
      <c r="D1" s="2035"/>
      <c r="E1" s="2035"/>
      <c r="F1" s="2035"/>
      <c r="G1" s="2035"/>
      <c r="H1" s="2035"/>
      <c r="I1" s="2035"/>
      <c r="J1" s="2035"/>
      <c r="K1" s="2035"/>
      <c r="L1" s="2057" t="s">
        <v>528</v>
      </c>
      <c r="M1" s="2057"/>
      <c r="N1" s="2057"/>
      <c r="O1" s="2057"/>
      <c r="P1" s="2057"/>
      <c r="Q1" s="2057"/>
      <c r="R1" s="2057"/>
      <c r="S1" s="2057"/>
      <c r="T1" s="2057"/>
      <c r="U1" s="2033" t="s">
        <v>1808</v>
      </c>
      <c r="V1" s="2033"/>
      <c r="W1" s="71"/>
    </row>
    <row r="2" spans="1:24" s="29" customFormat="1" ht="12.75" customHeight="1">
      <c r="A2" s="15"/>
      <c r="B2" s="15"/>
      <c r="C2" s="15"/>
      <c r="D2" s="15"/>
      <c r="E2" s="15"/>
      <c r="F2" s="15"/>
      <c r="G2" s="15"/>
      <c r="I2" s="15"/>
      <c r="L2" s="15"/>
      <c r="M2" s="15"/>
      <c r="N2" s="15"/>
      <c r="O2" s="15"/>
      <c r="P2" s="15"/>
      <c r="Q2" s="15"/>
      <c r="R2" s="15"/>
      <c r="T2" s="127"/>
      <c r="U2" s="2059" t="s">
        <v>465</v>
      </c>
      <c r="V2" s="2059"/>
      <c r="W2" s="127"/>
    </row>
    <row r="3" spans="1:24" s="122" customFormat="1" ht="71.25" customHeight="1">
      <c r="A3" s="2027" t="s">
        <v>739</v>
      </c>
      <c r="B3" s="1102" t="s">
        <v>2183</v>
      </c>
      <c r="C3" s="27" t="s">
        <v>762</v>
      </c>
      <c r="D3" s="1102" t="s">
        <v>2175</v>
      </c>
      <c r="E3" s="27" t="s">
        <v>445</v>
      </c>
      <c r="F3" s="27" t="s">
        <v>196</v>
      </c>
      <c r="G3" s="27" t="s">
        <v>446</v>
      </c>
      <c r="H3" s="1102" t="s">
        <v>2176</v>
      </c>
      <c r="I3" s="1102" t="s">
        <v>2177</v>
      </c>
      <c r="J3" s="1102" t="s">
        <v>2178</v>
      </c>
      <c r="K3" s="27" t="s">
        <v>447</v>
      </c>
      <c r="L3" s="1102" t="s">
        <v>2179</v>
      </c>
      <c r="M3" s="1102" t="s">
        <v>2180</v>
      </c>
      <c r="N3" s="27" t="s">
        <v>448</v>
      </c>
      <c r="O3" s="1102" t="s">
        <v>2181</v>
      </c>
      <c r="P3" s="1102" t="s">
        <v>2182</v>
      </c>
      <c r="Q3" s="27" t="s">
        <v>951</v>
      </c>
      <c r="R3" s="27" t="s">
        <v>443</v>
      </c>
      <c r="S3" s="27" t="s">
        <v>952</v>
      </c>
      <c r="T3" s="27" t="s">
        <v>444</v>
      </c>
      <c r="U3" s="125" t="s">
        <v>953</v>
      </c>
      <c r="V3" s="2015" t="s">
        <v>739</v>
      </c>
      <c r="W3" s="128"/>
      <c r="X3" s="128"/>
    </row>
    <row r="4" spans="1:24" s="132" customFormat="1">
      <c r="A4" s="2029"/>
      <c r="B4" s="129">
        <v>1</v>
      </c>
      <c r="C4" s="129">
        <v>2</v>
      </c>
      <c r="D4" s="129">
        <v>3</v>
      </c>
      <c r="E4" s="129">
        <v>4</v>
      </c>
      <c r="F4" s="129">
        <v>5</v>
      </c>
      <c r="G4" s="129">
        <v>6</v>
      </c>
      <c r="H4" s="129">
        <v>7</v>
      </c>
      <c r="I4" s="129">
        <v>8</v>
      </c>
      <c r="J4" s="129">
        <v>9</v>
      </c>
      <c r="K4" s="129">
        <v>10</v>
      </c>
      <c r="L4" s="129">
        <v>11</v>
      </c>
      <c r="M4" s="129">
        <v>12</v>
      </c>
      <c r="N4" s="129">
        <v>13</v>
      </c>
      <c r="O4" s="129">
        <v>14</v>
      </c>
      <c r="P4" s="129">
        <v>15</v>
      </c>
      <c r="Q4" s="129">
        <v>16</v>
      </c>
      <c r="R4" s="129">
        <v>17</v>
      </c>
      <c r="S4" s="129">
        <v>18</v>
      </c>
      <c r="T4" s="129">
        <v>19</v>
      </c>
      <c r="U4" s="129">
        <v>20</v>
      </c>
      <c r="V4" s="2017"/>
      <c r="W4" s="130"/>
      <c r="X4" s="131"/>
    </row>
    <row r="5" spans="1:24" ht="9.75" customHeight="1">
      <c r="A5" s="22" t="s">
        <v>808</v>
      </c>
      <c r="B5" s="721">
        <v>45631</v>
      </c>
      <c r="C5" s="721">
        <v>13406</v>
      </c>
      <c r="D5" s="721">
        <v>2640</v>
      </c>
      <c r="E5" s="721">
        <v>38234</v>
      </c>
      <c r="F5" s="721">
        <v>3346</v>
      </c>
      <c r="G5" s="721">
        <v>19334</v>
      </c>
      <c r="H5" s="721">
        <v>32479</v>
      </c>
      <c r="I5" s="721">
        <v>1590</v>
      </c>
      <c r="J5" s="721">
        <v>22129</v>
      </c>
      <c r="K5" s="721">
        <v>3911</v>
      </c>
      <c r="L5" s="721">
        <v>22365</v>
      </c>
      <c r="M5" s="721">
        <v>6695</v>
      </c>
      <c r="N5" s="721">
        <v>5852</v>
      </c>
      <c r="O5" s="721">
        <v>5722</v>
      </c>
      <c r="P5" s="721">
        <v>21665</v>
      </c>
      <c r="Q5" s="721">
        <f>SUM(B5:P5)</f>
        <v>244999</v>
      </c>
      <c r="R5" s="721">
        <v>8547</v>
      </c>
      <c r="S5" s="721">
        <v>253546</v>
      </c>
      <c r="T5" s="721">
        <v>8841</v>
      </c>
      <c r="U5" s="721">
        <f>S5+T5</f>
        <v>262387</v>
      </c>
      <c r="V5" s="59" t="s">
        <v>808</v>
      </c>
    </row>
    <row r="6" spans="1:24" ht="9.75" customHeight="1">
      <c r="A6" s="446"/>
      <c r="B6" s="479">
        <f t="shared" ref="B6:S6" si="0">(B5/$S5)*100</f>
        <v>17.997128726148311</v>
      </c>
      <c r="C6" s="479">
        <f t="shared" si="0"/>
        <v>5.2874034691929666</v>
      </c>
      <c r="D6" s="479">
        <f t="shared" si="0"/>
        <v>1.0412311769856357</v>
      </c>
      <c r="E6" s="479">
        <f t="shared" si="0"/>
        <v>15.079709401844241</v>
      </c>
      <c r="F6" s="479">
        <f t="shared" si="0"/>
        <v>1.3196816356795216</v>
      </c>
      <c r="G6" s="479">
        <f t="shared" si="0"/>
        <v>7.6254407484243485</v>
      </c>
      <c r="H6" s="479">
        <f t="shared" si="0"/>
        <v>12.809904317165326</v>
      </c>
      <c r="I6" s="479">
        <f t="shared" si="0"/>
        <v>0.6271051406845306</v>
      </c>
      <c r="J6" s="479">
        <f t="shared" si="0"/>
        <v>8.7278048164830047</v>
      </c>
      <c r="K6" s="479">
        <f t="shared" si="0"/>
        <v>1.542520883784402</v>
      </c>
      <c r="L6" s="479">
        <f t="shared" si="0"/>
        <v>8.8208845732135384</v>
      </c>
      <c r="M6" s="479">
        <f t="shared" si="0"/>
        <v>2.6405464886056178</v>
      </c>
      <c r="N6" s="479">
        <f t="shared" si="0"/>
        <v>2.308062442318159</v>
      </c>
      <c r="O6" s="479">
        <f t="shared" si="0"/>
        <v>2.2567896949665935</v>
      </c>
      <c r="P6" s="479">
        <f t="shared" si="0"/>
        <v>8.5448005490128036</v>
      </c>
      <c r="Q6" s="479">
        <f t="shared" si="0"/>
        <v>96.629014064508993</v>
      </c>
      <c r="R6" s="479">
        <f t="shared" si="0"/>
        <v>3.3709859354909959</v>
      </c>
      <c r="S6" s="479">
        <f t="shared" si="0"/>
        <v>100</v>
      </c>
      <c r="T6" s="478"/>
      <c r="U6" s="478"/>
      <c r="V6" s="447"/>
    </row>
    <row r="7" spans="1:24" ht="9.75" customHeight="1">
      <c r="A7" s="22" t="s">
        <v>809</v>
      </c>
      <c r="B7" s="721">
        <v>46003</v>
      </c>
      <c r="C7" s="721">
        <v>13897</v>
      </c>
      <c r="D7" s="721">
        <v>2997</v>
      </c>
      <c r="E7" s="721">
        <v>41805</v>
      </c>
      <c r="F7" s="721">
        <v>3640</v>
      </c>
      <c r="G7" s="721">
        <v>21159</v>
      </c>
      <c r="H7" s="721">
        <v>35312</v>
      </c>
      <c r="I7" s="721">
        <v>1740</v>
      </c>
      <c r="J7" s="721">
        <v>25524</v>
      </c>
      <c r="K7" s="721">
        <v>4207</v>
      </c>
      <c r="L7" s="721">
        <v>23995</v>
      </c>
      <c r="M7" s="721">
        <v>7117</v>
      </c>
      <c r="N7" s="721">
        <v>6352</v>
      </c>
      <c r="O7" s="721">
        <v>6079</v>
      </c>
      <c r="P7" s="721">
        <v>23698</v>
      </c>
      <c r="Q7" s="721">
        <f>SUM(B7:P7)</f>
        <v>263525</v>
      </c>
      <c r="R7" s="721">
        <v>9676</v>
      </c>
      <c r="S7" s="721">
        <v>273201</v>
      </c>
      <c r="T7" s="721">
        <v>12543</v>
      </c>
      <c r="U7" s="721">
        <f>S7+T7</f>
        <v>285744</v>
      </c>
      <c r="V7" s="59" t="s">
        <v>809</v>
      </c>
    </row>
    <row r="8" spans="1:24" ht="9.75" customHeight="1">
      <c r="A8" s="446"/>
      <c r="B8" s="479">
        <f t="shared" ref="B8:S8" si="1">(B7/$S7)*100</f>
        <v>16.838518160621664</v>
      </c>
      <c r="C8" s="479">
        <f t="shared" si="1"/>
        <v>5.0867310148937959</v>
      </c>
      <c r="D8" s="479">
        <f t="shared" si="1"/>
        <v>1.0969945205178604</v>
      </c>
      <c r="E8" s="479">
        <f t="shared" si="1"/>
        <v>15.301920563980367</v>
      </c>
      <c r="F8" s="479">
        <f t="shared" si="1"/>
        <v>1.3323523705989362</v>
      </c>
      <c r="G8" s="479">
        <f t="shared" si="1"/>
        <v>7.7448472004128828</v>
      </c>
      <c r="H8" s="479">
        <f t="shared" si="1"/>
        <v>12.925282118293858</v>
      </c>
      <c r="I8" s="479">
        <f t="shared" si="1"/>
        <v>0.63689371561597508</v>
      </c>
      <c r="J8" s="479">
        <f t="shared" si="1"/>
        <v>9.3425719525184743</v>
      </c>
      <c r="K8" s="479">
        <f t="shared" si="1"/>
        <v>1.5398918744806938</v>
      </c>
      <c r="L8" s="479">
        <f t="shared" si="1"/>
        <v>8.7829107506927127</v>
      </c>
      <c r="M8" s="479">
        <f t="shared" si="1"/>
        <v>2.6050417092177551</v>
      </c>
      <c r="N8" s="479">
        <f t="shared" si="1"/>
        <v>2.3250280928693527</v>
      </c>
      <c r="O8" s="479">
        <f t="shared" si="1"/>
        <v>2.2251016650744324</v>
      </c>
      <c r="P8" s="479">
        <f t="shared" si="1"/>
        <v>8.6741995819927453</v>
      </c>
      <c r="Q8" s="479">
        <f t="shared" si="1"/>
        <v>96.458285291781507</v>
      </c>
      <c r="R8" s="479">
        <f t="shared" si="1"/>
        <v>3.5417147082184917</v>
      </c>
      <c r="S8" s="479">
        <f t="shared" si="1"/>
        <v>100</v>
      </c>
      <c r="T8" s="478"/>
      <c r="U8" s="478"/>
      <c r="V8" s="447"/>
    </row>
    <row r="9" spans="1:24" ht="9.75" customHeight="1">
      <c r="A9" s="22" t="s">
        <v>810</v>
      </c>
      <c r="B9" s="721">
        <v>48798</v>
      </c>
      <c r="C9" s="721">
        <v>14259</v>
      </c>
      <c r="D9" s="721">
        <v>3309</v>
      </c>
      <c r="E9" s="721">
        <v>45813</v>
      </c>
      <c r="F9" s="721">
        <v>3989</v>
      </c>
      <c r="G9" s="721">
        <v>23016</v>
      </c>
      <c r="H9" s="721">
        <v>39103</v>
      </c>
      <c r="I9" s="721">
        <v>1944</v>
      </c>
      <c r="J9" s="721">
        <v>31112</v>
      </c>
      <c r="K9" s="721">
        <v>4718</v>
      </c>
      <c r="L9" s="721">
        <v>25678</v>
      </c>
      <c r="M9" s="721">
        <v>7783</v>
      </c>
      <c r="N9" s="721">
        <v>7064</v>
      </c>
      <c r="O9" s="721">
        <v>6602</v>
      </c>
      <c r="P9" s="721">
        <v>26685</v>
      </c>
      <c r="Q9" s="721">
        <f>SUM(B9:P9)</f>
        <v>289873</v>
      </c>
      <c r="R9" s="721">
        <v>10707</v>
      </c>
      <c r="S9" s="721">
        <v>300580</v>
      </c>
      <c r="T9" s="721">
        <v>16583</v>
      </c>
      <c r="U9" s="721">
        <f>S9+T9</f>
        <v>317163</v>
      </c>
      <c r="V9" s="59" t="s">
        <v>810</v>
      </c>
    </row>
    <row r="10" spans="1:24" ht="9.75" customHeight="1">
      <c r="A10" s="446"/>
      <c r="B10" s="479">
        <f t="shared" ref="B10:S10" si="2">(B9/$S9)*100</f>
        <v>16.234613081376008</v>
      </c>
      <c r="C10" s="479">
        <f t="shared" si="2"/>
        <v>4.7438285980437822</v>
      </c>
      <c r="D10" s="479">
        <f t="shared" si="2"/>
        <v>1.1008716481469161</v>
      </c>
      <c r="E10" s="479">
        <f t="shared" si="2"/>
        <v>15.241533036130148</v>
      </c>
      <c r="F10" s="479">
        <f t="shared" si="2"/>
        <v>1.3271009381861734</v>
      </c>
      <c r="G10" s="479">
        <f t="shared" si="2"/>
        <v>7.657196087564043</v>
      </c>
      <c r="H10" s="479">
        <f t="shared" si="2"/>
        <v>13.009182247654536</v>
      </c>
      <c r="I10" s="479">
        <f t="shared" si="2"/>
        <v>0.64674961740634773</v>
      </c>
      <c r="J10" s="479">
        <f t="shared" si="2"/>
        <v>10.350655399560848</v>
      </c>
      <c r="K10" s="479">
        <f t="shared" si="2"/>
        <v>1.5696320447135537</v>
      </c>
      <c r="L10" s="479">
        <f t="shared" si="2"/>
        <v>8.5428172200412522</v>
      </c>
      <c r="M10" s="479">
        <f t="shared" si="2"/>
        <v>2.5893273005522657</v>
      </c>
      <c r="N10" s="479">
        <f t="shared" si="2"/>
        <v>2.3501230953489922</v>
      </c>
      <c r="O10" s="479">
        <f t="shared" si="2"/>
        <v>2.1964202541752611</v>
      </c>
      <c r="P10" s="479">
        <f t="shared" si="2"/>
        <v>8.8778361833788004</v>
      </c>
      <c r="Q10" s="479">
        <f t="shared" si="2"/>
        <v>96.437886752278928</v>
      </c>
      <c r="R10" s="479">
        <f t="shared" si="2"/>
        <v>3.5621132477210731</v>
      </c>
      <c r="S10" s="479">
        <f t="shared" si="2"/>
        <v>100</v>
      </c>
      <c r="T10" s="478"/>
      <c r="U10" s="478"/>
      <c r="V10" s="447"/>
    </row>
    <row r="11" spans="1:24" ht="9.75" customHeight="1">
      <c r="A11" s="22" t="s">
        <v>811</v>
      </c>
      <c r="B11" s="721">
        <v>52419</v>
      </c>
      <c r="C11" s="721">
        <v>14783</v>
      </c>
      <c r="D11" s="721">
        <v>3644</v>
      </c>
      <c r="E11" s="721">
        <v>51527</v>
      </c>
      <c r="F11" s="721">
        <v>4425</v>
      </c>
      <c r="G11" s="721">
        <v>25397</v>
      </c>
      <c r="H11" s="721">
        <v>44103</v>
      </c>
      <c r="I11" s="721">
        <v>2202</v>
      </c>
      <c r="J11" s="721">
        <v>34444</v>
      </c>
      <c r="K11" s="721">
        <v>5197</v>
      </c>
      <c r="L11" s="721">
        <v>27601</v>
      </c>
      <c r="M11" s="721">
        <v>8624</v>
      </c>
      <c r="N11" s="721">
        <v>7873</v>
      </c>
      <c r="O11" s="721">
        <v>7197</v>
      </c>
      <c r="P11" s="721">
        <v>30028</v>
      </c>
      <c r="Q11" s="721">
        <f>SUM(B11:P11)</f>
        <v>319464</v>
      </c>
      <c r="R11" s="721">
        <v>13510</v>
      </c>
      <c r="S11" s="721">
        <v>332973</v>
      </c>
      <c r="T11" s="721">
        <v>17553</v>
      </c>
      <c r="U11" s="721">
        <f>S11+T11</f>
        <v>350526</v>
      </c>
      <c r="V11" s="59" t="s">
        <v>811</v>
      </c>
    </row>
    <row r="12" spans="1:24" ht="9.75" customHeight="1">
      <c r="A12" s="446"/>
      <c r="B12" s="479">
        <f t="shared" ref="B12:S12" si="3">(B11/$S11)*100</f>
        <v>15.742717878026147</v>
      </c>
      <c r="C12" s="479">
        <f t="shared" si="3"/>
        <v>4.439699314959471</v>
      </c>
      <c r="D12" s="479">
        <f t="shared" si="3"/>
        <v>1.0943830280533255</v>
      </c>
      <c r="E12" s="479">
        <f t="shared" si="3"/>
        <v>15.47482828938082</v>
      </c>
      <c r="F12" s="479">
        <f t="shared" si="3"/>
        <v>1.3289365804434594</v>
      </c>
      <c r="G12" s="479">
        <f t="shared" si="3"/>
        <v>7.6273451601180877</v>
      </c>
      <c r="H12" s="479">
        <f t="shared" si="3"/>
        <v>13.245218080745286</v>
      </c>
      <c r="I12" s="479">
        <f t="shared" si="3"/>
        <v>0.66131488138677907</v>
      </c>
      <c r="J12" s="479">
        <f t="shared" si="3"/>
        <v>10.344382277241698</v>
      </c>
      <c r="K12" s="479">
        <f t="shared" si="3"/>
        <v>1.560787210975064</v>
      </c>
      <c r="L12" s="479">
        <f t="shared" si="3"/>
        <v>8.2892606908067616</v>
      </c>
      <c r="M12" s="479">
        <f t="shared" si="3"/>
        <v>2.5899997897727443</v>
      </c>
      <c r="N12" s="479">
        <f t="shared" si="3"/>
        <v>2.3644559769110409</v>
      </c>
      <c r="O12" s="479">
        <f t="shared" si="3"/>
        <v>2.1614365128704129</v>
      </c>
      <c r="P12" s="479">
        <f t="shared" si="3"/>
        <v>9.0181486186567685</v>
      </c>
      <c r="Q12" s="479">
        <f t="shared" si="3"/>
        <v>95.942914290347872</v>
      </c>
      <c r="R12" s="479">
        <f t="shared" si="3"/>
        <v>4.0573860343030814</v>
      </c>
      <c r="S12" s="479">
        <f t="shared" si="3"/>
        <v>100</v>
      </c>
      <c r="T12" s="478"/>
      <c r="U12" s="478"/>
      <c r="V12" s="447"/>
    </row>
    <row r="13" spans="1:24" ht="9.75" customHeight="1">
      <c r="A13" s="7" t="s">
        <v>812</v>
      </c>
      <c r="B13" s="721">
        <v>56167</v>
      </c>
      <c r="C13" s="721">
        <v>15456</v>
      </c>
      <c r="D13" s="721">
        <v>4041</v>
      </c>
      <c r="E13" s="721">
        <v>58795</v>
      </c>
      <c r="F13" s="721">
        <v>4909</v>
      </c>
      <c r="G13" s="721">
        <v>29061</v>
      </c>
      <c r="H13" s="721">
        <v>50278</v>
      </c>
      <c r="I13" s="721">
        <v>2512</v>
      </c>
      <c r="J13" s="721">
        <v>38289</v>
      </c>
      <c r="K13" s="721">
        <v>5934</v>
      </c>
      <c r="L13" s="721">
        <v>29744</v>
      </c>
      <c r="M13" s="721">
        <v>9638</v>
      </c>
      <c r="N13" s="721">
        <v>8788</v>
      </c>
      <c r="O13" s="721">
        <v>8104</v>
      </c>
      <c r="P13" s="721">
        <v>33876</v>
      </c>
      <c r="Q13" s="721">
        <f>SUM(B13:P13)</f>
        <v>355592</v>
      </c>
      <c r="R13" s="721">
        <v>15113</v>
      </c>
      <c r="S13" s="721">
        <v>370707</v>
      </c>
      <c r="T13" s="721">
        <v>18928</v>
      </c>
      <c r="U13" s="721">
        <f>S13+T13</f>
        <v>389635</v>
      </c>
      <c r="V13" s="50" t="s">
        <v>812</v>
      </c>
    </row>
    <row r="14" spans="1:24" ht="9.75" customHeight="1">
      <c r="A14" s="446"/>
      <c r="B14" s="479">
        <f t="shared" ref="B14:S14" si="4">(B13/$S13)*100</f>
        <v>15.15131896619163</v>
      </c>
      <c r="C14" s="479">
        <f t="shared" si="4"/>
        <v>4.1693304955126287</v>
      </c>
      <c r="D14" s="479">
        <f t="shared" si="4"/>
        <v>1.0900792269905881</v>
      </c>
      <c r="E14" s="479">
        <f t="shared" si="4"/>
        <v>15.860234632742301</v>
      </c>
      <c r="F14" s="479">
        <f t="shared" si="4"/>
        <v>1.3242264106153918</v>
      </c>
      <c r="G14" s="479">
        <f t="shared" si="4"/>
        <v>7.8393448194935624</v>
      </c>
      <c r="H14" s="479">
        <f t="shared" si="4"/>
        <v>13.56273283212888</v>
      </c>
      <c r="I14" s="479">
        <f t="shared" si="4"/>
        <v>0.67762410744873991</v>
      </c>
      <c r="J14" s="479">
        <f t="shared" si="4"/>
        <v>10.328642297016243</v>
      </c>
      <c r="K14" s="479">
        <f t="shared" si="4"/>
        <v>1.6007251009557415</v>
      </c>
      <c r="L14" s="479">
        <f t="shared" si="4"/>
        <v>8.0235873614471807</v>
      </c>
      <c r="M14" s="479">
        <f t="shared" si="4"/>
        <v>2.5998969536588192</v>
      </c>
      <c r="N14" s="479">
        <f t="shared" si="4"/>
        <v>2.3706053567912124</v>
      </c>
      <c r="O14" s="479">
        <f t="shared" si="4"/>
        <v>2.1860930600177499</v>
      </c>
      <c r="P14" s="479">
        <f t="shared" si="4"/>
        <v>9.1382142770435948</v>
      </c>
      <c r="Q14" s="479">
        <f t="shared" si="4"/>
        <v>95.922655898054259</v>
      </c>
      <c r="R14" s="479">
        <f t="shared" si="4"/>
        <v>4.0768045923060532</v>
      </c>
      <c r="S14" s="479">
        <f t="shared" si="4"/>
        <v>100</v>
      </c>
      <c r="T14" s="478"/>
      <c r="U14" s="478"/>
      <c r="V14" s="447"/>
    </row>
    <row r="15" spans="1:24" ht="9.75" customHeight="1">
      <c r="A15" s="22" t="s">
        <v>817</v>
      </c>
      <c r="B15" s="721">
        <v>62223</v>
      </c>
      <c r="C15" s="721">
        <v>16317</v>
      </c>
      <c r="D15" s="721">
        <v>4643</v>
      </c>
      <c r="E15" s="721">
        <v>68923</v>
      </c>
      <c r="F15" s="721">
        <v>5392</v>
      </c>
      <c r="G15" s="721">
        <v>32797</v>
      </c>
      <c r="H15" s="721">
        <v>56984</v>
      </c>
      <c r="I15" s="721">
        <v>2853</v>
      </c>
      <c r="J15" s="721">
        <v>43206</v>
      </c>
      <c r="K15" s="721">
        <v>6684</v>
      </c>
      <c r="L15" s="721">
        <v>32157</v>
      </c>
      <c r="M15" s="721">
        <v>11036</v>
      </c>
      <c r="N15" s="721">
        <v>9935</v>
      </c>
      <c r="O15" s="721">
        <v>9022</v>
      </c>
      <c r="P15" s="721">
        <v>38283</v>
      </c>
      <c r="Q15" s="721">
        <f>SUM(B15:P15)</f>
        <v>400455</v>
      </c>
      <c r="R15" s="721">
        <v>15274</v>
      </c>
      <c r="S15" s="721">
        <v>415728</v>
      </c>
      <c r="T15" s="721">
        <v>27208</v>
      </c>
      <c r="U15" s="721">
        <v>442935</v>
      </c>
      <c r="V15" s="59" t="s">
        <v>817</v>
      </c>
    </row>
    <row r="16" spans="1:24" ht="9.75" customHeight="1">
      <c r="A16" s="446"/>
      <c r="B16" s="479">
        <f t="shared" ref="B16:S16" si="5">(B15/$S15)*100</f>
        <v>14.967238194203903</v>
      </c>
      <c r="C16" s="479">
        <f t="shared" si="5"/>
        <v>3.9249220644267404</v>
      </c>
      <c r="D16" s="479">
        <f t="shared" si="5"/>
        <v>1.116836008159181</v>
      </c>
      <c r="E16" s="479">
        <f t="shared" si="5"/>
        <v>16.578868875803408</v>
      </c>
      <c r="F16" s="479">
        <f t="shared" si="5"/>
        <v>1.2970018858484393</v>
      </c>
      <c r="G16" s="479">
        <f t="shared" si="5"/>
        <v>7.8890524573759766</v>
      </c>
      <c r="H16" s="479">
        <f t="shared" si="5"/>
        <v>13.707039217950198</v>
      </c>
      <c r="I16" s="479">
        <f t="shared" si="5"/>
        <v>0.68626602009005888</v>
      </c>
      <c r="J16" s="479">
        <f t="shared" si="5"/>
        <v>10.392853019281837</v>
      </c>
      <c r="K16" s="479">
        <f t="shared" si="5"/>
        <v>1.6077820113150905</v>
      </c>
      <c r="L16" s="479">
        <f t="shared" si="5"/>
        <v>7.7351056459993073</v>
      </c>
      <c r="M16" s="479">
        <f t="shared" si="5"/>
        <v>2.654620328676442</v>
      </c>
      <c r="N16" s="479">
        <f t="shared" si="5"/>
        <v>2.3897837047300157</v>
      </c>
      <c r="O16" s="479">
        <f t="shared" si="5"/>
        <v>2.1701689566254858</v>
      </c>
      <c r="P16" s="479">
        <f t="shared" si="5"/>
        <v>9.2086652811453646</v>
      </c>
      <c r="Q16" s="479">
        <f t="shared" si="5"/>
        <v>96.326203671631447</v>
      </c>
      <c r="R16" s="479">
        <f t="shared" si="5"/>
        <v>3.6740368702613249</v>
      </c>
      <c r="S16" s="479">
        <f t="shared" si="5"/>
        <v>100</v>
      </c>
      <c r="T16" s="478"/>
      <c r="U16" s="478"/>
      <c r="V16" s="447"/>
    </row>
    <row r="17" spans="1:22" ht="9.75" customHeight="1">
      <c r="A17" s="11" t="s">
        <v>826</v>
      </c>
      <c r="B17" s="334" t="s">
        <v>840</v>
      </c>
      <c r="C17" s="334" t="s">
        <v>841</v>
      </c>
      <c r="D17" s="334" t="s">
        <v>842</v>
      </c>
      <c r="E17" s="334" t="s">
        <v>843</v>
      </c>
      <c r="F17" s="334" t="s">
        <v>844</v>
      </c>
      <c r="G17" s="334" t="s">
        <v>845</v>
      </c>
      <c r="H17" s="334" t="s">
        <v>846</v>
      </c>
      <c r="I17" s="334" t="s">
        <v>847</v>
      </c>
      <c r="J17" s="334" t="s">
        <v>848</v>
      </c>
      <c r="K17" s="334" t="s">
        <v>849</v>
      </c>
      <c r="L17" s="334" t="s">
        <v>850</v>
      </c>
      <c r="M17" s="334" t="s">
        <v>851</v>
      </c>
      <c r="N17" s="334" t="s">
        <v>852</v>
      </c>
      <c r="O17" s="334" t="s">
        <v>853</v>
      </c>
      <c r="P17" s="334" t="s">
        <v>854</v>
      </c>
      <c r="Q17" s="721">
        <f>P17+O17+N17+M17+L17+K17+J17+I17+H17+G17+F17+E17+D17+C17+B17</f>
        <v>456815</v>
      </c>
      <c r="R17" s="334" t="s">
        <v>855</v>
      </c>
      <c r="S17" s="334" t="s">
        <v>856</v>
      </c>
      <c r="T17" s="334" t="s">
        <v>540</v>
      </c>
      <c r="U17" s="334">
        <f>S17+T17</f>
        <v>507753</v>
      </c>
      <c r="V17" s="50" t="s">
        <v>826</v>
      </c>
    </row>
    <row r="18" spans="1:22" ht="9.75" customHeight="1">
      <c r="A18" s="446"/>
      <c r="B18" s="479">
        <f t="shared" ref="B18:S18" si="6">(B17/$S17)*100</f>
        <v>14.84178065810611</v>
      </c>
      <c r="C18" s="479">
        <f t="shared" si="6"/>
        <v>3.763781094106168</v>
      </c>
      <c r="D18" s="479">
        <f t="shared" si="6"/>
        <v>1.126404036598607</v>
      </c>
      <c r="E18" s="479">
        <f t="shared" si="6"/>
        <v>17.181365442127341</v>
      </c>
      <c r="F18" s="479">
        <f t="shared" si="6"/>
        <v>1.1831263744055267</v>
      </c>
      <c r="G18" s="479">
        <f t="shared" si="6"/>
        <v>7.9459952547954709</v>
      </c>
      <c r="H18" s="479">
        <f t="shared" si="6"/>
        <v>13.971262093181256</v>
      </c>
      <c r="I18" s="479">
        <f t="shared" si="6"/>
        <v>0.69611854121999595</v>
      </c>
      <c r="J18" s="479">
        <f t="shared" si="6"/>
        <v>10.351403348734435</v>
      </c>
      <c r="K18" s="479">
        <f t="shared" si="6"/>
        <v>1.6390215820029335</v>
      </c>
      <c r="L18" s="479">
        <f t="shared" si="6"/>
        <v>7.3927408106637991</v>
      </c>
      <c r="M18" s="479">
        <f t="shared" si="6"/>
        <v>2.6970625025133499</v>
      </c>
      <c r="N18" s="479">
        <f t="shared" si="6"/>
        <v>2.4923964552771882</v>
      </c>
      <c r="O18" s="479">
        <f t="shared" si="6"/>
        <v>2.1814818499101545</v>
      </c>
      <c r="P18" s="479">
        <f t="shared" si="6"/>
        <v>9.2211896028801412</v>
      </c>
      <c r="Q18" s="479">
        <f t="shared" si="6"/>
        <v>96.685129646522469</v>
      </c>
      <c r="R18" s="479">
        <f t="shared" si="6"/>
        <v>3.315082003991729</v>
      </c>
      <c r="S18" s="479">
        <f t="shared" si="6"/>
        <v>100</v>
      </c>
      <c r="T18" s="478"/>
      <c r="U18" s="478"/>
      <c r="V18" s="447"/>
    </row>
    <row r="19" spans="1:22" ht="9.75" customHeight="1">
      <c r="A19" s="11" t="s">
        <v>549</v>
      </c>
      <c r="B19" s="361" t="s">
        <v>132</v>
      </c>
      <c r="C19" s="361" t="s">
        <v>133</v>
      </c>
      <c r="D19" s="361" t="s">
        <v>134</v>
      </c>
      <c r="E19" s="361" t="s">
        <v>135</v>
      </c>
      <c r="F19" s="361" t="s">
        <v>136</v>
      </c>
      <c r="G19" s="361" t="s">
        <v>137</v>
      </c>
      <c r="H19" s="361" t="s">
        <v>138</v>
      </c>
      <c r="I19" s="361" t="s">
        <v>139</v>
      </c>
      <c r="J19" s="361" t="s">
        <v>140</v>
      </c>
      <c r="K19" s="361" t="s">
        <v>141</v>
      </c>
      <c r="L19" s="361" t="s">
        <v>142</v>
      </c>
      <c r="M19" s="361" t="s">
        <v>143</v>
      </c>
      <c r="N19" s="361" t="s">
        <v>144</v>
      </c>
      <c r="O19" s="361" t="s">
        <v>145</v>
      </c>
      <c r="P19" s="361" t="s">
        <v>541</v>
      </c>
      <c r="Q19" s="721">
        <f>P19+O19+N19+M19+L19+K19+J19+I19+H19+G19+F19+E19+D19+C19+B19</f>
        <v>525976</v>
      </c>
      <c r="R19" s="334">
        <f>S19-Q19</f>
        <v>19846</v>
      </c>
      <c r="S19" s="334" t="s">
        <v>146</v>
      </c>
      <c r="T19" s="334">
        <v>48390</v>
      </c>
      <c r="U19" s="334">
        <f>S19+T19</f>
        <v>594212</v>
      </c>
      <c r="V19" s="50" t="s">
        <v>549</v>
      </c>
    </row>
    <row r="20" spans="1:22" ht="9.75" customHeight="1">
      <c r="A20" s="446"/>
      <c r="B20" s="479">
        <f t="shared" ref="B20:S20" si="7">(B19/$S19)*100</f>
        <v>14.693801275873819</v>
      </c>
      <c r="C20" s="479">
        <f t="shared" si="7"/>
        <v>3.6257241371729245</v>
      </c>
      <c r="D20" s="479">
        <f t="shared" si="7"/>
        <v>1.1271073720003957</v>
      </c>
      <c r="E20" s="479">
        <f t="shared" si="7"/>
        <v>17.203593845612673</v>
      </c>
      <c r="F20" s="479">
        <f t="shared" si="7"/>
        <v>1.1120841593046817</v>
      </c>
      <c r="G20" s="479">
        <f t="shared" si="7"/>
        <v>8.0344874336322096</v>
      </c>
      <c r="H20" s="479">
        <f t="shared" si="7"/>
        <v>14.330679232423757</v>
      </c>
      <c r="I20" s="479">
        <f t="shared" si="7"/>
        <v>0.7125033435808743</v>
      </c>
      <c r="J20" s="479">
        <f t="shared" si="7"/>
        <v>10.425926400914584</v>
      </c>
      <c r="K20" s="479">
        <f t="shared" si="7"/>
        <v>1.6406447523185215</v>
      </c>
      <c r="L20" s="479">
        <f t="shared" si="7"/>
        <v>6.9726027899205238</v>
      </c>
      <c r="M20" s="479">
        <f t="shared" si="7"/>
        <v>2.6431693848910451</v>
      </c>
      <c r="N20" s="479">
        <f t="shared" si="7"/>
        <v>2.4791965146146544</v>
      </c>
      <c r="O20" s="479">
        <f t="shared" si="7"/>
        <v>2.165357937202971</v>
      </c>
      <c r="P20" s="479">
        <f t="shared" si="7"/>
        <v>9.1971375283517336</v>
      </c>
      <c r="Q20" s="479">
        <f t="shared" si="7"/>
        <v>96.36401610781536</v>
      </c>
      <c r="R20" s="479">
        <f t="shared" si="7"/>
        <v>3.6359838921846315</v>
      </c>
      <c r="S20" s="479">
        <f t="shared" si="7"/>
        <v>100</v>
      </c>
      <c r="T20" s="478"/>
      <c r="U20" s="478"/>
      <c r="V20" s="447"/>
    </row>
    <row r="21" spans="1:22" ht="9.75" customHeight="1">
      <c r="A21" s="11" t="s">
        <v>102</v>
      </c>
      <c r="B21" s="334">
        <v>89426</v>
      </c>
      <c r="C21" s="334">
        <v>21807</v>
      </c>
      <c r="D21" s="334">
        <v>7091</v>
      </c>
      <c r="E21" s="334">
        <v>106445</v>
      </c>
      <c r="F21" s="334">
        <v>6542</v>
      </c>
      <c r="G21" s="334">
        <v>50125</v>
      </c>
      <c r="H21" s="334">
        <v>88277</v>
      </c>
      <c r="I21" s="334">
        <v>4460</v>
      </c>
      <c r="J21" s="334">
        <v>64280</v>
      </c>
      <c r="K21" s="334">
        <v>10245</v>
      </c>
      <c r="L21" s="334">
        <v>41616</v>
      </c>
      <c r="M21" s="334">
        <v>16361</v>
      </c>
      <c r="N21" s="334">
        <v>15494</v>
      </c>
      <c r="O21" s="334">
        <v>13391</v>
      </c>
      <c r="P21" s="334">
        <v>58364</v>
      </c>
      <c r="Q21" s="721">
        <f>SUM(B21:P21)</f>
        <v>593924</v>
      </c>
      <c r="R21" s="334">
        <v>20871</v>
      </c>
      <c r="S21" s="334">
        <f>Q21+R21</f>
        <v>614795</v>
      </c>
      <c r="T21" s="334">
        <v>55901</v>
      </c>
      <c r="U21" s="334">
        <f>S21+T21</f>
        <v>670696</v>
      </c>
      <c r="V21" s="50" t="s">
        <v>102</v>
      </c>
    </row>
    <row r="22" spans="1:22" ht="9.75" customHeight="1">
      <c r="A22" s="446"/>
      <c r="B22" s="479">
        <f>(B21/S21)*100</f>
        <v>14.545661561984078</v>
      </c>
      <c r="C22" s="479">
        <f>(C21/S21)*100</f>
        <v>3.547036003871209</v>
      </c>
      <c r="D22" s="479">
        <f>(D21/S21)*100</f>
        <v>1.1533925942793939</v>
      </c>
      <c r="E22" s="479">
        <f>(E21/S21)*100</f>
        <v>17.313901381761401</v>
      </c>
      <c r="F22" s="479">
        <f>(F21/S21)*100</f>
        <v>1.0640945355768996</v>
      </c>
      <c r="G22" s="479">
        <f>(G21/S21)*100</f>
        <v>8.1531242121357526</v>
      </c>
      <c r="H22" s="479">
        <f>(H21/S21)*100</f>
        <v>14.358769996502899</v>
      </c>
      <c r="I22" s="479">
        <f>(I21/S21)*100</f>
        <v>0.72544506705487199</v>
      </c>
      <c r="J22" s="479">
        <f>(J21/S21)*100</f>
        <v>10.455517692889501</v>
      </c>
      <c r="K22" s="479">
        <f>(K21/S21)*100</f>
        <v>1.6664091282460005</v>
      </c>
      <c r="L22" s="479">
        <f>(L21/S21)*100</f>
        <v>6.7690856301694069</v>
      </c>
      <c r="M22" s="479">
        <f>(M21/S21)*100</f>
        <v>2.6612122740100359</v>
      </c>
      <c r="N22" s="479">
        <f>(N21/S21)*100</f>
        <v>2.5201896567148401</v>
      </c>
      <c r="O22" s="479">
        <f>(O21/S21)*100</f>
        <v>2.1781244154555583</v>
      </c>
      <c r="P22" s="479">
        <f>(P21/S21)*100</f>
        <v>9.4932457160516925</v>
      </c>
      <c r="Q22" s="479">
        <f>(Q21/S21)*100</f>
        <v>96.605209866703532</v>
      </c>
      <c r="R22" s="479">
        <f>(R21/S21)*100</f>
        <v>3.3947901332964645</v>
      </c>
      <c r="S22" s="479">
        <f>(S21/S21)*100</f>
        <v>100</v>
      </c>
      <c r="T22" s="478"/>
      <c r="U22" s="478"/>
      <c r="V22" s="447"/>
    </row>
    <row r="23" spans="1:22" ht="9.75" customHeight="1">
      <c r="A23" s="10" t="s">
        <v>98</v>
      </c>
      <c r="B23" s="362" t="s">
        <v>966</v>
      </c>
      <c r="C23" s="362" t="s">
        <v>967</v>
      </c>
      <c r="D23" s="362" t="s">
        <v>968</v>
      </c>
      <c r="E23" s="362" t="s">
        <v>969</v>
      </c>
      <c r="F23" s="362" t="s">
        <v>970</v>
      </c>
      <c r="G23" s="362" t="s">
        <v>971</v>
      </c>
      <c r="H23" s="362" t="s">
        <v>972</v>
      </c>
      <c r="I23" s="362" t="s">
        <v>973</v>
      </c>
      <c r="J23" s="362" t="s">
        <v>974</v>
      </c>
      <c r="K23" s="362" t="s">
        <v>975</v>
      </c>
      <c r="L23" s="141">
        <v>45683</v>
      </c>
      <c r="M23" s="141">
        <v>18757</v>
      </c>
      <c r="N23" s="141">
        <v>17908</v>
      </c>
      <c r="O23" s="141">
        <v>15142</v>
      </c>
      <c r="P23" s="141">
        <v>68465</v>
      </c>
      <c r="Q23" s="721">
        <f>P23+O23+N23+M23+L23+K23+J23+I23+H23+G23+F23+E23+D23+C23+B23</f>
        <v>671466</v>
      </c>
      <c r="R23" s="141">
        <v>22858</v>
      </c>
      <c r="S23" s="334">
        <f>Q23+R23</f>
        <v>694324</v>
      </c>
      <c r="T23" s="362" t="s">
        <v>1061</v>
      </c>
      <c r="U23" s="334">
        <f>S23+T23</f>
        <v>758928</v>
      </c>
      <c r="V23" s="162" t="s">
        <v>98</v>
      </c>
    </row>
    <row r="24" spans="1:22" ht="9.75" customHeight="1">
      <c r="A24" s="446"/>
      <c r="B24" s="479">
        <f>(B23/S23)*100</f>
        <v>14.487184657306965</v>
      </c>
      <c r="C24" s="479">
        <f>(C23/S23)*100</f>
        <v>3.4887170830908913</v>
      </c>
      <c r="D24" s="479">
        <f>(D23/S23)*100</f>
        <v>1.1686186852247653</v>
      </c>
      <c r="E24" s="479">
        <f>(E23/S23)*100</f>
        <v>17.298552260904131</v>
      </c>
      <c r="F24" s="479">
        <f>(F23/S23)*100</f>
        <v>1.0362597288873783</v>
      </c>
      <c r="G24" s="479">
        <f>(G23/S23)*100</f>
        <v>8.016142319723933</v>
      </c>
      <c r="H24" s="479">
        <f>(H23/S23)*100</f>
        <v>14.444985338257069</v>
      </c>
      <c r="I24" s="479">
        <f>(I23/S23)*100</f>
        <v>0.74172864541626093</v>
      </c>
      <c r="J24" s="479">
        <f>(J23/S23)*100</f>
        <v>10.352515540295308</v>
      </c>
      <c r="K24" s="479">
        <f>(K23/S23)*100</f>
        <v>1.7715072502174776</v>
      </c>
      <c r="L24" s="479">
        <f>(L23/S23)*100</f>
        <v>6.5794931472914664</v>
      </c>
      <c r="M24" s="479">
        <f>(M23/S23)*100</f>
        <v>2.7014765440918072</v>
      </c>
      <c r="N24" s="479">
        <f>(N23/S23)*100</f>
        <v>2.5791993363328936</v>
      </c>
      <c r="O24" s="479">
        <f>(O23/S23)*100</f>
        <v>2.1808262425034997</v>
      </c>
      <c r="P24" s="479">
        <f>(P23/S23)*100</f>
        <v>9.8606702346454966</v>
      </c>
      <c r="Q24" s="479">
        <f>(Q23/S23)*100</f>
        <v>96.707877014189336</v>
      </c>
      <c r="R24" s="479">
        <f>(R23/S23)*100</f>
        <v>3.2921229858106589</v>
      </c>
      <c r="S24" s="479">
        <f>(S23/S23)*100</f>
        <v>100</v>
      </c>
      <c r="T24" s="480"/>
      <c r="U24" s="480"/>
      <c r="V24" s="446"/>
    </row>
    <row r="25" spans="1:22" ht="9.75" customHeight="1">
      <c r="A25" s="11" t="s">
        <v>241</v>
      </c>
      <c r="B25" s="334">
        <v>113582</v>
      </c>
      <c r="C25" s="334">
        <v>26996</v>
      </c>
      <c r="D25" s="334">
        <v>9063</v>
      </c>
      <c r="E25" s="334">
        <v>135550</v>
      </c>
      <c r="F25" s="334">
        <v>8211</v>
      </c>
      <c r="G25" s="334">
        <v>63982</v>
      </c>
      <c r="H25" s="334">
        <v>115959</v>
      </c>
      <c r="I25" s="334">
        <v>5997</v>
      </c>
      <c r="J25" s="334">
        <v>85465</v>
      </c>
      <c r="K25" s="334">
        <v>14484</v>
      </c>
      <c r="L25" s="334">
        <v>50337</v>
      </c>
      <c r="M25" s="334">
        <v>22381</v>
      </c>
      <c r="N25" s="334">
        <v>21308</v>
      </c>
      <c r="O25" s="334">
        <v>17582</v>
      </c>
      <c r="P25" s="334">
        <v>77876</v>
      </c>
      <c r="Q25" s="721">
        <f>SUM(B25:P25)</f>
        <v>768773</v>
      </c>
      <c r="R25" s="334">
        <v>27931</v>
      </c>
      <c r="S25" s="334">
        <f>Q25+R25</f>
        <v>796704</v>
      </c>
      <c r="T25" s="68" t="s">
        <v>1329</v>
      </c>
      <c r="U25" s="334">
        <f>S25+T25</f>
        <v>869218</v>
      </c>
      <c r="V25" s="50" t="s">
        <v>241</v>
      </c>
    </row>
    <row r="26" spans="1:22" ht="9.75" customHeight="1">
      <c r="A26" s="446"/>
      <c r="B26" s="479">
        <f>(B25/S25)*100</f>
        <v>14.256486725308271</v>
      </c>
      <c r="C26" s="479">
        <f>(C25/S25)*100</f>
        <v>3.3884604570831827</v>
      </c>
      <c r="D26" s="479">
        <f>(D25/S25)*100</f>
        <v>1.1375617544282444</v>
      </c>
      <c r="E26" s="479">
        <f>(E25/S25)*100</f>
        <v>17.013847049845364</v>
      </c>
      <c r="F26" s="479">
        <f>(F25/S25)*100</f>
        <v>1.0306211591758043</v>
      </c>
      <c r="G26" s="479">
        <f>(G25/S25)*100</f>
        <v>8.0308370486403984</v>
      </c>
      <c r="H26" s="479">
        <f>(H25/S25)*100</f>
        <v>14.554840944692133</v>
      </c>
      <c r="I26" s="479">
        <f>(I25/S25)*100</f>
        <v>0.75272623207615375</v>
      </c>
      <c r="J26" s="479">
        <f>(J25/S25)*100</f>
        <v>10.72732156484717</v>
      </c>
      <c r="K26" s="479">
        <f>(K25/S25)*100</f>
        <v>1.8179901192914807</v>
      </c>
      <c r="L26" s="479">
        <f>(L25/S25)*100</f>
        <v>6.3181558019038437</v>
      </c>
      <c r="M26" s="479">
        <f>(M25/S25)*100</f>
        <v>2.809198899465799</v>
      </c>
      <c r="N26" s="479">
        <f>(N25/S25)*100</f>
        <v>2.6745190183556251</v>
      </c>
      <c r="O26" s="479">
        <f>(O25/S25)*100</f>
        <v>2.2068421898220669</v>
      </c>
      <c r="P26" s="479">
        <f>(P25/S25)*100</f>
        <v>9.7747720608908697</v>
      </c>
      <c r="Q26" s="479">
        <f>(Q25/S25)*100</f>
        <v>96.494181025826407</v>
      </c>
      <c r="R26" s="479">
        <f>(R25/S25)*100</f>
        <v>3.5058189741735952</v>
      </c>
      <c r="S26" s="479">
        <f>(S25/S25)*100</f>
        <v>100</v>
      </c>
      <c r="T26" s="453"/>
      <c r="U26" s="478"/>
      <c r="V26" s="446"/>
    </row>
    <row r="27" spans="1:22" s="642" customFormat="1" ht="9.75" customHeight="1">
      <c r="A27" s="251" t="s">
        <v>1142</v>
      </c>
      <c r="B27" s="211">
        <v>125751</v>
      </c>
      <c r="C27" s="211">
        <v>31003</v>
      </c>
      <c r="D27" s="211">
        <v>10446</v>
      </c>
      <c r="E27" s="211">
        <v>155750</v>
      </c>
      <c r="F27" s="211">
        <v>9595</v>
      </c>
      <c r="G27" s="211">
        <v>76635</v>
      </c>
      <c r="H27" s="211">
        <v>130684</v>
      </c>
      <c r="I27" s="211">
        <v>7137</v>
      </c>
      <c r="J27" s="211">
        <v>101810</v>
      </c>
      <c r="K27" s="211">
        <v>17576</v>
      </c>
      <c r="L27" s="211">
        <v>58949</v>
      </c>
      <c r="M27" s="211">
        <v>25320</v>
      </c>
      <c r="N27" s="211">
        <v>24058</v>
      </c>
      <c r="O27" s="211">
        <v>20574</v>
      </c>
      <c r="P27" s="211">
        <v>91485</v>
      </c>
      <c r="Q27" s="725">
        <f>SUM(B27:P27)</f>
        <v>886773</v>
      </c>
      <c r="R27" s="211">
        <v>31368</v>
      </c>
      <c r="S27" s="726">
        <f>Q27+R27</f>
        <v>918141</v>
      </c>
      <c r="T27" s="211">
        <v>89302</v>
      </c>
      <c r="U27" s="726">
        <f>S27+T27</f>
        <v>1007443</v>
      </c>
      <c r="V27" s="315" t="s">
        <v>1142</v>
      </c>
    </row>
    <row r="28" spans="1:22" s="100" customFormat="1" ht="9.75" customHeight="1">
      <c r="A28" s="446"/>
      <c r="B28" s="479">
        <f>(B27/S27)*100</f>
        <v>13.696262338791101</v>
      </c>
      <c r="C28" s="479">
        <f>(C27/S27)*100</f>
        <v>3.3767144697818745</v>
      </c>
      <c r="D28" s="479">
        <f>(D27/S27)*100</f>
        <v>1.1377337467774558</v>
      </c>
      <c r="E28" s="479">
        <f>(E27/S27)*100</f>
        <v>16.963625412654483</v>
      </c>
      <c r="F28" s="479">
        <f>(F27/S27)*100</f>
        <v>1.0450464580059053</v>
      </c>
      <c r="G28" s="479">
        <f>(G27/S27)*100</f>
        <v>8.3467571974239245</v>
      </c>
      <c r="H28" s="479">
        <f>(H27/S27)*100</f>
        <v>14.233543649613731</v>
      </c>
      <c r="I28" s="479">
        <f>(I27/S27)*100</f>
        <v>0.77733158632497623</v>
      </c>
      <c r="J28" s="479">
        <f>(J27/S27)*100</f>
        <v>11.088710775360211</v>
      </c>
      <c r="K28" s="479">
        <f>(K27/S27)*100</f>
        <v>1.9143029229715263</v>
      </c>
      <c r="L28" s="479">
        <f>(L27/S27)*100</f>
        <v>6.4204735438238796</v>
      </c>
      <c r="M28" s="479">
        <f>(M27/S27)*100</f>
        <v>2.7577463592193356</v>
      </c>
      <c r="N28" s="479">
        <f>(N27/S27)*100</f>
        <v>2.6202947041903148</v>
      </c>
      <c r="O28" s="479">
        <f>(O27/S27)*100</f>
        <v>2.2408322904651898</v>
      </c>
      <c r="P28" s="479">
        <f>(P27/S27)*100</f>
        <v>9.9641558322741286</v>
      </c>
      <c r="Q28" s="479">
        <f>(Q27/S27)*100</f>
        <v>96.583531287678042</v>
      </c>
      <c r="R28" s="479">
        <f>(R27/S27)*100</f>
        <v>3.4164687123219637</v>
      </c>
      <c r="S28" s="479">
        <f>(S27/S27)*100</f>
        <v>100</v>
      </c>
      <c r="T28" s="480"/>
      <c r="U28" s="480"/>
      <c r="V28" s="446"/>
    </row>
    <row r="29" spans="1:22" s="100" customFormat="1" ht="9.75" customHeight="1">
      <c r="A29" s="251" t="s">
        <v>1915</v>
      </c>
      <c r="B29" s="726">
        <v>70171</v>
      </c>
      <c r="C29" s="726">
        <v>16814</v>
      </c>
      <c r="D29" s="726">
        <v>7009</v>
      </c>
      <c r="E29" s="726">
        <v>73834</v>
      </c>
      <c r="F29" s="726">
        <v>5553</v>
      </c>
      <c r="G29" s="726">
        <v>29825</v>
      </c>
      <c r="H29" s="726">
        <v>62352</v>
      </c>
      <c r="I29" s="726">
        <v>3467</v>
      </c>
      <c r="J29" s="726">
        <v>46497</v>
      </c>
      <c r="K29" s="726">
        <v>14216</v>
      </c>
      <c r="L29" s="726">
        <v>37935</v>
      </c>
      <c r="M29" s="726">
        <v>14089</v>
      </c>
      <c r="N29" s="726">
        <v>9962</v>
      </c>
      <c r="O29" s="726">
        <v>9288</v>
      </c>
      <c r="P29" s="726">
        <v>56600</v>
      </c>
      <c r="Q29" s="725">
        <f>SUM(B29:P29)</f>
        <v>457612</v>
      </c>
      <c r="R29" s="726">
        <v>24725</v>
      </c>
      <c r="S29" s="726">
        <f>Q29+R29</f>
        <v>482337</v>
      </c>
      <c r="T29" s="726">
        <v>27208</v>
      </c>
      <c r="U29" s="726">
        <f>S29+T29</f>
        <v>509545</v>
      </c>
      <c r="V29" s="315" t="s">
        <v>1915</v>
      </c>
    </row>
    <row r="30" spans="1:22" s="100" customFormat="1" ht="9.75" customHeight="1">
      <c r="A30" s="446"/>
      <c r="B30" s="479">
        <f>(B29/S29)*100</f>
        <v>14.548127139323752</v>
      </c>
      <c r="C30" s="479">
        <f>(C29/S29)*100</f>
        <v>3.4859444745064136</v>
      </c>
      <c r="D30" s="479">
        <f>(D29/S29)*100</f>
        <v>1.4531333901400889</v>
      </c>
      <c r="E30" s="479">
        <f>(E29/S29)*100</f>
        <v>15.307554676502114</v>
      </c>
      <c r="F30" s="479">
        <f>(F29/S29)*100</f>
        <v>1.151269755378501</v>
      </c>
      <c r="G30" s="479">
        <f>(G29/S29)*100</f>
        <v>6.1834360623381581</v>
      </c>
      <c r="H30" s="479">
        <f>(H29/S29)*100</f>
        <v>12.927061369955032</v>
      </c>
      <c r="I30" s="479">
        <f>(I29/S29)*100</f>
        <v>0.71879204788353368</v>
      </c>
      <c r="J30" s="479">
        <f>(J29/S29)*100</f>
        <v>9.6399405394983173</v>
      </c>
      <c r="K30" s="479">
        <f>(K29/S29)*100</f>
        <v>2.9473169174249541</v>
      </c>
      <c r="L30" s="479">
        <f>(L29/S29)*100</f>
        <v>7.8648330938741999</v>
      </c>
      <c r="M30" s="479">
        <f>(M29/S29)*100</f>
        <v>2.9209867789533042</v>
      </c>
      <c r="N30" s="479">
        <f>(N29/S29)*100</f>
        <v>2.0653609405871829</v>
      </c>
      <c r="O30" s="479">
        <f>(O29/S29)*100</f>
        <v>1.9256246151549643</v>
      </c>
      <c r="P30" s="479">
        <f>(P29/S29)*100</f>
        <v>11.734534153506781</v>
      </c>
      <c r="Q30" s="479">
        <f>(Q29/S29)*100</f>
        <v>94.8739159550273</v>
      </c>
      <c r="R30" s="479">
        <f>(R29/S29)*100</f>
        <v>5.1260840449727052</v>
      </c>
      <c r="S30" s="479">
        <f>(S29/S29)*100</f>
        <v>100</v>
      </c>
      <c r="T30" s="480"/>
      <c r="U30" s="480"/>
      <c r="V30" s="447"/>
    </row>
    <row r="31" spans="1:22" s="100" customFormat="1" ht="9.75" customHeight="1">
      <c r="A31" s="251" t="s">
        <v>826</v>
      </c>
      <c r="B31" s="726">
        <v>79010</v>
      </c>
      <c r="C31" s="726">
        <v>18890</v>
      </c>
      <c r="D31" s="726">
        <v>7866</v>
      </c>
      <c r="E31" s="726">
        <v>87606</v>
      </c>
      <c r="F31" s="726">
        <v>5720</v>
      </c>
      <c r="G31" s="726">
        <v>33513</v>
      </c>
      <c r="H31" s="726">
        <v>72971</v>
      </c>
      <c r="I31" s="726">
        <v>4069</v>
      </c>
      <c r="J31" s="726">
        <v>53132</v>
      </c>
      <c r="K31" s="726">
        <v>16265</v>
      </c>
      <c r="L31" s="726">
        <v>41337</v>
      </c>
      <c r="M31" s="726">
        <v>17132</v>
      </c>
      <c r="N31" s="726">
        <v>11853</v>
      </c>
      <c r="O31" s="726">
        <v>10453</v>
      </c>
      <c r="P31" s="726">
        <v>63544</v>
      </c>
      <c r="Q31" s="725">
        <f>SUM(B31:P31)</f>
        <v>523361</v>
      </c>
      <c r="R31" s="726">
        <v>26439</v>
      </c>
      <c r="S31" s="726">
        <f>Q31+R31</f>
        <v>549800</v>
      </c>
      <c r="T31" s="726">
        <v>35276</v>
      </c>
      <c r="U31" s="726">
        <f>S31+T31</f>
        <v>585076</v>
      </c>
      <c r="V31" s="315" t="s">
        <v>826</v>
      </c>
    </row>
    <row r="32" spans="1:22" s="100" customFormat="1" ht="9.75" customHeight="1">
      <c r="A32" s="446"/>
      <c r="B32" s="479">
        <f>(B31/S31)*100</f>
        <v>14.370680247362678</v>
      </c>
      <c r="C32" s="479">
        <f>(C31/S31)*100</f>
        <v>3.4357948344852671</v>
      </c>
      <c r="D32" s="479">
        <f>(D31/S31)*100</f>
        <v>1.4307020734812659</v>
      </c>
      <c r="E32" s="479">
        <f>(E31/S31)*100</f>
        <v>15.934157875591124</v>
      </c>
      <c r="F32" s="479">
        <f>(F31/S31)*100</f>
        <v>1.0403783193888687</v>
      </c>
      <c r="G32" s="479">
        <f>(G31/S31)*100</f>
        <v>6.0954892688250268</v>
      </c>
      <c r="H32" s="479">
        <f>(H31/S31)*100</f>
        <v>13.272280829392507</v>
      </c>
      <c r="I32" s="479">
        <f>(I31/S31)*100</f>
        <v>0.74008730447435422</v>
      </c>
      <c r="J32" s="479">
        <f>(J31/S31)*100</f>
        <v>9.663877773735905</v>
      </c>
      <c r="K32" s="479">
        <f>(K31/S31)*100</f>
        <v>2.9583484903601307</v>
      </c>
      <c r="L32" s="479">
        <f>(L31/S31)*100</f>
        <v>7.5185522008002907</v>
      </c>
      <c r="M32" s="479">
        <f>(M31/S31)*100</f>
        <v>3.1160421971626042</v>
      </c>
      <c r="N32" s="479">
        <f>(N31/S31)*100</f>
        <v>2.1558748635867588</v>
      </c>
      <c r="O32" s="479">
        <f>(O31/S31)*100</f>
        <v>1.9012368133866859</v>
      </c>
      <c r="P32" s="479">
        <f>(P31/S31)*100</f>
        <v>11.557657329938159</v>
      </c>
      <c r="Q32" s="479">
        <f>(Q31/S31)*100</f>
        <v>95.191160421971617</v>
      </c>
      <c r="R32" s="479">
        <f>(R31/S31)*100</f>
        <v>4.8088395780283744</v>
      </c>
      <c r="S32" s="479">
        <f>(S31/S31)*100</f>
        <v>100</v>
      </c>
      <c r="T32" s="480"/>
      <c r="U32" s="480"/>
      <c r="V32" s="447"/>
    </row>
    <row r="33" spans="1:22" s="100" customFormat="1" ht="9.75" customHeight="1">
      <c r="A33" s="251" t="s">
        <v>549</v>
      </c>
      <c r="B33" s="726">
        <v>89986</v>
      </c>
      <c r="C33" s="726">
        <v>20635</v>
      </c>
      <c r="D33" s="726">
        <v>9110</v>
      </c>
      <c r="E33" s="726">
        <v>101371</v>
      </c>
      <c r="F33" s="726">
        <v>6441</v>
      </c>
      <c r="G33" s="726">
        <v>38532</v>
      </c>
      <c r="H33" s="726">
        <v>86149</v>
      </c>
      <c r="I33" s="726">
        <v>4826</v>
      </c>
      <c r="J33" s="726">
        <v>59620</v>
      </c>
      <c r="K33" s="726">
        <v>18702</v>
      </c>
      <c r="L33" s="726">
        <v>45118</v>
      </c>
      <c r="M33" s="726">
        <v>19664</v>
      </c>
      <c r="N33" s="726">
        <v>14332</v>
      </c>
      <c r="O33" s="726">
        <v>12164</v>
      </c>
      <c r="P33" s="726">
        <v>72200</v>
      </c>
      <c r="Q33" s="725">
        <f>SUM(B33:P33)</f>
        <v>598850</v>
      </c>
      <c r="R33" s="726">
        <v>29832</v>
      </c>
      <c r="S33" s="726">
        <f>Q33+R33</f>
        <v>628682</v>
      </c>
      <c r="T33" s="726">
        <v>48390</v>
      </c>
      <c r="U33" s="726">
        <f>S33+T33</f>
        <v>677072</v>
      </c>
      <c r="V33" s="315" t="s">
        <v>549</v>
      </c>
    </row>
    <row r="34" spans="1:22" s="100" customFormat="1" ht="9.75" customHeight="1">
      <c r="A34" s="446"/>
      <c r="B34" s="479">
        <f>(B33/S33)*100</f>
        <v>14.313436681820061</v>
      </c>
      <c r="C34" s="479">
        <f>(C33/S33)*100</f>
        <v>3.2822635290973818</v>
      </c>
      <c r="D34" s="479">
        <f>(D33/S33)*100</f>
        <v>1.4490632784142061</v>
      </c>
      <c r="E34" s="479">
        <f>(E33/S33)*100</f>
        <v>16.124368122516628</v>
      </c>
      <c r="F34" s="479">
        <f>(F33/S33)*100</f>
        <v>1.0245243223123932</v>
      </c>
      <c r="G34" s="479">
        <f>(G33/S33)*100</f>
        <v>6.1290127600281217</v>
      </c>
      <c r="H34" s="479">
        <f>(H33/S33)*100</f>
        <v>13.703112225258558</v>
      </c>
      <c r="I34" s="479">
        <f>(I33/S33)*100</f>
        <v>0.76763769282403505</v>
      </c>
      <c r="J34" s="479">
        <f>(J33/S33)*100</f>
        <v>9.4833317957250252</v>
      </c>
      <c r="K34" s="479">
        <f>(K33/S33)*100</f>
        <v>2.9747948883537307</v>
      </c>
      <c r="L34" s="479">
        <f>(L33/S33)*100</f>
        <v>7.1766012069695018</v>
      </c>
      <c r="M34" s="479">
        <f>(M33/S33)*100</f>
        <v>3.1278134255474148</v>
      </c>
      <c r="N34" s="479">
        <f>(N33/S33)*100</f>
        <v>2.2796898909146437</v>
      </c>
      <c r="O34" s="479">
        <f>(O33/S33)*100</f>
        <v>1.9348414619791883</v>
      </c>
      <c r="P34" s="479">
        <f>(P33/S33)*100</f>
        <v>11.484343435950132</v>
      </c>
      <c r="Q34" s="479">
        <f>(Q33/S33)*100</f>
        <v>95.25483471771102</v>
      </c>
      <c r="R34" s="479">
        <f>(R33/S33)*100</f>
        <v>4.7451652822889798</v>
      </c>
      <c r="S34" s="479">
        <f>(S33/S33)*100</f>
        <v>100</v>
      </c>
      <c r="T34" s="480"/>
      <c r="U34" s="480"/>
      <c r="V34" s="447"/>
    </row>
    <row r="35" spans="1:22" s="100" customFormat="1" ht="9.75" customHeight="1">
      <c r="A35" s="251" t="s">
        <v>102</v>
      </c>
      <c r="B35" s="726">
        <v>97807</v>
      </c>
      <c r="C35" s="726">
        <v>22793</v>
      </c>
      <c r="D35" s="726">
        <v>10963</v>
      </c>
      <c r="E35" s="726">
        <v>116197</v>
      </c>
      <c r="F35" s="726">
        <v>7012</v>
      </c>
      <c r="G35" s="726">
        <v>44180</v>
      </c>
      <c r="H35" s="726">
        <v>96094</v>
      </c>
      <c r="I35" s="726">
        <v>5790</v>
      </c>
      <c r="J35" s="726">
        <v>67185</v>
      </c>
      <c r="K35" s="726">
        <v>20003</v>
      </c>
      <c r="L35" s="726">
        <v>49448</v>
      </c>
      <c r="M35" s="726">
        <v>22464</v>
      </c>
      <c r="N35" s="726">
        <v>16250</v>
      </c>
      <c r="O35" s="726">
        <v>13368</v>
      </c>
      <c r="P35" s="726">
        <v>85366</v>
      </c>
      <c r="Q35" s="725">
        <f>SUM(B35:P35)</f>
        <v>674920</v>
      </c>
      <c r="R35" s="726">
        <v>30152</v>
      </c>
      <c r="S35" s="726">
        <f>Q35+R35</f>
        <v>705072</v>
      </c>
      <c r="T35" s="726">
        <v>55901</v>
      </c>
      <c r="U35" s="726">
        <f>S35+T35</f>
        <v>760973</v>
      </c>
      <c r="V35" s="315" t="s">
        <v>102</v>
      </c>
    </row>
    <row r="36" spans="1:22" s="100" customFormat="1" ht="9.75" customHeight="1">
      <c r="A36" s="446"/>
      <c r="B36" s="479">
        <f>(B35/S35)*100</f>
        <v>13.871916626954411</v>
      </c>
      <c r="C36" s="479">
        <f>(C35/S35)*100</f>
        <v>3.2327194953139538</v>
      </c>
      <c r="D36" s="479">
        <f>(D35/S35)*100</f>
        <v>1.5548766650781765</v>
      </c>
      <c r="E36" s="479">
        <f>(E35/S35)*100</f>
        <v>16.480160891369959</v>
      </c>
      <c r="F36" s="479">
        <f>(F35/S35)*100</f>
        <v>0.99450836226654871</v>
      </c>
      <c r="G36" s="479">
        <f>(G35/S35)*100</f>
        <v>6.266026732021694</v>
      </c>
      <c r="H36" s="479">
        <f>(H35/S35)*100</f>
        <v>13.628962715864478</v>
      </c>
      <c r="I36" s="479">
        <f>(I35/S35)*100</f>
        <v>0.82119272925318265</v>
      </c>
      <c r="J36" s="479">
        <f>(J35/S35)*100</f>
        <v>9.5288140785621902</v>
      </c>
      <c r="K36" s="479">
        <f>(K35/S35)*100</f>
        <v>2.8370152268137154</v>
      </c>
      <c r="L36" s="479">
        <f>(L35/S35)*100</f>
        <v>7.0131844691038641</v>
      </c>
      <c r="M36" s="479">
        <f>(M35/S35)*100</f>
        <v>3.1860575941180476</v>
      </c>
      <c r="N36" s="479">
        <f>(N35/S35)*100</f>
        <v>2.3047291624117823</v>
      </c>
      <c r="O36" s="479">
        <f>(O35/S35)*100</f>
        <v>1.8959765811151201</v>
      </c>
      <c r="P36" s="479">
        <f>(P35/S35)*100</f>
        <v>12.10741598021195</v>
      </c>
      <c r="Q36" s="479">
        <f>(Q35/S35)*100</f>
        <v>95.723557310459071</v>
      </c>
      <c r="R36" s="479">
        <f>(R35/S35)*100</f>
        <v>4.276442689540926</v>
      </c>
      <c r="S36" s="479">
        <f>(S35/S35)*100</f>
        <v>100</v>
      </c>
      <c r="T36" s="480"/>
      <c r="U36" s="480"/>
      <c r="V36" s="446"/>
    </row>
    <row r="37" spans="1:22" s="642" customFormat="1" ht="9.75" customHeight="1">
      <c r="A37" s="386" t="s">
        <v>98</v>
      </c>
      <c r="B37" s="211">
        <v>110990</v>
      </c>
      <c r="C37" s="211">
        <v>24601</v>
      </c>
      <c r="D37" s="211">
        <v>12645</v>
      </c>
      <c r="E37" s="211">
        <v>128573</v>
      </c>
      <c r="F37" s="211">
        <v>8346</v>
      </c>
      <c r="G37" s="211">
        <v>49474</v>
      </c>
      <c r="H37" s="211">
        <v>106606</v>
      </c>
      <c r="I37" s="211">
        <v>7028</v>
      </c>
      <c r="J37" s="211">
        <v>80454</v>
      </c>
      <c r="K37" s="211">
        <v>23448</v>
      </c>
      <c r="L37" s="211">
        <v>54432</v>
      </c>
      <c r="M37" s="211">
        <v>25426</v>
      </c>
      <c r="N37" s="211">
        <v>18257</v>
      </c>
      <c r="O37" s="211">
        <v>15326</v>
      </c>
      <c r="P37" s="211">
        <v>95692</v>
      </c>
      <c r="Q37" s="725">
        <f>SUM(B37:P37)</f>
        <v>761298</v>
      </c>
      <c r="R37" s="211">
        <v>36241</v>
      </c>
      <c r="S37" s="726">
        <f>Q37+R37</f>
        <v>797539</v>
      </c>
      <c r="T37" s="211">
        <v>64604</v>
      </c>
      <c r="U37" s="726">
        <f>S37+T37</f>
        <v>862143</v>
      </c>
      <c r="V37" s="574" t="s">
        <v>98</v>
      </c>
    </row>
    <row r="38" spans="1:22" ht="9.75" customHeight="1">
      <c r="A38" s="446"/>
      <c r="B38" s="479">
        <f>(B37/S37)*100</f>
        <v>13.916560820223211</v>
      </c>
      <c r="C38" s="479">
        <f>(C37/S37)*100</f>
        <v>3.0846140439527097</v>
      </c>
      <c r="D38" s="479">
        <f>(D37/S37)*100</f>
        <v>1.5855024017634247</v>
      </c>
      <c r="E38" s="479">
        <f>(E37/S37)*100</f>
        <v>16.121217896554274</v>
      </c>
      <c r="F38" s="479">
        <f>(F37/S37)*100</f>
        <v>1.0464692008792047</v>
      </c>
      <c r="G38" s="479">
        <f>(G37/S37)*100</f>
        <v>6.2033330031509433</v>
      </c>
      <c r="H38" s="479">
        <f>(H37/S37)*100</f>
        <v>13.366869833324765</v>
      </c>
      <c r="I38" s="479">
        <f>(I37/S37)*100</f>
        <v>0.8812108247997904</v>
      </c>
      <c r="J38" s="479">
        <f>(J37/S37)*100</f>
        <v>10.08778254104188</v>
      </c>
      <c r="K38" s="479">
        <f>(K37/S37)*100</f>
        <v>2.9400443113126755</v>
      </c>
      <c r="L38" s="479">
        <f>(L37/S37)*100</f>
        <v>6.8249953920748698</v>
      </c>
      <c r="M38" s="479">
        <f>(M37/S37)*100</f>
        <v>3.1880572611496114</v>
      </c>
      <c r="N38" s="479">
        <f>(N37/S37)*100</f>
        <v>2.289167050137987</v>
      </c>
      <c r="O38" s="479">
        <f>(O37/S37)*100</f>
        <v>1.9216615112239026</v>
      </c>
      <c r="P38" s="479">
        <f>(P37/S37)*100</f>
        <v>11.998410109098113</v>
      </c>
      <c r="Q38" s="479">
        <f>(Q37/S37)*100</f>
        <v>95.455896200687363</v>
      </c>
      <c r="R38" s="479">
        <f>(R37/S37)*100</f>
        <v>4.5441037993126354</v>
      </c>
      <c r="S38" s="479">
        <f>(S37/S37)*100</f>
        <v>100</v>
      </c>
      <c r="T38" s="480"/>
      <c r="U38" s="480"/>
      <c r="V38" s="446"/>
    </row>
    <row r="39" spans="1:22" ht="9.75" customHeight="1">
      <c r="A39" s="251" t="s">
        <v>241</v>
      </c>
      <c r="B39" s="726">
        <v>125469</v>
      </c>
      <c r="C39" s="726">
        <v>28482</v>
      </c>
      <c r="D39" s="726">
        <v>14208</v>
      </c>
      <c r="E39" s="726">
        <v>146503</v>
      </c>
      <c r="F39" s="726">
        <v>11589</v>
      </c>
      <c r="G39" s="726">
        <v>57072</v>
      </c>
      <c r="H39" s="726">
        <v>121332</v>
      </c>
      <c r="I39" s="726">
        <v>8228</v>
      </c>
      <c r="J39" s="726">
        <v>94571</v>
      </c>
      <c r="K39" s="726">
        <v>27545</v>
      </c>
      <c r="L39" s="726">
        <v>60119</v>
      </c>
      <c r="M39" s="726">
        <v>30282</v>
      </c>
      <c r="N39" s="726">
        <v>21392</v>
      </c>
      <c r="O39" s="726">
        <v>17731</v>
      </c>
      <c r="P39" s="726">
        <v>104608</v>
      </c>
      <c r="Q39" s="725">
        <f>SUM(B39:P39)</f>
        <v>869131</v>
      </c>
      <c r="R39" s="726">
        <v>46698</v>
      </c>
      <c r="S39" s="726">
        <f>Q39+R39</f>
        <v>915829</v>
      </c>
      <c r="T39" s="726">
        <v>72513</v>
      </c>
      <c r="U39" s="726">
        <f>S39+T39</f>
        <v>988342</v>
      </c>
      <c r="V39" s="315" t="s">
        <v>241</v>
      </c>
    </row>
    <row r="40" spans="1:22" ht="9.75" customHeight="1">
      <c r="A40" s="446"/>
      <c r="B40" s="479">
        <f>(B39/S39)*100</f>
        <v>13.700046624424427</v>
      </c>
      <c r="C40" s="479">
        <f>(C39/S39)*100</f>
        <v>3.109969219144622</v>
      </c>
      <c r="D40" s="479">
        <f>(D39/S39)*100</f>
        <v>1.5513813168178776</v>
      </c>
      <c r="E40" s="479">
        <f>(E39/S39)*100</f>
        <v>15.996763587962381</v>
      </c>
      <c r="F40" s="479">
        <f>(F39/S39)*100</f>
        <v>1.2654109009432983</v>
      </c>
      <c r="G40" s="479">
        <f>(G39/S39)*100</f>
        <v>6.2317310327582991</v>
      </c>
      <c r="H40" s="479">
        <f>(H39/S39)*100</f>
        <v>13.248324741845913</v>
      </c>
      <c r="I40" s="479">
        <f>(I39/S39)*100</f>
        <v>0.89842099343873139</v>
      </c>
      <c r="J40" s="479">
        <f>(J39/S39)*100</f>
        <v>10.326272699379469</v>
      </c>
      <c r="K40" s="479">
        <f>(K39/S39)*100</f>
        <v>3.0076575430566188</v>
      </c>
      <c r="L40" s="479">
        <f>(L39/S39)*100</f>
        <v>6.5644350637509845</v>
      </c>
      <c r="M40" s="479">
        <f>(M39/S39)*100</f>
        <v>3.3065124602955356</v>
      </c>
      <c r="N40" s="479">
        <f>(N39/S39)*100</f>
        <v>2.3358072303890793</v>
      </c>
      <c r="O40" s="479">
        <f>(O39/S39)*100</f>
        <v>1.9360601160260269</v>
      </c>
      <c r="P40" s="479">
        <f>(P39/S39)*100</f>
        <v>11.422219650174869</v>
      </c>
      <c r="Q40" s="479">
        <f>(Q39/S39)*100</f>
        <v>94.901013180408128</v>
      </c>
      <c r="R40" s="479">
        <f>(R39/S39)*100</f>
        <v>5.0989868195918673</v>
      </c>
      <c r="S40" s="479">
        <f>(S39/S39)*100</f>
        <v>100</v>
      </c>
      <c r="T40" s="480"/>
      <c r="U40" s="480"/>
      <c r="V40" s="446"/>
    </row>
    <row r="41" spans="1:22" ht="9.75" customHeight="1">
      <c r="A41" s="251" t="s">
        <v>1142</v>
      </c>
      <c r="B41" s="726">
        <v>138879</v>
      </c>
      <c r="C41" s="726">
        <v>31827</v>
      </c>
      <c r="D41" s="726">
        <v>16650</v>
      </c>
      <c r="E41" s="726">
        <v>167928</v>
      </c>
      <c r="F41" s="726">
        <v>14189</v>
      </c>
      <c r="G41" s="726">
        <v>68305</v>
      </c>
      <c r="H41" s="726">
        <v>137396</v>
      </c>
      <c r="I41" s="726">
        <v>9755</v>
      </c>
      <c r="J41" s="726">
        <v>112702</v>
      </c>
      <c r="K41" s="726">
        <v>36316</v>
      </c>
      <c r="L41" s="726">
        <v>68715</v>
      </c>
      <c r="M41" s="726">
        <v>33499</v>
      </c>
      <c r="N41" s="726">
        <v>25048</v>
      </c>
      <c r="O41" s="726">
        <v>20133</v>
      </c>
      <c r="P41" s="726">
        <v>117293</v>
      </c>
      <c r="Q41" s="725">
        <f>SUM(B41:P41)</f>
        <v>998635</v>
      </c>
      <c r="R41" s="726">
        <v>56569</v>
      </c>
      <c r="S41" s="726">
        <f>Q41+R41</f>
        <v>1055204</v>
      </c>
      <c r="T41" s="726">
        <v>89302</v>
      </c>
      <c r="U41" s="726">
        <f>S41+T41</f>
        <v>1144506</v>
      </c>
      <c r="V41" s="315" t="s">
        <v>1142</v>
      </c>
    </row>
    <row r="42" spans="1:22" ht="9.75" customHeight="1">
      <c r="A42" s="446"/>
      <c r="B42" s="479">
        <f>(B41/S41)*100</f>
        <v>13.161341314096612</v>
      </c>
      <c r="C42" s="479">
        <f>(C41/S41)*100</f>
        <v>3.0161940250416035</v>
      </c>
      <c r="D42" s="479">
        <f>(D41/S41)*100</f>
        <v>1.5778939427826277</v>
      </c>
      <c r="E42" s="479">
        <f>(E41/S41)*100</f>
        <v>15.914268710126194</v>
      </c>
      <c r="F42" s="479">
        <f>(F41/S41)*100</f>
        <v>1.344668898146709</v>
      </c>
      <c r="G42" s="479">
        <f>(G41/S41)*100</f>
        <v>6.473155901607651</v>
      </c>
      <c r="H42" s="479">
        <f>(H41/S41)*100</f>
        <v>13.02079976952324</v>
      </c>
      <c r="I42" s="479">
        <f>(I41/S41)*100</f>
        <v>0.92446579050117317</v>
      </c>
      <c r="J42" s="479">
        <f>(J41/S41)*100</f>
        <v>10.68058877714641</v>
      </c>
      <c r="K42" s="479">
        <f>(K41/S41)*100</f>
        <v>3.441609394960595</v>
      </c>
      <c r="L42" s="479">
        <f>(L41/S41)*100</f>
        <v>6.5120109476461421</v>
      </c>
      <c r="M42" s="479">
        <f>(M41/S41)*100</f>
        <v>3.17464679815467</v>
      </c>
      <c r="N42" s="479">
        <f>(N41/S41)*100</f>
        <v>2.3737590077368926</v>
      </c>
      <c r="O42" s="479">
        <f>(O41/S41)*100</f>
        <v>1.9079722972998585</v>
      </c>
      <c r="P42" s="479">
        <f>(P41/S41)*100</f>
        <v>11.115670524372538</v>
      </c>
      <c r="Q42" s="479">
        <f>(Q41/S41)*100</f>
        <v>94.639046099142917</v>
      </c>
      <c r="R42" s="479">
        <f>(R41/S41)*100</f>
        <v>5.3609539008570861</v>
      </c>
      <c r="S42" s="479">
        <f>(S41/S41)*100</f>
        <v>100</v>
      </c>
      <c r="T42" s="453"/>
      <c r="U42" s="453"/>
      <c r="V42" s="447"/>
    </row>
    <row r="43" spans="1:22" ht="9.75" customHeight="1">
      <c r="A43" s="251" t="s">
        <v>1333</v>
      </c>
      <c r="B43" s="726">
        <v>148758</v>
      </c>
      <c r="C43" s="726">
        <v>36995</v>
      </c>
      <c r="D43" s="726">
        <v>19461</v>
      </c>
      <c r="E43" s="726">
        <v>197127</v>
      </c>
      <c r="F43" s="726">
        <v>16381</v>
      </c>
      <c r="G43" s="726">
        <v>82432</v>
      </c>
      <c r="H43" s="726">
        <v>154579</v>
      </c>
      <c r="I43" s="726">
        <v>11263</v>
      </c>
      <c r="J43" s="726">
        <v>124281</v>
      </c>
      <c r="K43" s="726">
        <v>42237</v>
      </c>
      <c r="L43" s="726">
        <v>78820</v>
      </c>
      <c r="M43" s="726">
        <v>37678</v>
      </c>
      <c r="N43" s="726">
        <v>28429</v>
      </c>
      <c r="O43" s="726">
        <v>23868</v>
      </c>
      <c r="P43" s="726">
        <v>138952</v>
      </c>
      <c r="Q43" s="725">
        <f>SUM(B43:P43)</f>
        <v>1141261</v>
      </c>
      <c r="R43" s="726">
        <v>57662</v>
      </c>
      <c r="S43" s="726">
        <f>Q43+R43</f>
        <v>1198923</v>
      </c>
      <c r="T43" s="726">
        <v>96429</v>
      </c>
      <c r="U43" s="726">
        <f>S43+T43</f>
        <v>1295352</v>
      </c>
      <c r="V43" s="315" t="s">
        <v>1333</v>
      </c>
    </row>
    <row r="44" spans="1:22" ht="9.75" customHeight="1">
      <c r="A44" s="446"/>
      <c r="B44" s="479">
        <f>(B43/S43)*100</f>
        <v>12.407635853178228</v>
      </c>
      <c r="C44" s="479">
        <f>(C43/S43)*100</f>
        <v>3.0856860699144151</v>
      </c>
      <c r="D44" s="479">
        <f>(D43/S43)*100</f>
        <v>1.623206828128245</v>
      </c>
      <c r="E44" s="479">
        <f>(E43/S43)*100</f>
        <v>16.442006701014162</v>
      </c>
      <c r="F44" s="479">
        <f>(F43/S43)*100</f>
        <v>1.3663095961959191</v>
      </c>
      <c r="G44" s="479">
        <f>(G43/S43)*100</f>
        <v>6.8755040982615228</v>
      </c>
      <c r="H44" s="479">
        <f>(H43/S43)*100</f>
        <v>12.893154939891888</v>
      </c>
      <c r="I44" s="479">
        <f>(I43/S43)*100</f>
        <v>0.93942646858889178</v>
      </c>
      <c r="J44" s="479">
        <f>(J43/S43)*100</f>
        <v>10.366053533045909</v>
      </c>
      <c r="K44" s="479">
        <f>(K43/S43)*100</f>
        <v>3.5229118133524842</v>
      </c>
      <c r="L44" s="479">
        <f>(L43/S43)*100</f>
        <v>6.5742337080863411</v>
      </c>
      <c r="M44" s="479">
        <f>(M43/S43)*100</f>
        <v>3.1426538651773299</v>
      </c>
      <c r="N44" s="479">
        <f>(N43/S43)*100</f>
        <v>2.3712114956506798</v>
      </c>
      <c r="O44" s="479">
        <f>(O43/S43)*100</f>
        <v>1.9907867310911542</v>
      </c>
      <c r="P44" s="479">
        <f>(P43/S43)*100</f>
        <v>11.589735120604075</v>
      </c>
      <c r="Q44" s="479">
        <f>(Q43/S43)*100</f>
        <v>95.190516822181237</v>
      </c>
      <c r="R44" s="479">
        <f>(R43/S43)*100</f>
        <v>4.809483177818759</v>
      </c>
      <c r="S44" s="479">
        <f>(S43/S43)*100</f>
        <v>100</v>
      </c>
      <c r="T44" s="453"/>
      <c r="U44" s="453"/>
      <c r="V44" s="447"/>
    </row>
    <row r="45" spans="1:22" ht="9.75" customHeight="1">
      <c r="A45" s="356" t="s">
        <v>1664</v>
      </c>
      <c r="B45" s="726">
        <v>163968</v>
      </c>
      <c r="C45" s="726">
        <v>42308</v>
      </c>
      <c r="D45" s="726">
        <v>21080</v>
      </c>
      <c r="E45" s="726">
        <v>223221</v>
      </c>
      <c r="F45" s="726">
        <v>18401</v>
      </c>
      <c r="G45" s="726">
        <v>90834</v>
      </c>
      <c r="H45" s="726">
        <v>172575</v>
      </c>
      <c r="I45" s="726">
        <v>13035</v>
      </c>
      <c r="J45" s="726">
        <v>134317</v>
      </c>
      <c r="K45" s="726">
        <v>48563</v>
      </c>
      <c r="L45" s="726">
        <v>91229</v>
      </c>
      <c r="M45" s="726">
        <v>44728</v>
      </c>
      <c r="N45" s="726">
        <v>32767</v>
      </c>
      <c r="O45" s="726">
        <v>26924</v>
      </c>
      <c r="P45" s="726">
        <v>156551</v>
      </c>
      <c r="Q45" s="725">
        <f>SUM(B45:P45)</f>
        <v>1280501</v>
      </c>
      <c r="R45" s="726">
        <v>63173</v>
      </c>
      <c r="S45" s="726">
        <f>Q45+R45</f>
        <v>1343674</v>
      </c>
      <c r="T45" s="726">
        <v>89549</v>
      </c>
      <c r="U45" s="726">
        <f>S45+T45</f>
        <v>1433223</v>
      </c>
      <c r="V45" s="315" t="s">
        <v>1664</v>
      </c>
    </row>
    <row r="46" spans="1:22" ht="9.75" customHeight="1">
      <c r="A46" s="446"/>
      <c r="B46" s="479">
        <f>(B45/S45)*100</f>
        <v>12.20295994415312</v>
      </c>
      <c r="C46" s="479">
        <f>(C45/S45)*100</f>
        <v>3.1486804090873233</v>
      </c>
      <c r="D46" s="479">
        <f>(D45/S45)*100</f>
        <v>1.5688329163174994</v>
      </c>
      <c r="E46" s="479">
        <f>(E45/S45)*100</f>
        <v>16.612734934217674</v>
      </c>
      <c r="F46" s="479">
        <f>(F45/S45)*100</f>
        <v>1.3694541979676618</v>
      </c>
      <c r="G46" s="479">
        <f>(G45/S45)*100</f>
        <v>6.7601218747999887</v>
      </c>
      <c r="H46" s="479">
        <f>(H45/S45)*100</f>
        <v>12.843517103106855</v>
      </c>
      <c r="I46" s="479">
        <f>(I45/S45)*100</f>
        <v>0.9701013787570496</v>
      </c>
      <c r="J46" s="479">
        <f>(J45/S45)*100</f>
        <v>9.9962490901811005</v>
      </c>
      <c r="K46" s="479">
        <f>(K45/S45)*100</f>
        <v>3.6141951098257463</v>
      </c>
      <c r="L46" s="479">
        <f>(L45/S45)*100</f>
        <v>6.7895188862774747</v>
      </c>
      <c r="M46" s="479">
        <f>(M45/S45)*100</f>
        <v>3.3287836186455944</v>
      </c>
      <c r="N46" s="479">
        <f>(N45/S45)*100</f>
        <v>2.4386123419817602</v>
      </c>
      <c r="O46" s="479">
        <f>(O45/S45)*100</f>
        <v>2.0037598405565635</v>
      </c>
      <c r="P46" s="479">
        <f>(P45/S45)*100</f>
        <v>11.650965933701181</v>
      </c>
      <c r="Q46" s="479">
        <f>(Q45/S45)*100</f>
        <v>95.298487579576602</v>
      </c>
      <c r="R46" s="479">
        <f>(R45/S45)*100</f>
        <v>4.7015124204234064</v>
      </c>
      <c r="S46" s="479">
        <f>(S45/S45)*100</f>
        <v>100</v>
      </c>
      <c r="T46" s="480"/>
      <c r="U46" s="480"/>
      <c r="V46" s="447"/>
    </row>
    <row r="47" spans="1:22" ht="10.5" customHeight="1">
      <c r="A47" s="806" t="s">
        <v>1754</v>
      </c>
      <c r="B47" s="895">
        <v>176500</v>
      </c>
      <c r="C47" s="895">
        <v>47581</v>
      </c>
      <c r="D47" s="895">
        <v>23876</v>
      </c>
      <c r="E47" s="895">
        <v>254483</v>
      </c>
      <c r="F47" s="895">
        <v>19868</v>
      </c>
      <c r="G47" s="895">
        <v>108484</v>
      </c>
      <c r="H47" s="895">
        <v>192585</v>
      </c>
      <c r="I47" s="895">
        <v>14928</v>
      </c>
      <c r="J47" s="895">
        <v>150025</v>
      </c>
      <c r="K47" s="895">
        <v>55761</v>
      </c>
      <c r="L47" s="895">
        <v>106061</v>
      </c>
      <c r="M47" s="895">
        <v>50674</v>
      </c>
      <c r="N47" s="895">
        <v>37624</v>
      </c>
      <c r="O47" s="895">
        <v>30135</v>
      </c>
      <c r="P47" s="895">
        <v>176402</v>
      </c>
      <c r="Q47" s="896">
        <f>SUM(B47:P47)</f>
        <v>1444987</v>
      </c>
      <c r="R47" s="895">
        <v>70815</v>
      </c>
      <c r="S47" s="895">
        <f>Q47+R47</f>
        <v>1515802</v>
      </c>
      <c r="T47" s="895">
        <v>98402</v>
      </c>
      <c r="U47" s="895">
        <f>S47+T47</f>
        <v>1614204</v>
      </c>
      <c r="V47" s="807" t="s">
        <v>1754</v>
      </c>
    </row>
    <row r="48" spans="1:22" ht="10.5" customHeight="1">
      <c r="A48" s="446"/>
      <c r="B48" s="1013">
        <f>(B47/S47)*100</f>
        <v>11.644000997491757</v>
      </c>
      <c r="C48" s="1013">
        <f>(C47/S47)*100</f>
        <v>3.1389983652218429</v>
      </c>
      <c r="D48" s="1013">
        <f>(D47/S47)*100</f>
        <v>1.5751397609978086</v>
      </c>
      <c r="E48" s="1013">
        <f>(E47/S47)*100</f>
        <v>16.788670288071923</v>
      </c>
      <c r="F48" s="1013">
        <f>(F47/S47)*100</f>
        <v>1.3107252794230382</v>
      </c>
      <c r="G48" s="1013">
        <f>(G47/S47)*100</f>
        <v>7.1568714119654153</v>
      </c>
      <c r="H48" s="1013">
        <f>(H47/S47)*100</f>
        <v>12.705155422673938</v>
      </c>
      <c r="I48" s="1013">
        <f>(I47/S47)*100</f>
        <v>0.9848251948473481</v>
      </c>
      <c r="J48" s="1013">
        <f>(J47/S47)*100</f>
        <v>9.8974008478679938</v>
      </c>
      <c r="K48" s="1013">
        <f>(K47/S47)*100</f>
        <v>3.6786466834058804</v>
      </c>
      <c r="L48" s="1013">
        <f>(L47/S47)*100</f>
        <v>6.9970220384984323</v>
      </c>
      <c r="M48" s="1013">
        <f>(M47/S47)*100</f>
        <v>3.3430487623053673</v>
      </c>
      <c r="N48" s="1013">
        <f>(N47/S47)*100</f>
        <v>2.4821183769384128</v>
      </c>
      <c r="O48" s="1013">
        <f>(O47/S47)*100</f>
        <v>1.9880564875887483</v>
      </c>
      <c r="P48" s="1013">
        <f>(P47/S47)*100</f>
        <v>11.637535773141874</v>
      </c>
      <c r="Q48" s="1013">
        <f>(Q47/S47)*100</f>
        <v>95.328215690439777</v>
      </c>
      <c r="R48" s="1013">
        <f>(R47/S47)*100</f>
        <v>4.6717843095602198</v>
      </c>
      <c r="S48" s="1013">
        <f>(S47/S47)*100</f>
        <v>100</v>
      </c>
      <c r="T48" s="480"/>
      <c r="U48" s="480"/>
      <c r="V48" s="447"/>
    </row>
    <row r="49" spans="1:27" ht="10.5" customHeight="1">
      <c r="A49" s="806" t="s">
        <v>1954</v>
      </c>
      <c r="B49" s="895">
        <v>190315</v>
      </c>
      <c r="C49" s="895">
        <v>53076</v>
      </c>
      <c r="D49" s="895">
        <v>28578</v>
      </c>
      <c r="E49" s="895">
        <v>295111</v>
      </c>
      <c r="F49" s="895">
        <v>23829</v>
      </c>
      <c r="G49" s="895">
        <v>126353</v>
      </c>
      <c r="H49" s="895">
        <v>214257</v>
      </c>
      <c r="I49" s="895">
        <v>17058</v>
      </c>
      <c r="J49" s="895">
        <v>169165</v>
      </c>
      <c r="K49" s="895">
        <v>63601</v>
      </c>
      <c r="L49" s="895">
        <v>123740</v>
      </c>
      <c r="M49" s="895">
        <v>66711</v>
      </c>
      <c r="N49" s="895">
        <v>46512</v>
      </c>
      <c r="O49" s="895">
        <v>34758</v>
      </c>
      <c r="P49" s="895">
        <v>194248</v>
      </c>
      <c r="Q49" s="896">
        <f>SUM(B49:P49)</f>
        <v>1647312</v>
      </c>
      <c r="R49" s="895">
        <v>85552</v>
      </c>
      <c r="S49" s="895">
        <f>Q49+R49</f>
        <v>1732864</v>
      </c>
      <c r="T49" s="895">
        <v>99811</v>
      </c>
      <c r="U49" s="895">
        <f>S49+T49</f>
        <v>1832675</v>
      </c>
      <c r="V49" s="807" t="s">
        <v>1954</v>
      </c>
    </row>
    <row r="50" spans="1:27" ht="10.5" customHeight="1">
      <c r="A50" s="446"/>
      <c r="B50" s="1013">
        <f>(B49/S49)*100</f>
        <v>10.982685311715173</v>
      </c>
      <c r="C50" s="1013">
        <f>(C49/S49)*100</f>
        <v>3.0629062638499041</v>
      </c>
      <c r="D50" s="1013">
        <f>(D49/S49)*100</f>
        <v>1.6491773157039444</v>
      </c>
      <c r="E50" s="1013">
        <f>(E49/S49)*100</f>
        <v>17.030245881961886</v>
      </c>
      <c r="F50" s="1013">
        <f>(F49/S49)*100</f>
        <v>1.375122340818437</v>
      </c>
      <c r="G50" s="1013">
        <f>(G49/S49)*100</f>
        <v>7.2915704867779585</v>
      </c>
      <c r="H50" s="1013">
        <f>(H49/S49)*100</f>
        <v>12.364328648988034</v>
      </c>
      <c r="I50" s="1013">
        <f>(I49/S49)*100</f>
        <v>0.98438192495198706</v>
      </c>
      <c r="J50" s="1013">
        <f>(J49/S49)*100</f>
        <v>9.7621625240065004</v>
      </c>
      <c r="K50" s="1013">
        <f>(K49/S49)*100</f>
        <v>3.6702822610429906</v>
      </c>
      <c r="L50" s="1013">
        <f>(L49/S49)*100</f>
        <v>7.1407796572610422</v>
      </c>
      <c r="M50" s="1013">
        <f>(M49/S49)*100</f>
        <v>3.8497539333727286</v>
      </c>
      <c r="N50" s="1013">
        <f>(N49/S49)*100</f>
        <v>2.6841113901610281</v>
      </c>
      <c r="O50" s="1013">
        <f>(O49/S49)*100</f>
        <v>2.0058123430344215</v>
      </c>
      <c r="P50" s="1013">
        <f>(P49/S49)*100</f>
        <v>11.209650613089082</v>
      </c>
      <c r="Q50" s="1013">
        <f>(Q49/S49)*100</f>
        <v>95.062970896735109</v>
      </c>
      <c r="R50" s="1013">
        <f>(R49/S49)*100</f>
        <v>4.9370291032648836</v>
      </c>
      <c r="S50" s="1013">
        <f>(S49/S49)*100</f>
        <v>100</v>
      </c>
      <c r="T50" s="480"/>
      <c r="U50" s="480"/>
      <c r="V50" s="447"/>
    </row>
    <row r="51" spans="1:27" s="642" customFormat="1" ht="13.9" customHeight="1">
      <c r="A51" s="251" t="s">
        <v>2046</v>
      </c>
      <c r="B51" s="895">
        <v>205398</v>
      </c>
      <c r="C51" s="895">
        <v>59627</v>
      </c>
      <c r="D51" s="895">
        <v>34127</v>
      </c>
      <c r="E51" s="895">
        <v>341829</v>
      </c>
      <c r="F51" s="895">
        <v>26244</v>
      </c>
      <c r="G51" s="895">
        <v>146107</v>
      </c>
      <c r="H51" s="895">
        <v>243958</v>
      </c>
      <c r="I51" s="895">
        <v>19318</v>
      </c>
      <c r="J51" s="895">
        <v>187076</v>
      </c>
      <c r="K51" s="895">
        <v>73205</v>
      </c>
      <c r="L51" s="895">
        <v>144539</v>
      </c>
      <c r="M51" s="895">
        <v>78441</v>
      </c>
      <c r="N51" s="895">
        <v>56856</v>
      </c>
      <c r="O51" s="895">
        <v>38987</v>
      </c>
      <c r="P51" s="895">
        <v>214213</v>
      </c>
      <c r="Q51" s="896">
        <f>SUM(B51:P51)</f>
        <v>1869925</v>
      </c>
      <c r="R51" s="895">
        <v>105892</v>
      </c>
      <c r="S51" s="895">
        <f>Q51+R51</f>
        <v>1975817</v>
      </c>
      <c r="T51" s="895">
        <v>84901</v>
      </c>
      <c r="U51" s="895">
        <f>S51+T51</f>
        <v>2060718</v>
      </c>
      <c r="V51" s="809" t="s">
        <v>2046</v>
      </c>
    </row>
    <row r="52" spans="1:27" ht="10.5" customHeight="1">
      <c r="A52" s="446"/>
      <c r="B52" s="1013">
        <f>(B51/S51)*100</f>
        <v>10.395598377784987</v>
      </c>
      <c r="C52" s="1013">
        <f>(C51/S51)*100</f>
        <v>3.017840214959179</v>
      </c>
      <c r="D52" s="1013">
        <f>(D51/S51)*100</f>
        <v>1.7272348603134806</v>
      </c>
      <c r="E52" s="1013">
        <f>(E51/S51)*100</f>
        <v>17.300640696987628</v>
      </c>
      <c r="F52" s="1013">
        <f>(F51/S51)*100</f>
        <v>1.3282606638165377</v>
      </c>
      <c r="G52" s="1013">
        <f>(G51/S51)*100</f>
        <v>7.3947637863223159</v>
      </c>
      <c r="H52" s="1013">
        <f>(H51/S51)*100</f>
        <v>12.34719612190805</v>
      </c>
      <c r="I52" s="1013">
        <f>(I51/S51)*100</f>
        <v>0.97772212709982753</v>
      </c>
      <c r="J52" s="1013">
        <f>(J51/S51)*100</f>
        <v>9.4682857774783802</v>
      </c>
      <c r="K52" s="1013">
        <f>(K51/S51)*100</f>
        <v>3.7050496073269943</v>
      </c>
      <c r="L52" s="1013">
        <f>(L51/S51)*100</f>
        <v>7.315404210005279</v>
      </c>
      <c r="M52" s="1013">
        <f>(M51/S51)*100</f>
        <v>3.9700539068142442</v>
      </c>
      <c r="N52" s="1013">
        <f>(N51/S51)*100</f>
        <v>2.8775944330876797</v>
      </c>
      <c r="O52" s="1013">
        <f>(O51/S51)*100</f>
        <v>1.9732090573165428</v>
      </c>
      <c r="P52" s="1013">
        <f>(P51/S51)*100</f>
        <v>10.841742934694864</v>
      </c>
      <c r="Q52" s="1013">
        <f>(Q51/S51)*100</f>
        <v>94.640596775915981</v>
      </c>
      <c r="R52" s="1013">
        <f>(R51/S51)*100</f>
        <v>5.3594032240840122</v>
      </c>
      <c r="S52" s="1013">
        <f>(S51/S51)*100</f>
        <v>100</v>
      </c>
      <c r="T52" s="480"/>
      <c r="U52" s="480"/>
      <c r="V52" s="447"/>
    </row>
    <row r="53" spans="1:27" s="642" customFormat="1" ht="12.75" customHeight="1">
      <c r="A53" s="251" t="s">
        <v>2268</v>
      </c>
      <c r="B53" s="895">
        <v>227353</v>
      </c>
      <c r="C53" s="895">
        <v>66882</v>
      </c>
      <c r="D53" s="895">
        <v>38884</v>
      </c>
      <c r="E53" s="895">
        <v>404144</v>
      </c>
      <c r="F53" s="895">
        <v>29336</v>
      </c>
      <c r="G53" s="895">
        <v>169855</v>
      </c>
      <c r="H53" s="895">
        <v>279823</v>
      </c>
      <c r="I53" s="895">
        <v>22123</v>
      </c>
      <c r="J53" s="895">
        <v>204630</v>
      </c>
      <c r="K53" s="895">
        <v>83728</v>
      </c>
      <c r="L53" s="895">
        <v>166419</v>
      </c>
      <c r="M53" s="577">
        <v>90228</v>
      </c>
      <c r="N53" s="895">
        <v>64478</v>
      </c>
      <c r="O53" s="895">
        <v>44064</v>
      </c>
      <c r="P53" s="895">
        <v>236378</v>
      </c>
      <c r="Q53" s="896">
        <f>SUM(B53:P53)</f>
        <v>2128325</v>
      </c>
      <c r="R53" s="895">
        <v>122156</v>
      </c>
      <c r="S53" s="895">
        <f>Q53+R53</f>
        <v>2250481</v>
      </c>
      <c r="T53" s="895">
        <v>102628</v>
      </c>
      <c r="U53" s="895">
        <f>S53+T53</f>
        <v>2353109</v>
      </c>
      <c r="V53" s="315" t="s">
        <v>2268</v>
      </c>
    </row>
    <row r="54" spans="1:27" ht="12" customHeight="1">
      <c r="A54" s="446"/>
      <c r="B54" s="1013">
        <f>(B53/S53)*100</f>
        <v>10.102418105285048</v>
      </c>
      <c r="C54" s="1013">
        <f>(C53/S53)*100</f>
        <v>2.97189800758149</v>
      </c>
      <c r="D54" s="1013">
        <f>(D53/S53)*100</f>
        <v>1.7278084107353049</v>
      </c>
      <c r="E54" s="1013">
        <f>(E53/S53)*100</f>
        <v>17.958116509315118</v>
      </c>
      <c r="F54" s="1013">
        <f>(F53/S53)*100</f>
        <v>1.3035435535781019</v>
      </c>
      <c r="G54" s="1013">
        <f>(G53/S53)*100</f>
        <v>7.5474976238413038</v>
      </c>
      <c r="H54" s="1013">
        <f>(H53/S53)*100</f>
        <v>12.433919682059081</v>
      </c>
      <c r="I54" s="1013">
        <f>(I53/S53)*100</f>
        <v>0.98303429355768834</v>
      </c>
      <c r="J54" s="1013">
        <f>(J53/S53)*100</f>
        <v>9.0927228445830028</v>
      </c>
      <c r="K54" s="1013">
        <f>(K53/S53)*100</f>
        <v>3.7204490951045575</v>
      </c>
      <c r="L54" s="1013">
        <f>(L53/S53)*100</f>
        <v>7.3948191519946178</v>
      </c>
      <c r="M54" s="1013">
        <f>(M53/S53)*100</f>
        <v>4.0092762391684262</v>
      </c>
      <c r="N54" s="1013">
        <f>(N53/S53)*100</f>
        <v>2.8650763992230996</v>
      </c>
      <c r="O54" s="1013">
        <f>(O53/S53)*100</f>
        <v>1.9579814270815885</v>
      </c>
      <c r="P54" s="1013">
        <f>(P53/S53)*100</f>
        <v>10.503443486081419</v>
      </c>
      <c r="Q54" s="1013">
        <f>(Q53/S53)*100</f>
        <v>94.572004829189851</v>
      </c>
      <c r="R54" s="1013">
        <f>(R53/S53)*100</f>
        <v>5.427995170810151</v>
      </c>
      <c r="S54" s="1013">
        <f>(S53/S53)*100</f>
        <v>100</v>
      </c>
      <c r="T54" s="480"/>
      <c r="U54" s="480"/>
      <c r="V54" s="447"/>
    </row>
    <row r="55" spans="1:27" s="642" customFormat="1" ht="12" customHeight="1">
      <c r="A55" s="251" t="s">
        <v>2802</v>
      </c>
      <c r="B55" s="895">
        <v>246266</v>
      </c>
      <c r="C55" s="895">
        <v>74828</v>
      </c>
      <c r="D55" s="895">
        <v>44039</v>
      </c>
      <c r="E55" s="895">
        <v>482048</v>
      </c>
      <c r="F55" s="895">
        <v>32541</v>
      </c>
      <c r="G55" s="895">
        <v>196656</v>
      </c>
      <c r="H55" s="895">
        <v>321204</v>
      </c>
      <c r="I55" s="895">
        <v>25280</v>
      </c>
      <c r="J55" s="895">
        <v>225438</v>
      </c>
      <c r="K55" s="895">
        <v>94265</v>
      </c>
      <c r="L55" s="895">
        <v>186849</v>
      </c>
      <c r="M55" s="895">
        <v>100120</v>
      </c>
      <c r="N55" s="895">
        <v>72308</v>
      </c>
      <c r="O55" s="895">
        <v>50056</v>
      </c>
      <c r="P55" s="895">
        <v>260591</v>
      </c>
      <c r="Q55" s="896">
        <f>SUM(B55:P55)</f>
        <v>2412489</v>
      </c>
      <c r="R55" s="895">
        <v>123688</v>
      </c>
      <c r="S55" s="895">
        <f>Q55+R55</f>
        <v>2536177</v>
      </c>
      <c r="T55" s="895">
        <v>113610</v>
      </c>
      <c r="U55" s="895">
        <f>S55+T55</f>
        <v>2649787</v>
      </c>
      <c r="V55" s="315" t="s">
        <v>2802</v>
      </c>
    </row>
    <row r="56" spans="1:27" ht="12" customHeight="1" thickBot="1">
      <c r="A56" s="512"/>
      <c r="B56" s="897">
        <f>(B55/S55)*100</f>
        <v>9.7101266985703294</v>
      </c>
      <c r="C56" s="897">
        <f>(C55/S55)*100</f>
        <v>2.9504249900539277</v>
      </c>
      <c r="D56" s="897">
        <f>(D55/S55)*100</f>
        <v>1.7364324335407189</v>
      </c>
      <c r="E56" s="897">
        <f>(E55/S55)*100</f>
        <v>19.00687530878168</v>
      </c>
      <c r="F56" s="897">
        <f>(F55/S55)*100</f>
        <v>1.283072908554884</v>
      </c>
      <c r="G56" s="897">
        <f>(G55/S55)*100</f>
        <v>7.7540329401299681</v>
      </c>
      <c r="H56" s="897">
        <f>(H55/S55)*100</f>
        <v>12.664888925339202</v>
      </c>
      <c r="I56" s="897">
        <f>(I55/S55)*100</f>
        <v>0.99677585594380824</v>
      </c>
      <c r="J56" s="897">
        <f>(J55/S55)*100</f>
        <v>8.8888906413077624</v>
      </c>
      <c r="K56" s="897">
        <f>(K55/S55)*100</f>
        <v>3.7168147175847746</v>
      </c>
      <c r="L56" s="897">
        <f>(L55/S55)*100</f>
        <v>7.367348572280247</v>
      </c>
      <c r="M56" s="897">
        <f>(M55/S55)*100</f>
        <v>3.947673999093912</v>
      </c>
      <c r="N56" s="897">
        <f>(N55/S55)*100</f>
        <v>2.8510628398569975</v>
      </c>
      <c r="O56" s="897">
        <f>(O55/S55)*100</f>
        <v>1.9736792818482305</v>
      </c>
      <c r="P56" s="897">
        <f>(P55/S55)*100</f>
        <v>10.27495320713026</v>
      </c>
      <c r="Q56" s="897">
        <f>(Q55/S55)*100</f>
        <v>95.123053320016709</v>
      </c>
      <c r="R56" s="897">
        <f>(R55/S55)*100</f>
        <v>4.8769466799832975</v>
      </c>
      <c r="S56" s="897">
        <f>(S55/S55)*100</f>
        <v>100</v>
      </c>
      <c r="T56" s="517"/>
      <c r="U56" s="517"/>
      <c r="V56" s="805"/>
    </row>
    <row r="57" spans="1:27" ht="10.5" customHeight="1">
      <c r="A57" s="109" t="s">
        <v>453</v>
      </c>
      <c r="B57" s="2071" t="s">
        <v>2234</v>
      </c>
      <c r="C57" s="2071"/>
      <c r="D57" s="2071"/>
      <c r="E57" s="2071"/>
      <c r="F57" s="2071"/>
      <c r="G57" s="2071"/>
      <c r="H57" s="2071"/>
      <c r="I57" s="2071"/>
      <c r="J57" s="2071"/>
      <c r="K57" s="2071"/>
      <c r="L57" s="135" t="s">
        <v>452</v>
      </c>
      <c r="M57" s="2071" t="s">
        <v>2130</v>
      </c>
      <c r="N57" s="2071"/>
      <c r="O57" s="2071"/>
      <c r="P57" s="45"/>
      <c r="Q57" s="2073" t="s">
        <v>2255</v>
      </c>
      <c r="R57" s="2073"/>
      <c r="S57" s="45"/>
      <c r="V57" s="45"/>
      <c r="W57" s="100"/>
      <c r="X57" s="100"/>
      <c r="Y57" s="100"/>
      <c r="Z57" s="100"/>
      <c r="AA57" s="100"/>
    </row>
    <row r="58" spans="1:27" ht="11.25" customHeight="1">
      <c r="B58" s="2072" t="s">
        <v>2131</v>
      </c>
      <c r="C58" s="2072"/>
      <c r="D58" s="2072"/>
      <c r="E58" s="117"/>
      <c r="F58" s="117"/>
      <c r="G58" s="117"/>
      <c r="H58" s="117"/>
      <c r="I58" s="117"/>
      <c r="J58" s="126"/>
      <c r="K58" s="126"/>
      <c r="L58" s="80"/>
      <c r="M58" s="2070"/>
      <c r="N58" s="2070"/>
      <c r="O58" s="2070"/>
      <c r="W58" s="100"/>
      <c r="X58" s="1001"/>
      <c r="Y58" s="100"/>
      <c r="Z58" s="100"/>
      <c r="AA58" s="100"/>
    </row>
    <row r="59" spans="1:27" ht="10.5" customHeight="1">
      <c r="T59" s="895"/>
      <c r="W59" s="100"/>
      <c r="X59" s="1001"/>
      <c r="Y59" s="100"/>
      <c r="Z59" s="100"/>
      <c r="AA59" s="100"/>
    </row>
    <row r="60" spans="1:27" ht="10.5" customHeight="1">
      <c r="S60" s="10"/>
      <c r="W60" s="100"/>
      <c r="X60" s="1002"/>
      <c r="Y60" s="100"/>
      <c r="Z60" s="100"/>
      <c r="AA60" s="100"/>
    </row>
    <row r="61" spans="1:27" ht="10.5" customHeight="1">
      <c r="J61" s="1000"/>
      <c r="W61" s="100"/>
      <c r="X61" s="1001"/>
      <c r="Y61" s="100"/>
      <c r="Z61" s="100"/>
      <c r="AA61" s="100"/>
    </row>
    <row r="62" spans="1:27" ht="10.5" customHeight="1">
      <c r="S62" s="1420"/>
      <c r="W62" s="100"/>
      <c r="X62" s="100"/>
      <c r="Y62" s="100"/>
      <c r="Z62" s="100"/>
      <c r="AA62" s="100"/>
    </row>
    <row r="63" spans="1:27" ht="10.5" customHeight="1">
      <c r="W63" s="100"/>
      <c r="X63" s="100"/>
    </row>
    <row r="64" spans="1:27" ht="10.5" customHeight="1">
      <c r="W64" s="100"/>
      <c r="X64" s="100"/>
    </row>
    <row r="65" spans="8:24">
      <c r="H65" s="804"/>
      <c r="W65" s="100"/>
      <c r="X65" s="100"/>
    </row>
    <row r="66" spans="8:24">
      <c r="H66" s="801"/>
      <c r="W66" s="100"/>
      <c r="X66" s="100"/>
    </row>
    <row r="67" spans="8:24">
      <c r="H67" s="801"/>
      <c r="W67" s="100"/>
      <c r="X67" s="100"/>
    </row>
    <row r="68" spans="8:24">
      <c r="H68" s="801"/>
      <c r="W68" s="100"/>
      <c r="X68" s="100"/>
    </row>
    <row r="69" spans="8:24">
      <c r="H69" s="802"/>
      <c r="W69" s="100"/>
      <c r="X69" s="100"/>
    </row>
    <row r="70" spans="8:24">
      <c r="H70" s="802"/>
      <c r="W70" s="100"/>
      <c r="X70" s="100"/>
    </row>
    <row r="71" spans="8:24">
      <c r="H71" s="803"/>
    </row>
    <row r="72" spans="8:24">
      <c r="H72" s="803"/>
    </row>
    <row r="73" spans="8:24">
      <c r="H73" s="802"/>
    </row>
    <row r="74" spans="8:24">
      <c r="H74" s="802"/>
    </row>
    <row r="75" spans="8:24">
      <c r="H75" s="802"/>
    </row>
    <row r="76" spans="8:24">
      <c r="H76" s="802"/>
    </row>
    <row r="77" spans="8:24">
      <c r="H77" s="802"/>
    </row>
    <row r="78" spans="8:24">
      <c r="H78" s="802"/>
    </row>
    <row r="79" spans="8:24">
      <c r="H79" s="803"/>
    </row>
  </sheetData>
  <mergeCells count="11">
    <mergeCell ref="M58:O58"/>
    <mergeCell ref="A1:K1"/>
    <mergeCell ref="U1:V1"/>
    <mergeCell ref="U2:V2"/>
    <mergeCell ref="L1:T1"/>
    <mergeCell ref="B57:K57"/>
    <mergeCell ref="A3:A4"/>
    <mergeCell ref="V3:V4"/>
    <mergeCell ref="M57:O57"/>
    <mergeCell ref="B58:D58"/>
    <mergeCell ref="Q57:R57"/>
  </mergeCells>
  <phoneticPr fontId="46" type="noConversion"/>
  <pageMargins left="0.62992125984252001" right="0.511811023622047" top="0.31496062992126" bottom="0.31496062992126" header="0.25" footer="0"/>
  <pageSetup paperSize="448" firstPageNumber="46" orientation="portrait" useFirstPageNumber="1" r:id="rId1"/>
  <headerFooter>
    <oddFooter>&amp;C&amp;"Times New Roman,Regular"&amp;8&amp;P</oddFooter>
  </headerFooter>
  <ignoredErrors>
    <ignoredError sqref="B17:P26 T17:T26" numberStoredAsText="1"/>
    <ignoredError sqref="S17:S26 Q17:R26" numberStoredAsText="1" formula="1"/>
    <ignoredError sqref="Q37:Q44 Q5:R16 S37:S45 S27:S28 Q27:Q28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3"/>
  <dimension ref="B2:D42"/>
  <sheetViews>
    <sheetView topLeftCell="A22" zoomScale="124" zoomScaleNormal="124" workbookViewId="0">
      <selection activeCell="C33" sqref="C33"/>
    </sheetView>
  </sheetViews>
  <sheetFormatPr defaultRowHeight="12.75"/>
  <cols>
    <col min="1" max="1" width="1.7109375" customWidth="1"/>
    <col min="2" max="2" width="5.140625" customWidth="1"/>
    <col min="3" max="3" width="112.7109375" bestFit="1" customWidth="1"/>
    <col min="4" max="4" width="48.85546875" customWidth="1"/>
  </cols>
  <sheetData>
    <row r="2" spans="2:4" ht="18.75">
      <c r="B2" s="289" t="s">
        <v>1146</v>
      </c>
      <c r="C2" s="289"/>
      <c r="D2" s="289"/>
    </row>
    <row r="3" spans="2:4">
      <c r="B3" s="54" t="s">
        <v>1147</v>
      </c>
      <c r="C3" s="290" t="s">
        <v>2199</v>
      </c>
      <c r="D3" s="283"/>
    </row>
    <row r="4" spans="2:4">
      <c r="B4" s="54" t="s">
        <v>1148</v>
      </c>
      <c r="C4" s="290" t="s">
        <v>2159</v>
      </c>
      <c r="D4" s="283"/>
    </row>
    <row r="5" spans="2:4">
      <c r="B5" s="54" t="s">
        <v>1149</v>
      </c>
      <c r="C5" s="290" t="s">
        <v>1178</v>
      </c>
      <c r="D5" s="283"/>
    </row>
    <row r="6" spans="2:4">
      <c r="B6" s="54" t="s">
        <v>1150</v>
      </c>
      <c r="C6" s="290" t="s">
        <v>1151</v>
      </c>
      <c r="D6" s="283"/>
    </row>
    <row r="7" spans="2:4">
      <c r="B7" s="54" t="s">
        <v>1152</v>
      </c>
      <c r="C7" s="290" t="s">
        <v>2160</v>
      </c>
      <c r="D7" s="283"/>
    </row>
    <row r="8" spans="2:4">
      <c r="B8" s="54" t="s">
        <v>1153</v>
      </c>
      <c r="C8" s="290" t="s">
        <v>2161</v>
      </c>
      <c r="D8" s="283"/>
    </row>
    <row r="9" spans="2:4">
      <c r="B9" s="54" t="s">
        <v>1154</v>
      </c>
      <c r="C9" s="290" t="s">
        <v>1179</v>
      </c>
      <c r="D9" s="283"/>
    </row>
    <row r="10" spans="2:4" s="284" customFormat="1">
      <c r="B10" s="282" t="s">
        <v>1155</v>
      </c>
      <c r="C10" s="290" t="s">
        <v>1313</v>
      </c>
      <c r="D10" s="283"/>
    </row>
    <row r="11" spans="2:4" s="284" customFormat="1">
      <c r="B11" s="282" t="s">
        <v>1798</v>
      </c>
      <c r="C11" s="290" t="s">
        <v>1799</v>
      </c>
      <c r="D11" s="283"/>
    </row>
    <row r="12" spans="2:4" s="284" customFormat="1">
      <c r="B12" s="282" t="s">
        <v>1156</v>
      </c>
      <c r="C12" s="290" t="s">
        <v>1157</v>
      </c>
      <c r="D12" s="283"/>
    </row>
    <row r="13" spans="2:4" s="284" customFormat="1">
      <c r="B13" s="282" t="s">
        <v>1158</v>
      </c>
      <c r="C13" s="290" t="s">
        <v>2166</v>
      </c>
      <c r="D13" s="285"/>
    </row>
    <row r="14" spans="2:4" s="284" customFormat="1">
      <c r="B14" s="282" t="s">
        <v>1066</v>
      </c>
      <c r="C14" s="290" t="s">
        <v>1159</v>
      </c>
      <c r="D14" s="283"/>
    </row>
    <row r="15" spans="2:4" s="284" customFormat="1">
      <c r="B15" s="282" t="s">
        <v>1067</v>
      </c>
      <c r="C15" s="290" t="s">
        <v>1160</v>
      </c>
      <c r="D15" s="283"/>
    </row>
    <row r="16" spans="2:4" s="284" customFormat="1">
      <c r="B16" s="282" t="s">
        <v>1068</v>
      </c>
      <c r="C16" s="290" t="s">
        <v>1161</v>
      </c>
      <c r="D16" s="283"/>
    </row>
    <row r="17" spans="2:4" s="284" customFormat="1">
      <c r="B17" s="282" t="s">
        <v>1069</v>
      </c>
      <c r="C17" s="290" t="s">
        <v>2171</v>
      </c>
      <c r="D17" s="283"/>
    </row>
    <row r="18" spans="2:4" s="284" customFormat="1">
      <c r="B18" s="282" t="s">
        <v>1070</v>
      </c>
      <c r="C18" s="290" t="s">
        <v>1162</v>
      </c>
      <c r="D18" s="283"/>
    </row>
    <row r="19" spans="2:4" s="284" customFormat="1">
      <c r="B19" s="282" t="s">
        <v>1800</v>
      </c>
      <c r="C19" s="290" t="s">
        <v>1163</v>
      </c>
      <c r="D19" s="283"/>
    </row>
    <row r="20" spans="2:4" s="284" customFormat="1">
      <c r="B20" s="282" t="s">
        <v>1801</v>
      </c>
      <c r="C20" s="290" t="s">
        <v>1164</v>
      </c>
      <c r="D20" s="283"/>
    </row>
    <row r="21" spans="2:4" s="284" customFormat="1">
      <c r="B21" s="282" t="s">
        <v>1802</v>
      </c>
      <c r="C21" s="290" t="s">
        <v>1165</v>
      </c>
      <c r="D21" s="283"/>
    </row>
    <row r="22" spans="2:4" s="284" customFormat="1">
      <c r="B22" s="282" t="s">
        <v>1072</v>
      </c>
      <c r="C22" s="290" t="s">
        <v>2186</v>
      </c>
      <c r="D22" s="283"/>
    </row>
    <row r="23" spans="2:4" s="284" customFormat="1" ht="12.75" customHeight="1">
      <c r="B23" s="282" t="s">
        <v>1073</v>
      </c>
      <c r="C23" s="290" t="s">
        <v>1177</v>
      </c>
      <c r="D23" s="283"/>
    </row>
    <row r="24" spans="2:4" s="284" customFormat="1">
      <c r="B24" s="282" t="s">
        <v>1803</v>
      </c>
      <c r="C24" s="290" t="s">
        <v>1166</v>
      </c>
      <c r="D24" s="283"/>
    </row>
    <row r="25" spans="2:4" s="284" customFormat="1">
      <c r="B25" s="282" t="s">
        <v>1804</v>
      </c>
      <c r="C25" s="290" t="s">
        <v>2189</v>
      </c>
      <c r="D25" s="283"/>
    </row>
    <row r="26" spans="2:4" s="284" customFormat="1">
      <c r="B26" s="282" t="s">
        <v>1075</v>
      </c>
      <c r="C26" s="290" t="s">
        <v>2851</v>
      </c>
      <c r="D26" s="283"/>
    </row>
    <row r="27" spans="2:4" s="284" customFormat="1">
      <c r="B27" s="282" t="s">
        <v>1076</v>
      </c>
      <c r="C27" s="1407" t="s">
        <v>2494</v>
      </c>
      <c r="D27" s="283"/>
    </row>
    <row r="28" spans="2:4" s="284" customFormat="1">
      <c r="B28" s="282" t="s">
        <v>1077</v>
      </c>
      <c r="C28" s="290" t="s">
        <v>1167</v>
      </c>
      <c r="D28" s="283"/>
    </row>
    <row r="29" spans="2:4" s="284" customFormat="1">
      <c r="B29" s="282" t="s">
        <v>1078</v>
      </c>
      <c r="C29" s="290" t="s">
        <v>1168</v>
      </c>
      <c r="D29" s="283"/>
    </row>
    <row r="30" spans="2:4" s="284" customFormat="1">
      <c r="B30" s="282" t="s">
        <v>1079</v>
      </c>
      <c r="C30" s="290" t="s">
        <v>1169</v>
      </c>
      <c r="D30" s="283"/>
    </row>
    <row r="31" spans="2:4" s="284" customFormat="1">
      <c r="B31" s="282" t="s">
        <v>1080</v>
      </c>
      <c r="C31" s="290" t="s">
        <v>2197</v>
      </c>
      <c r="D31" s="283"/>
    </row>
    <row r="32" spans="2:4" s="284" customFormat="1">
      <c r="B32" s="282" t="s">
        <v>1081</v>
      </c>
      <c r="C32" s="290" t="s">
        <v>1170</v>
      </c>
      <c r="D32" s="283"/>
    </row>
    <row r="33" spans="2:4" s="284" customFormat="1">
      <c r="B33" s="282" t="s">
        <v>1082</v>
      </c>
      <c r="C33" s="290" t="s">
        <v>1171</v>
      </c>
      <c r="D33" s="283"/>
    </row>
    <row r="34" spans="2:4" s="284" customFormat="1">
      <c r="B34" s="282" t="s">
        <v>1083</v>
      </c>
      <c r="C34" s="290" t="s">
        <v>1172</v>
      </c>
      <c r="D34" s="283"/>
    </row>
    <row r="35" spans="2:4" s="284" customFormat="1">
      <c r="B35" s="282" t="s">
        <v>1084</v>
      </c>
      <c r="C35" s="290" t="s">
        <v>1173</v>
      </c>
      <c r="D35" s="283"/>
    </row>
    <row r="36" spans="2:4" s="284" customFormat="1">
      <c r="B36" s="282" t="s">
        <v>1085</v>
      </c>
      <c r="C36" s="290" t="s">
        <v>2196</v>
      </c>
      <c r="D36" s="283"/>
    </row>
    <row r="37" spans="2:4" s="284" customFormat="1" ht="12" customHeight="1">
      <c r="B37" s="282" t="s">
        <v>1086</v>
      </c>
      <c r="C37" s="290" t="s">
        <v>2416</v>
      </c>
      <c r="D37" s="286"/>
    </row>
    <row r="38" spans="2:4">
      <c r="B38" s="282" t="s">
        <v>1087</v>
      </c>
      <c r="C38" s="290" t="s">
        <v>2417</v>
      </c>
    </row>
    <row r="39" spans="2:4">
      <c r="B39" s="282" t="s">
        <v>1088</v>
      </c>
      <c r="C39" s="290" t="s">
        <v>2562</v>
      </c>
    </row>
    <row r="40" spans="2:4">
      <c r="B40" s="282" t="s">
        <v>1089</v>
      </c>
      <c r="C40" s="290" t="s">
        <v>2597</v>
      </c>
    </row>
    <row r="42" spans="2:4">
      <c r="C42" s="290" t="s">
        <v>2203</v>
      </c>
    </row>
  </sheetData>
  <hyperlinks>
    <hyperlink ref="C3" location="'Table IA'!A1" display="Selected Economic Indicators (Money and Banking)"/>
    <hyperlink ref="C4" location="'Table IB'!A1" display="Selected Economic Indicators ( Inflation, Production, Foreign Trade, Forex Reserves and Exchange Rate) "/>
    <hyperlink ref="C5" location="TableIIA!A1" display="Monetary Survey (M2)"/>
    <hyperlink ref="C6" location="TableIIB!A1" display="Claims on Resident Sector by the Banking System"/>
    <hyperlink ref="C7" location="'TableIIC '!A1" display="Reserve Money and its Components"/>
    <hyperlink ref="C8" location="'Table IID'!A1" display="Reserve Money and its Sources"/>
    <hyperlink ref="C9" location="'Table IIE'!A1" display="Monetary Survey (M3)  "/>
    <hyperlink ref="C10" location="'Table IIF'!A1" display="Claims on Resident Sector by Depository Corporations "/>
    <hyperlink ref="C12" location="'Table III A'!A1" display="Balance of  Payments"/>
    <hyperlink ref="C13" location="'Table IIIB'!A1" display="Foreign Direct Investment (FDI) Inflows and Stocks by Components in Bangladesh"/>
    <hyperlink ref="C14" location="'Table IV'!A1" display="Foreign Trade"/>
    <hyperlink ref="C15" location="'Table V'!A1" display="Production of Major Agricultural Commodities "/>
    <hyperlink ref="C16" location="'Table VI'!A1" display="Production of Major Industrial Commodities (Other than Jute Goods) "/>
    <hyperlink ref="C17" location="'Table VII'!A1" display="Consumer Price Index and Inflation Rate in Bangladesh"/>
    <hyperlink ref="C18" location="'Table VIII'!A1" display="Average Prices of Selected Commodities"/>
    <hyperlink ref="C19" location="TableIXA!A1" display="Gross Domestic Product of Bangladesh at Current Market Price"/>
    <hyperlink ref="C20" location="TableIXB!A1" display="Gross Domestic Product of Bangladesh at Constant Market Price "/>
    <hyperlink ref="C21" location="TableIXC!A1" display="Key Indicators of National Accounts"/>
    <hyperlink ref="C22" location="TableX!A1" display="Index Number of  Ordinary Share Prices, Turn Over, Issued Capital and Total Number of Companies Listed with the Dhaka Stock Exchange Ltd."/>
    <hyperlink ref="C23" location="TableXI!A1" display="Market Capitalisation (Value) of Ordinary Shares of Companies Listed with the Dhaka Stock Exchange Ltd."/>
    <hyperlink ref="C24" location="'Table XIIA'!A1" display="Interest Rate Structure of Government Securities/Bonds and Savings Instruments "/>
    <hyperlink ref="C25" location="'Table XIIB'!A1" display="Bank Rate and Interest Rate Structure of Post Office Savings Bank and House Building Finance Corporation and National Savings Certificates"/>
    <hyperlink ref="C26" location="TableXIII!A1" display="Bank-wise Announced Interest Rate Structure in Bangladesh (Except Islamic Banks), December 2014"/>
    <hyperlink ref="C27" location="'Table XIV'!A1" display="Profit Rate Structure of  the Islamic Banks, 2013"/>
    <hyperlink ref="C28" location="TableXV!A1" display="Rate of Interest on Non-resident Foreign Currency Deposit (NFCD) Accounts "/>
    <hyperlink ref="C29" location="TableXVI!A1" display="Monthly Average Call Money Market Rates"/>
    <hyperlink ref="C30" location="'Table XVII'!A1" display="Some Indicators of Income, Expenditure &amp; Profitability of the Banking Sector"/>
    <hyperlink ref="C31" location="'Table XVIII'!A1" display="Number of Persons Left for Abroad on Employment and Total Workers’ Remittances"/>
    <hyperlink ref="C32" location="TableXIX!A1" display="Country-wise Workers’ Remittances"/>
    <hyperlink ref="C33" location="TableXX!A1" display="Exchange Rates (Taka Per Currencies)"/>
    <hyperlink ref="C34" location="TableXXI!A1" display="Appreciation/Depreciation of Some Selected Currencies Against U.S. Dollar"/>
    <hyperlink ref="C35" location="'Table XXII'!A1" display="Some Selected Commodity Prices at International Markets"/>
    <hyperlink ref="C36" location="'Table XXIII'!A1" display="Selected Tax Revenue Receipts of the Government Under NBR and Others"/>
    <hyperlink ref="C42" location="'Appendix- Weights &amp; Measures'!A1" display="Appendix : Weights and Measures"/>
    <hyperlink ref="C11" location="'Table IIG'!A1" display="E-Banking &amp; E-Commerce Statistics"/>
    <hyperlink ref="C37" location="'Table XXIV'!A1" display="Central Bank Survey"/>
    <hyperlink ref="C38" location="'Table XXV'!A1" display="Depository Corporation Survey"/>
    <hyperlink ref="C39" location="'Table XXVI'!A1" display="Important Economic Indicators of Bangladesh with SAARC Countries"/>
    <hyperlink ref="C40" location="'Table XXVII'!A1" display="Important Economic Indicators of SAARC Countries "/>
  </hyperlinks>
  <pageMargins left="0.196850393700787" right="0.196850393700787" top="0.15748031496063" bottom="0.15748031496063" header="0" footer="0"/>
  <pageSetup paperSize="151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21"/>
  <dimension ref="A1:W58"/>
  <sheetViews>
    <sheetView topLeftCell="G1" zoomScale="170" zoomScaleNormal="170" workbookViewId="0">
      <pane ySplit="4" topLeftCell="A47" activePane="bottomLeft" state="frozen"/>
      <selection pane="bottomLeft" activeCell="U55" sqref="U55"/>
    </sheetView>
  </sheetViews>
  <sheetFormatPr defaultColWidth="9.140625" defaultRowHeight="11.25"/>
  <cols>
    <col min="1" max="1" width="8.28515625" style="10" customWidth="1"/>
    <col min="2" max="2" width="6.5703125" style="10" customWidth="1"/>
    <col min="3" max="3" width="6.7109375" style="10" customWidth="1"/>
    <col min="4" max="4" width="7.140625" style="10" customWidth="1"/>
    <col min="5" max="5" width="7.28515625" style="10" customWidth="1"/>
    <col min="6" max="6" width="6.7109375" style="10" customWidth="1"/>
    <col min="7" max="7" width="7" style="10" customWidth="1"/>
    <col min="8" max="9" width="6.7109375" style="10" customWidth="1"/>
    <col min="10" max="10" width="8.140625" style="10" customWidth="1"/>
    <col min="11" max="11" width="6.28515625" style="10" customWidth="1"/>
    <col min="12" max="12" width="7.7109375" style="10" customWidth="1"/>
    <col min="13" max="13" width="6.85546875" style="10" customWidth="1"/>
    <col min="14" max="14" width="6.42578125" style="10" customWidth="1"/>
    <col min="15" max="15" width="6.5703125" style="10" customWidth="1"/>
    <col min="16" max="16" width="7.28515625" style="10" customWidth="1"/>
    <col min="17" max="17" width="7" style="10" customWidth="1"/>
    <col min="18" max="18" width="6.7109375" style="10" customWidth="1"/>
    <col min="19" max="19" width="7.7109375" style="10" customWidth="1"/>
    <col min="20" max="20" width="7.140625" style="10" customWidth="1"/>
    <col min="21" max="21" width="7.42578125" style="10" customWidth="1"/>
    <col min="22" max="22" width="8.42578125" style="10" customWidth="1"/>
    <col min="23" max="16384" width="9.140625" style="10"/>
  </cols>
  <sheetData>
    <row r="1" spans="1:23" s="32" customFormat="1" ht="15.75" customHeight="1">
      <c r="A1" s="2035" t="s">
        <v>27</v>
      </c>
      <c r="B1" s="2035"/>
      <c r="C1" s="2035"/>
      <c r="D1" s="2035"/>
      <c r="E1" s="2035"/>
      <c r="F1" s="2035"/>
      <c r="G1" s="2035"/>
      <c r="H1" s="2035"/>
      <c r="I1" s="2035"/>
      <c r="J1" s="2035"/>
      <c r="K1" s="2035"/>
      <c r="L1" s="2057" t="s">
        <v>449</v>
      </c>
      <c r="M1" s="2057"/>
      <c r="N1" s="2057"/>
      <c r="O1" s="2057"/>
      <c r="P1" s="2057"/>
      <c r="Q1" s="2057"/>
      <c r="R1" s="2057"/>
      <c r="S1" s="2057"/>
      <c r="T1" s="2057"/>
      <c r="U1" s="2033" t="s">
        <v>1809</v>
      </c>
      <c r="V1" s="2033"/>
      <c r="W1" s="71"/>
    </row>
    <row r="2" spans="1:23" s="133" customFormat="1" ht="11.25" customHeight="1">
      <c r="A2" s="134"/>
      <c r="B2" s="134"/>
      <c r="E2" s="134"/>
      <c r="F2" s="134"/>
      <c r="G2" s="134"/>
      <c r="H2" s="134"/>
      <c r="I2" s="134"/>
      <c r="J2" s="2074" t="s">
        <v>181</v>
      </c>
      <c r="K2" s="2074"/>
      <c r="L2" s="136" t="s">
        <v>2117</v>
      </c>
      <c r="U2" s="2074" t="s">
        <v>465</v>
      </c>
      <c r="V2" s="2074"/>
    </row>
    <row r="3" spans="1:23" s="55" customFormat="1" ht="70.5" customHeight="1">
      <c r="A3" s="2027" t="s">
        <v>739</v>
      </c>
      <c r="B3" s="1102" t="s">
        <v>2183</v>
      </c>
      <c r="C3" s="27" t="s">
        <v>762</v>
      </c>
      <c r="D3" s="1102" t="s">
        <v>2175</v>
      </c>
      <c r="E3" s="27" t="s">
        <v>445</v>
      </c>
      <c r="F3" s="27" t="s">
        <v>451</v>
      </c>
      <c r="G3" s="27" t="s">
        <v>446</v>
      </c>
      <c r="H3" s="1102" t="s">
        <v>2184</v>
      </c>
      <c r="I3" s="1102" t="s">
        <v>2177</v>
      </c>
      <c r="J3" s="1102" t="s">
        <v>2178</v>
      </c>
      <c r="K3" s="27" t="s">
        <v>447</v>
      </c>
      <c r="L3" s="1102" t="s">
        <v>2179</v>
      </c>
      <c r="M3" s="1102" t="s">
        <v>2180</v>
      </c>
      <c r="N3" s="27" t="s">
        <v>448</v>
      </c>
      <c r="O3" s="1102" t="s">
        <v>2181</v>
      </c>
      <c r="P3" s="1102" t="s">
        <v>2182</v>
      </c>
      <c r="Q3" s="27" t="s">
        <v>954</v>
      </c>
      <c r="R3" s="27" t="s">
        <v>443</v>
      </c>
      <c r="S3" s="27" t="s">
        <v>955</v>
      </c>
      <c r="T3" s="27" t="s">
        <v>444</v>
      </c>
      <c r="U3" s="125" t="s">
        <v>953</v>
      </c>
      <c r="V3" s="2027" t="s">
        <v>739</v>
      </c>
    </row>
    <row r="4" spans="1:23" s="67" customFormat="1" ht="9.75" customHeight="1">
      <c r="A4" s="2029"/>
      <c r="B4" s="1014">
        <v>1</v>
      </c>
      <c r="C4" s="1014">
        <v>2</v>
      </c>
      <c r="D4" s="1014">
        <v>3</v>
      </c>
      <c r="E4" s="1014">
        <v>4</v>
      </c>
      <c r="F4" s="1014">
        <v>5</v>
      </c>
      <c r="G4" s="1014">
        <v>6</v>
      </c>
      <c r="H4" s="1014">
        <v>7</v>
      </c>
      <c r="I4" s="1014">
        <v>8</v>
      </c>
      <c r="J4" s="1014">
        <v>9</v>
      </c>
      <c r="K4" s="1014">
        <v>10</v>
      </c>
      <c r="L4" s="1014">
        <v>11</v>
      </c>
      <c r="M4" s="1014">
        <v>12</v>
      </c>
      <c r="N4" s="1014">
        <v>13</v>
      </c>
      <c r="O4" s="1014">
        <v>14</v>
      </c>
      <c r="P4" s="1014">
        <v>15</v>
      </c>
      <c r="Q4" s="1014">
        <v>16</v>
      </c>
      <c r="R4" s="1014">
        <v>17</v>
      </c>
      <c r="S4" s="1014">
        <v>18</v>
      </c>
      <c r="T4" s="1014">
        <v>19</v>
      </c>
      <c r="U4" s="1014">
        <v>20</v>
      </c>
      <c r="V4" s="2029"/>
    </row>
    <row r="5" spans="1:23" ht="9.6" customHeight="1">
      <c r="A5" s="8" t="s">
        <v>808</v>
      </c>
      <c r="B5" s="35">
        <v>40551</v>
      </c>
      <c r="C5" s="35">
        <v>11458</v>
      </c>
      <c r="D5" s="35">
        <v>2225</v>
      </c>
      <c r="E5" s="35">
        <v>32398</v>
      </c>
      <c r="F5" s="35">
        <v>3035</v>
      </c>
      <c r="G5" s="35">
        <v>16796</v>
      </c>
      <c r="H5" s="35">
        <v>28021</v>
      </c>
      <c r="I5" s="35">
        <v>1335</v>
      </c>
      <c r="J5" s="35">
        <v>19580</v>
      </c>
      <c r="K5" s="35">
        <v>3270</v>
      </c>
      <c r="L5" s="35">
        <v>18096</v>
      </c>
      <c r="M5" s="35">
        <v>5321</v>
      </c>
      <c r="N5" s="35">
        <v>4651</v>
      </c>
      <c r="O5" s="35">
        <v>4548</v>
      </c>
      <c r="P5" s="35">
        <v>16538</v>
      </c>
      <c r="Q5" s="35">
        <f>SUM(B5:P5)</f>
        <v>207823</v>
      </c>
      <c r="R5" s="35">
        <v>7913</v>
      </c>
      <c r="S5" s="35">
        <f>Q5+R5</f>
        <v>215736</v>
      </c>
      <c r="T5" s="35">
        <v>7523</v>
      </c>
      <c r="U5" s="35">
        <f>S5+T5</f>
        <v>223259</v>
      </c>
      <c r="V5" s="50" t="s">
        <v>808</v>
      </c>
    </row>
    <row r="6" spans="1:23" ht="9.6" customHeight="1">
      <c r="A6" s="456"/>
      <c r="B6" s="479">
        <f t="shared" ref="B6:S6" si="0">(B5/$S5)*100</f>
        <v>18.796584714651239</v>
      </c>
      <c r="C6" s="479">
        <f t="shared" si="0"/>
        <v>5.3111209997404236</v>
      </c>
      <c r="D6" s="479">
        <f t="shared" si="0"/>
        <v>1.0313531353135312</v>
      </c>
      <c r="E6" s="479">
        <f t="shared" si="0"/>
        <v>15.017428709163049</v>
      </c>
      <c r="F6" s="479">
        <f t="shared" si="0"/>
        <v>1.4068120295175586</v>
      </c>
      <c r="G6" s="479">
        <f t="shared" si="0"/>
        <v>7.7854414654948645</v>
      </c>
      <c r="H6" s="479">
        <f t="shared" si="0"/>
        <v>12.988560091964253</v>
      </c>
      <c r="I6" s="479">
        <f t="shared" si="0"/>
        <v>0.61881188118811881</v>
      </c>
      <c r="J6" s="479">
        <f t="shared" si="0"/>
        <v>9.0759075907590763</v>
      </c>
      <c r="K6" s="479">
        <f t="shared" si="0"/>
        <v>1.5157414617866283</v>
      </c>
      <c r="L6" s="479">
        <f t="shared" si="0"/>
        <v>8.3880298142173757</v>
      </c>
      <c r="M6" s="479">
        <f t="shared" si="0"/>
        <v>2.4664404642711459</v>
      </c>
      <c r="N6" s="479">
        <f t="shared" si="0"/>
        <v>2.1558756999295436</v>
      </c>
      <c r="O6" s="479">
        <f t="shared" si="0"/>
        <v>2.1081321615307598</v>
      </c>
      <c r="P6" s="479">
        <f t="shared" si="0"/>
        <v>7.6658508547483963</v>
      </c>
      <c r="Q6" s="479">
        <f t="shared" si="0"/>
        <v>96.332091074275965</v>
      </c>
      <c r="R6" s="479">
        <f t="shared" si="0"/>
        <v>3.6679089257240332</v>
      </c>
      <c r="S6" s="479">
        <f t="shared" si="0"/>
        <v>100</v>
      </c>
      <c r="T6" s="437"/>
      <c r="U6" s="437"/>
      <c r="V6" s="447"/>
    </row>
    <row r="7" spans="1:23" ht="9.6" customHeight="1">
      <c r="A7" s="8" t="s">
        <v>809</v>
      </c>
      <c r="B7" s="35">
        <v>40300</v>
      </c>
      <c r="C7" s="35">
        <v>11713</v>
      </c>
      <c r="D7" s="35">
        <v>2326</v>
      </c>
      <c r="E7" s="35">
        <v>34174</v>
      </c>
      <c r="F7" s="35">
        <v>3267</v>
      </c>
      <c r="G7" s="35">
        <v>18243</v>
      </c>
      <c r="H7" s="35">
        <v>29868</v>
      </c>
      <c r="I7" s="35">
        <v>1427</v>
      </c>
      <c r="J7" s="35">
        <v>20863</v>
      </c>
      <c r="K7" s="35">
        <v>3489</v>
      </c>
      <c r="L7" s="35">
        <v>18715</v>
      </c>
      <c r="M7" s="35">
        <v>5636</v>
      </c>
      <c r="N7" s="35">
        <v>5004</v>
      </c>
      <c r="O7" s="35">
        <v>4789</v>
      </c>
      <c r="P7" s="35">
        <v>17073</v>
      </c>
      <c r="Q7" s="35">
        <f>SUM(B7:P7)</f>
        <v>216887</v>
      </c>
      <c r="R7" s="35">
        <v>8374</v>
      </c>
      <c r="S7" s="35">
        <f>Q7+R7</f>
        <v>225261</v>
      </c>
      <c r="T7" s="35">
        <v>10342</v>
      </c>
      <c r="U7" s="35">
        <f>S7+T7</f>
        <v>235603</v>
      </c>
      <c r="V7" s="50" t="s">
        <v>809</v>
      </c>
    </row>
    <row r="8" spans="1:23" ht="9.6" customHeight="1">
      <c r="A8" s="456"/>
      <c r="B8" s="479">
        <f t="shared" ref="B8:S8" si="1">(B7/$S7)*100</f>
        <v>17.890358295488344</v>
      </c>
      <c r="C8" s="479">
        <f t="shared" si="1"/>
        <v>5.1997460723338707</v>
      </c>
      <c r="D8" s="479">
        <f t="shared" si="1"/>
        <v>1.0325799849951833</v>
      </c>
      <c r="E8" s="479">
        <f t="shared" si="1"/>
        <v>15.170846262779619</v>
      </c>
      <c r="F8" s="479">
        <f t="shared" si="1"/>
        <v>1.4503176315474051</v>
      </c>
      <c r="G8" s="479">
        <f t="shared" si="1"/>
        <v>8.0986056174837184</v>
      </c>
      <c r="H8" s="479">
        <f t="shared" si="1"/>
        <v>13.259285895028434</v>
      </c>
      <c r="I8" s="479">
        <f t="shared" si="1"/>
        <v>0.63348737686505874</v>
      </c>
      <c r="J8" s="479">
        <f t="shared" si="1"/>
        <v>9.2617008714335807</v>
      </c>
      <c r="K8" s="479">
        <f t="shared" si="1"/>
        <v>1.548869977492775</v>
      </c>
      <c r="L8" s="479">
        <f t="shared" si="1"/>
        <v>8.30814033498919</v>
      </c>
      <c r="M8" s="479">
        <f t="shared" si="1"/>
        <v>2.5019865844509255</v>
      </c>
      <c r="N8" s="479">
        <f t="shared" si="1"/>
        <v>2.2214231491469896</v>
      </c>
      <c r="O8" s="479">
        <f t="shared" si="1"/>
        <v>2.1259783096053022</v>
      </c>
      <c r="P8" s="479">
        <f t="shared" si="1"/>
        <v>7.5792081185824447</v>
      </c>
      <c r="Q8" s="479">
        <f t="shared" si="1"/>
        <v>96.282534482222843</v>
      </c>
      <c r="R8" s="479">
        <f t="shared" si="1"/>
        <v>3.7174655177771561</v>
      </c>
      <c r="S8" s="479">
        <f t="shared" si="1"/>
        <v>100</v>
      </c>
      <c r="T8" s="437"/>
      <c r="U8" s="437"/>
      <c r="V8" s="447"/>
    </row>
    <row r="9" spans="1:23" ht="9.6" customHeight="1">
      <c r="A9" s="8" t="s">
        <v>810</v>
      </c>
      <c r="B9" s="35">
        <v>41627</v>
      </c>
      <c r="C9" s="35">
        <v>11986</v>
      </c>
      <c r="D9" s="35">
        <v>2493</v>
      </c>
      <c r="E9" s="35">
        <v>36480</v>
      </c>
      <c r="F9" s="39">
        <v>3529</v>
      </c>
      <c r="G9" s="35">
        <v>19719</v>
      </c>
      <c r="H9" s="35">
        <v>31687</v>
      </c>
      <c r="I9" s="35">
        <v>1527</v>
      </c>
      <c r="J9" s="35">
        <v>22292</v>
      </c>
      <c r="K9" s="477">
        <v>3722</v>
      </c>
      <c r="L9" s="35">
        <v>19374</v>
      </c>
      <c r="M9" s="35">
        <v>5932</v>
      </c>
      <c r="N9" s="35">
        <v>5384</v>
      </c>
      <c r="O9" s="35">
        <v>5057</v>
      </c>
      <c r="P9" s="35">
        <v>17640</v>
      </c>
      <c r="Q9" s="477">
        <f>SUM(B9:P9)</f>
        <v>228449</v>
      </c>
      <c r="R9" s="35">
        <v>8652</v>
      </c>
      <c r="S9" s="35">
        <f>Q9+R9</f>
        <v>237101</v>
      </c>
      <c r="T9" s="35">
        <v>13081</v>
      </c>
      <c r="U9" s="35">
        <f>S9+T9</f>
        <v>250182</v>
      </c>
      <c r="V9" s="50" t="s">
        <v>810</v>
      </c>
    </row>
    <row r="10" spans="1:23" ht="9.6" customHeight="1">
      <c r="A10" s="456"/>
      <c r="B10" s="479">
        <f t="shared" ref="B10:S10" si="2">(B9/$S9)*100</f>
        <v>17.556653071897628</v>
      </c>
      <c r="C10" s="479">
        <f t="shared" si="2"/>
        <v>5.0552296278801023</v>
      </c>
      <c r="D10" s="479">
        <f t="shared" si="2"/>
        <v>1.0514506476143077</v>
      </c>
      <c r="E10" s="479">
        <f t="shared" si="2"/>
        <v>15.385848225018032</v>
      </c>
      <c r="F10" s="479">
        <f t="shared" si="2"/>
        <v>1.4883952408467278</v>
      </c>
      <c r="G10" s="479">
        <f t="shared" si="2"/>
        <v>8.3167089130792355</v>
      </c>
      <c r="H10" s="479">
        <f t="shared" si="2"/>
        <v>13.364346839532521</v>
      </c>
      <c r="I10" s="479">
        <f t="shared" si="2"/>
        <v>0.64402933770840276</v>
      </c>
      <c r="J10" s="479">
        <f t="shared" si="2"/>
        <v>9.4019004559238457</v>
      </c>
      <c r="K10" s="479">
        <f t="shared" si="2"/>
        <v>1.5697951505898331</v>
      </c>
      <c r="L10" s="479">
        <f t="shared" si="2"/>
        <v>8.1712013023985559</v>
      </c>
      <c r="M10" s="479">
        <f t="shared" si="2"/>
        <v>2.5018873813269451</v>
      </c>
      <c r="N10" s="479">
        <f t="shared" si="2"/>
        <v>2.2707622489993717</v>
      </c>
      <c r="O10" s="479">
        <f t="shared" si="2"/>
        <v>2.1328463397455093</v>
      </c>
      <c r="P10" s="479">
        <f t="shared" si="2"/>
        <v>7.4398673982817449</v>
      </c>
      <c r="Q10" s="479">
        <f t="shared" si="2"/>
        <v>96.350922180842772</v>
      </c>
      <c r="R10" s="479">
        <f t="shared" si="2"/>
        <v>3.6490778191572373</v>
      </c>
      <c r="S10" s="479">
        <f t="shared" si="2"/>
        <v>100</v>
      </c>
      <c r="T10" s="437"/>
      <c r="U10" s="437"/>
      <c r="V10" s="447"/>
    </row>
    <row r="11" spans="1:23" ht="9.6" customHeight="1">
      <c r="A11" s="8" t="s">
        <v>811</v>
      </c>
      <c r="B11" s="35">
        <v>43449</v>
      </c>
      <c r="C11" s="35">
        <v>12356</v>
      </c>
      <c r="D11" s="35">
        <v>2684</v>
      </c>
      <c r="E11" s="35">
        <v>39069</v>
      </c>
      <c r="F11" s="35">
        <v>3849</v>
      </c>
      <c r="G11" s="35">
        <v>21346</v>
      </c>
      <c r="H11" s="35">
        <v>33770</v>
      </c>
      <c r="I11" s="35">
        <v>1635</v>
      </c>
      <c r="J11" s="35">
        <v>23676</v>
      </c>
      <c r="K11" s="35">
        <v>3983</v>
      </c>
      <c r="L11" s="35">
        <v>20068</v>
      </c>
      <c r="M11" s="35">
        <v>6351</v>
      </c>
      <c r="N11" s="35">
        <v>5798</v>
      </c>
      <c r="O11" s="35">
        <v>5371</v>
      </c>
      <c r="P11" s="35">
        <v>18340</v>
      </c>
      <c r="Q11" s="477">
        <f>SUM(B11:P11)</f>
        <v>241745</v>
      </c>
      <c r="R11" s="35">
        <v>10223</v>
      </c>
      <c r="S11" s="35">
        <f>Q11+R11</f>
        <v>251968</v>
      </c>
      <c r="T11" s="35">
        <v>13283</v>
      </c>
      <c r="U11" s="35">
        <f>S11+T11</f>
        <v>265251</v>
      </c>
      <c r="V11" s="50" t="s">
        <v>811</v>
      </c>
    </row>
    <row r="12" spans="1:23" ht="9.6" customHeight="1">
      <c r="A12" s="456"/>
      <c r="B12" s="479">
        <f t="shared" ref="B12:S12" si="3">(B11/$S11)*100</f>
        <v>17.243856362712727</v>
      </c>
      <c r="C12" s="479">
        <f t="shared" si="3"/>
        <v>4.9037973075946155</v>
      </c>
      <c r="D12" s="479">
        <f t="shared" si="3"/>
        <v>1.0652146304292609</v>
      </c>
      <c r="E12" s="479">
        <f t="shared" si="3"/>
        <v>15.505540386080771</v>
      </c>
      <c r="F12" s="479">
        <f t="shared" si="3"/>
        <v>1.5275749301498605</v>
      </c>
      <c r="G12" s="479">
        <f t="shared" si="3"/>
        <v>8.4717106934213877</v>
      </c>
      <c r="H12" s="479">
        <f t="shared" si="3"/>
        <v>13.402495554991109</v>
      </c>
      <c r="I12" s="479">
        <f t="shared" si="3"/>
        <v>0.64889192278384555</v>
      </c>
      <c r="J12" s="479">
        <f t="shared" si="3"/>
        <v>9.3964312928625855</v>
      </c>
      <c r="K12" s="479">
        <f t="shared" si="3"/>
        <v>1.5807562865125728</v>
      </c>
      <c r="L12" s="479">
        <f t="shared" si="3"/>
        <v>7.9645034290068581</v>
      </c>
      <c r="M12" s="479">
        <f t="shared" si="3"/>
        <v>2.5205581661163325</v>
      </c>
      <c r="N12" s="479">
        <f t="shared" si="3"/>
        <v>2.3010858521717044</v>
      </c>
      <c r="O12" s="479">
        <f t="shared" si="3"/>
        <v>2.1316198882397766</v>
      </c>
      <c r="P12" s="479">
        <f t="shared" si="3"/>
        <v>7.2787020574041144</v>
      </c>
      <c r="Q12" s="479">
        <f t="shared" si="3"/>
        <v>95.942738760477525</v>
      </c>
      <c r="R12" s="479">
        <f t="shared" si="3"/>
        <v>4.0572612395224787</v>
      </c>
      <c r="S12" s="479">
        <f t="shared" si="3"/>
        <v>100</v>
      </c>
      <c r="T12" s="437"/>
      <c r="U12" s="437"/>
      <c r="V12" s="447"/>
    </row>
    <row r="13" spans="1:23" ht="9.6" customHeight="1">
      <c r="A13" s="8" t="s">
        <v>812</v>
      </c>
      <c r="B13" s="35">
        <v>44230</v>
      </c>
      <c r="C13" s="35">
        <v>12807</v>
      </c>
      <c r="D13" s="35">
        <v>2909</v>
      </c>
      <c r="E13" s="35">
        <v>42269</v>
      </c>
      <c r="F13" s="35">
        <v>4192</v>
      </c>
      <c r="G13" s="35">
        <v>23120</v>
      </c>
      <c r="H13" s="35">
        <v>36155</v>
      </c>
      <c r="I13" s="35">
        <v>1751</v>
      </c>
      <c r="J13" s="35">
        <v>25552</v>
      </c>
      <c r="K13" s="35">
        <v>4338</v>
      </c>
      <c r="L13" s="35">
        <v>20801</v>
      </c>
      <c r="M13" s="35">
        <v>6860</v>
      </c>
      <c r="N13" s="35">
        <v>6256</v>
      </c>
      <c r="O13" s="35">
        <v>5768</v>
      </c>
      <c r="P13" s="35">
        <v>19082</v>
      </c>
      <c r="Q13" s="35">
        <f>SUM(B13:P13)</f>
        <v>256090</v>
      </c>
      <c r="R13" s="35">
        <v>10884</v>
      </c>
      <c r="S13" s="35">
        <f>Q13+R13</f>
        <v>266974</v>
      </c>
      <c r="T13" s="35">
        <v>13632</v>
      </c>
      <c r="U13" s="35">
        <f>S13+T13</f>
        <v>280606</v>
      </c>
      <c r="V13" s="50" t="s">
        <v>812</v>
      </c>
    </row>
    <row r="14" spans="1:23" ht="9.6" customHeight="1">
      <c r="A14" s="456"/>
      <c r="B14" s="479">
        <f t="shared" ref="B14:S14" si="4">(B13/$S13)*100</f>
        <v>16.567156352303968</v>
      </c>
      <c r="C14" s="479">
        <f t="shared" si="4"/>
        <v>4.7970963464607035</v>
      </c>
      <c r="D14" s="479">
        <f t="shared" si="4"/>
        <v>1.089619213856031</v>
      </c>
      <c r="E14" s="479">
        <f t="shared" si="4"/>
        <v>15.832627896349457</v>
      </c>
      <c r="F14" s="479">
        <f t="shared" si="4"/>
        <v>1.5701903556151535</v>
      </c>
      <c r="G14" s="479">
        <f t="shared" si="4"/>
        <v>8.6600193277247968</v>
      </c>
      <c r="H14" s="479">
        <f t="shared" si="4"/>
        <v>13.542517248870675</v>
      </c>
      <c r="I14" s="479">
        <f t="shared" si="4"/>
        <v>0.65586911084974564</v>
      </c>
      <c r="J14" s="479">
        <f t="shared" si="4"/>
        <v>9.5709694577000004</v>
      </c>
      <c r="K14" s="479">
        <f t="shared" si="4"/>
        <v>1.6248773288784675</v>
      </c>
      <c r="L14" s="479">
        <f t="shared" si="4"/>
        <v>7.7913954167821586</v>
      </c>
      <c r="M14" s="479">
        <f t="shared" si="4"/>
        <v>2.5695386067557142</v>
      </c>
      <c r="N14" s="479">
        <f t="shared" si="4"/>
        <v>2.3432993475020041</v>
      </c>
      <c r="O14" s="479">
        <f t="shared" si="4"/>
        <v>2.1605100122109269</v>
      </c>
      <c r="P14" s="479">
        <f t="shared" si="4"/>
        <v>7.1475124918531394</v>
      </c>
      <c r="Q14" s="479">
        <f t="shared" si="4"/>
        <v>95.923198513712947</v>
      </c>
      <c r="R14" s="479">
        <f t="shared" si="4"/>
        <v>4.0768014862870547</v>
      </c>
      <c r="S14" s="479">
        <f t="shared" si="4"/>
        <v>100</v>
      </c>
      <c r="T14" s="437"/>
      <c r="U14" s="437"/>
      <c r="V14" s="447"/>
    </row>
    <row r="15" spans="1:23" ht="9.6" customHeight="1">
      <c r="A15" s="481" t="s">
        <v>817</v>
      </c>
      <c r="B15" s="477">
        <v>46545</v>
      </c>
      <c r="C15" s="477">
        <v>13308</v>
      </c>
      <c r="D15" s="477">
        <v>3178</v>
      </c>
      <c r="E15" s="477">
        <v>46820</v>
      </c>
      <c r="F15" s="477">
        <v>4513</v>
      </c>
      <c r="G15" s="477">
        <v>25042</v>
      </c>
      <c r="H15" s="477">
        <v>38596</v>
      </c>
      <c r="I15" s="477">
        <v>1881</v>
      </c>
      <c r="J15" s="477">
        <v>27592</v>
      </c>
      <c r="K15" s="477">
        <v>4707</v>
      </c>
      <c r="L15" s="477">
        <v>21569</v>
      </c>
      <c r="M15" s="477">
        <v>7420</v>
      </c>
      <c r="N15" s="477">
        <v>6822</v>
      </c>
      <c r="O15" s="477">
        <v>6217</v>
      </c>
      <c r="P15" s="477">
        <v>19863</v>
      </c>
      <c r="Q15" s="35">
        <f>SUM(B15:P15)</f>
        <v>274073</v>
      </c>
      <c r="R15" s="477">
        <v>10599</v>
      </c>
      <c r="S15" s="35">
        <f>Q15+R15</f>
        <v>284672</v>
      </c>
      <c r="T15" s="477">
        <v>18631</v>
      </c>
      <c r="U15" s="35">
        <f>S15+T15</f>
        <v>303303</v>
      </c>
      <c r="V15" s="482" t="s">
        <v>817</v>
      </c>
    </row>
    <row r="16" spans="1:23" ht="9.6" customHeight="1">
      <c r="A16" s="456"/>
      <c r="B16" s="479">
        <f t="shared" ref="B16:S16" si="5">(B15/$S15)*100</f>
        <v>16.3503962455036</v>
      </c>
      <c r="C16" s="479">
        <f t="shared" si="5"/>
        <v>4.6748538669064743</v>
      </c>
      <c r="D16" s="479">
        <f t="shared" si="5"/>
        <v>1.1163725269784173</v>
      </c>
      <c r="E16" s="479">
        <f t="shared" si="5"/>
        <v>16.446998651079138</v>
      </c>
      <c r="F16" s="479">
        <f t="shared" si="5"/>
        <v>1.5853332958633095</v>
      </c>
      <c r="G16" s="479">
        <f t="shared" si="5"/>
        <v>8.7967906924460433</v>
      </c>
      <c r="H16" s="479">
        <f t="shared" si="5"/>
        <v>13.558059802158272</v>
      </c>
      <c r="I16" s="479">
        <f t="shared" si="5"/>
        <v>0.66076045413669071</v>
      </c>
      <c r="J16" s="479">
        <f t="shared" si="5"/>
        <v>9.6925584532374103</v>
      </c>
      <c r="K16" s="479">
        <f t="shared" si="5"/>
        <v>1.6534819019784173</v>
      </c>
      <c r="L16" s="479">
        <f t="shared" si="5"/>
        <v>7.5767901303956826</v>
      </c>
      <c r="M16" s="479">
        <f t="shared" si="5"/>
        <v>2.6065085431654675</v>
      </c>
      <c r="N16" s="479">
        <f t="shared" si="5"/>
        <v>2.3964422212230216</v>
      </c>
      <c r="O16" s="479">
        <f t="shared" si="5"/>
        <v>2.1839169289568345</v>
      </c>
      <c r="P16" s="479">
        <f t="shared" si="5"/>
        <v>6.9775039343525176</v>
      </c>
      <c r="Q16" s="479">
        <f t="shared" si="5"/>
        <v>96.276767648381295</v>
      </c>
      <c r="R16" s="479">
        <f t="shared" si="5"/>
        <v>3.7232323516187051</v>
      </c>
      <c r="S16" s="479">
        <f t="shared" si="5"/>
        <v>100</v>
      </c>
      <c r="T16" s="437"/>
      <c r="U16" s="437"/>
      <c r="V16" s="447"/>
    </row>
    <row r="17" spans="1:22" ht="9.6" customHeight="1">
      <c r="A17" s="212" t="s">
        <v>826</v>
      </c>
      <c r="B17" s="39">
        <v>48730</v>
      </c>
      <c r="C17" s="39">
        <v>13850</v>
      </c>
      <c r="D17" s="39">
        <v>3443</v>
      </c>
      <c r="E17" s="39">
        <v>51372</v>
      </c>
      <c r="F17" s="39">
        <v>4607</v>
      </c>
      <c r="G17" s="39">
        <v>26796</v>
      </c>
      <c r="H17" s="39">
        <v>41700</v>
      </c>
      <c r="I17" s="39">
        <v>2023</v>
      </c>
      <c r="J17" s="39">
        <v>29809</v>
      </c>
      <c r="K17" s="39">
        <v>5139</v>
      </c>
      <c r="L17" s="39">
        <v>22380</v>
      </c>
      <c r="M17" s="39">
        <v>8044</v>
      </c>
      <c r="N17" s="39">
        <v>7433</v>
      </c>
      <c r="O17" s="39">
        <v>6693</v>
      </c>
      <c r="P17" s="39">
        <v>20773</v>
      </c>
      <c r="Q17" s="35">
        <f>SUM(B17:P17)</f>
        <v>292792</v>
      </c>
      <c r="R17" s="39">
        <v>10179</v>
      </c>
      <c r="S17" s="35">
        <f>Q17+R17</f>
        <v>302971</v>
      </c>
      <c r="T17" s="39">
        <v>22620</v>
      </c>
      <c r="U17" s="35">
        <f>S17+T17</f>
        <v>325591</v>
      </c>
      <c r="V17" s="315" t="s">
        <v>826</v>
      </c>
    </row>
    <row r="18" spans="1:22" ht="9.6" customHeight="1">
      <c r="A18" s="456"/>
      <c r="B18" s="479">
        <f t="shared" ref="B18:S18" si="6">(B17/$S17)*100</f>
        <v>16.084047648124738</v>
      </c>
      <c r="C18" s="479">
        <f t="shared" si="6"/>
        <v>4.571394621927511</v>
      </c>
      <c r="D18" s="479">
        <f t="shared" si="6"/>
        <v>1.1364123959058787</v>
      </c>
      <c r="E18" s="479">
        <f t="shared" si="6"/>
        <v>16.956078304524194</v>
      </c>
      <c r="F18" s="479">
        <f t="shared" si="6"/>
        <v>1.5206075829039742</v>
      </c>
      <c r="G18" s="479">
        <f t="shared" si="6"/>
        <v>8.8444108512035804</v>
      </c>
      <c r="H18" s="479">
        <f t="shared" si="6"/>
        <v>13.763693554828679</v>
      </c>
      <c r="I18" s="479">
        <f t="shared" si="6"/>
        <v>0.66772067293569348</v>
      </c>
      <c r="J18" s="479">
        <f t="shared" si="6"/>
        <v>9.8388954718438395</v>
      </c>
      <c r="K18" s="479">
        <f t="shared" si="6"/>
        <v>1.6962019467209735</v>
      </c>
      <c r="L18" s="479">
        <f t="shared" si="6"/>
        <v>7.3868456056850329</v>
      </c>
      <c r="M18" s="479">
        <f t="shared" si="6"/>
        <v>2.6550395912480074</v>
      </c>
      <c r="N18" s="479">
        <f t="shared" si="6"/>
        <v>2.4533701245333712</v>
      </c>
      <c r="O18" s="479">
        <f t="shared" si="6"/>
        <v>2.2091223252390493</v>
      </c>
      <c r="P18" s="479">
        <f t="shared" si="6"/>
        <v>6.856431803703984</v>
      </c>
      <c r="Q18" s="479">
        <f t="shared" si="6"/>
        <v>96.640272501328511</v>
      </c>
      <c r="R18" s="479">
        <f t="shared" si="6"/>
        <v>3.3597274986714902</v>
      </c>
      <c r="S18" s="479">
        <f t="shared" si="6"/>
        <v>100</v>
      </c>
      <c r="T18" s="437"/>
      <c r="U18" s="437"/>
      <c r="V18" s="447"/>
    </row>
    <row r="19" spans="1:22" ht="9.6" customHeight="1">
      <c r="A19" s="8" t="s">
        <v>549</v>
      </c>
      <c r="B19" s="41">
        <v>50157</v>
      </c>
      <c r="C19" s="41">
        <v>14429</v>
      </c>
      <c r="D19" s="41">
        <v>3751</v>
      </c>
      <c r="E19" s="41">
        <v>55077</v>
      </c>
      <c r="F19" s="41">
        <v>4919</v>
      </c>
      <c r="G19" s="41">
        <v>28318</v>
      </c>
      <c r="H19" s="41">
        <v>44543</v>
      </c>
      <c r="I19" s="41">
        <v>2176</v>
      </c>
      <c r="J19" s="41">
        <v>32357</v>
      </c>
      <c r="K19" s="41">
        <v>5596</v>
      </c>
      <c r="L19" s="41">
        <v>23221</v>
      </c>
      <c r="M19" s="41">
        <v>8543</v>
      </c>
      <c r="N19" s="41">
        <v>8013</v>
      </c>
      <c r="O19" s="41">
        <v>7163</v>
      </c>
      <c r="P19" s="41">
        <v>21731</v>
      </c>
      <c r="Q19" s="35">
        <f>SUM(B19:P19)</f>
        <v>309994</v>
      </c>
      <c r="R19" s="41">
        <v>11732</v>
      </c>
      <c r="S19" s="35">
        <f>Q19+R19</f>
        <v>321726</v>
      </c>
      <c r="T19" s="41">
        <v>28522</v>
      </c>
      <c r="U19" s="35">
        <f>S19+T19</f>
        <v>350248</v>
      </c>
      <c r="V19" s="50" t="s">
        <v>549</v>
      </c>
    </row>
    <row r="20" spans="1:22" ht="9.6" customHeight="1">
      <c r="A20" s="456"/>
      <c r="B20" s="479">
        <f t="shared" ref="B20:S20" si="7">(B19/$S19)*100</f>
        <v>15.589974077320454</v>
      </c>
      <c r="C20" s="479">
        <f t="shared" si="7"/>
        <v>4.4848722204608897</v>
      </c>
      <c r="D20" s="479">
        <f t="shared" si="7"/>
        <v>1.1658989326321156</v>
      </c>
      <c r="E20" s="479">
        <f t="shared" si="7"/>
        <v>17.119225676507337</v>
      </c>
      <c r="F20" s="479">
        <f t="shared" si="7"/>
        <v>1.528940775691116</v>
      </c>
      <c r="G20" s="479">
        <f t="shared" si="7"/>
        <v>8.8018997532061434</v>
      </c>
      <c r="H20" s="479">
        <f t="shared" si="7"/>
        <v>13.845010972069401</v>
      </c>
      <c r="I20" s="479">
        <f t="shared" si="7"/>
        <v>0.67635192679485023</v>
      </c>
      <c r="J20" s="479">
        <f t="shared" si="7"/>
        <v>10.057315852619931</v>
      </c>
      <c r="K20" s="479">
        <f t="shared" si="7"/>
        <v>1.7393682823271976</v>
      </c>
      <c r="L20" s="479">
        <f t="shared" si="7"/>
        <v>7.2176323952680228</v>
      </c>
      <c r="M20" s="479">
        <f t="shared" si="7"/>
        <v>2.6553651243604808</v>
      </c>
      <c r="N20" s="479">
        <f t="shared" si="7"/>
        <v>2.4906286716025439</v>
      </c>
      <c r="O20" s="479">
        <f t="shared" si="7"/>
        <v>2.2264287001983054</v>
      </c>
      <c r="P20" s="479">
        <f t="shared" si="7"/>
        <v>6.7545053865711813</v>
      </c>
      <c r="Q20" s="479">
        <f t="shared" si="7"/>
        <v>96.353418747629973</v>
      </c>
      <c r="R20" s="479">
        <f t="shared" si="7"/>
        <v>3.6465812523700292</v>
      </c>
      <c r="S20" s="479">
        <f t="shared" si="7"/>
        <v>100</v>
      </c>
      <c r="T20" s="437"/>
      <c r="U20" s="437"/>
      <c r="V20" s="447"/>
    </row>
    <row r="21" spans="1:22" ht="9.6" customHeight="1">
      <c r="A21" s="8" t="s">
        <v>102</v>
      </c>
      <c r="B21" s="363">
        <v>52215</v>
      </c>
      <c r="C21" s="363">
        <v>15029</v>
      </c>
      <c r="D21" s="363">
        <v>4120</v>
      </c>
      <c r="E21" s="363">
        <v>58754</v>
      </c>
      <c r="F21" s="363">
        <v>5210</v>
      </c>
      <c r="G21" s="363">
        <v>29931</v>
      </c>
      <c r="H21" s="363">
        <v>47309</v>
      </c>
      <c r="I21" s="363">
        <v>2341</v>
      </c>
      <c r="J21" s="363">
        <v>34949</v>
      </c>
      <c r="K21" s="363">
        <v>6099</v>
      </c>
      <c r="L21" s="363">
        <v>24106</v>
      </c>
      <c r="M21" s="363">
        <v>9142</v>
      </c>
      <c r="N21" s="363">
        <v>8658</v>
      </c>
      <c r="O21" s="363">
        <v>7678</v>
      </c>
      <c r="P21" s="363">
        <v>22753</v>
      </c>
      <c r="Q21" s="35">
        <f>SUM(B21:P21)</f>
        <v>328294</v>
      </c>
      <c r="R21" s="41">
        <v>11903</v>
      </c>
      <c r="S21" s="35">
        <f>Q21+R21</f>
        <v>340197</v>
      </c>
      <c r="T21" s="35">
        <v>30933</v>
      </c>
      <c r="U21" s="35">
        <f>S21+T21</f>
        <v>371130</v>
      </c>
      <c r="V21" s="50" t="s">
        <v>102</v>
      </c>
    </row>
    <row r="22" spans="1:22" ht="9.6" customHeight="1">
      <c r="A22" s="456"/>
      <c r="B22" s="479">
        <f t="shared" ref="B22:S22" si="8">(B21/$S21)*100</f>
        <v>15.348459862961755</v>
      </c>
      <c r="C22" s="479">
        <f t="shared" si="8"/>
        <v>4.4177344303447708</v>
      </c>
      <c r="D22" s="479">
        <f t="shared" si="8"/>
        <v>1.21106300173135</v>
      </c>
      <c r="E22" s="479">
        <f t="shared" si="8"/>
        <v>17.270581457214497</v>
      </c>
      <c r="F22" s="479">
        <f t="shared" si="8"/>
        <v>1.5314655919952265</v>
      </c>
      <c r="G22" s="479">
        <f t="shared" si="8"/>
        <v>8.798137549713843</v>
      </c>
      <c r="H22" s="479">
        <f t="shared" si="8"/>
        <v>13.906354259443793</v>
      </c>
      <c r="I22" s="479">
        <f t="shared" si="8"/>
        <v>0.68813070074104121</v>
      </c>
      <c r="J22" s="479">
        <f t="shared" si="8"/>
        <v>10.273165254249744</v>
      </c>
      <c r="K22" s="479">
        <f t="shared" si="8"/>
        <v>1.7927847688251219</v>
      </c>
      <c r="L22" s="479">
        <f t="shared" si="8"/>
        <v>7.0858943494504656</v>
      </c>
      <c r="M22" s="479">
        <f t="shared" si="8"/>
        <v>2.6872664955893204</v>
      </c>
      <c r="N22" s="479">
        <f t="shared" si="8"/>
        <v>2.5449959876189387</v>
      </c>
      <c r="O22" s="479">
        <f t="shared" si="8"/>
        <v>2.2569276037119668</v>
      </c>
      <c r="P22" s="479">
        <f t="shared" si="8"/>
        <v>6.6881836112605342</v>
      </c>
      <c r="Q22" s="479">
        <f t="shared" si="8"/>
        <v>96.501144924852369</v>
      </c>
      <c r="R22" s="479">
        <f t="shared" si="8"/>
        <v>3.4988550751476355</v>
      </c>
      <c r="S22" s="479">
        <f t="shared" si="8"/>
        <v>100</v>
      </c>
      <c r="T22" s="437"/>
      <c r="U22" s="437"/>
      <c r="V22" s="447"/>
    </row>
    <row r="23" spans="1:22" ht="9.6" customHeight="1">
      <c r="A23" s="8" t="s">
        <v>98</v>
      </c>
      <c r="B23" s="363">
        <v>55117</v>
      </c>
      <c r="C23" s="363">
        <v>15652</v>
      </c>
      <c r="D23" s="363">
        <v>4482</v>
      </c>
      <c r="E23" s="363">
        <v>62571</v>
      </c>
      <c r="F23" s="363">
        <v>5589</v>
      </c>
      <c r="G23" s="363">
        <v>31730</v>
      </c>
      <c r="H23" s="363">
        <v>50088</v>
      </c>
      <c r="I23" s="363">
        <v>2519</v>
      </c>
      <c r="J23" s="363">
        <v>37637</v>
      </c>
      <c r="K23" s="363">
        <v>6809</v>
      </c>
      <c r="L23" s="363">
        <v>25045</v>
      </c>
      <c r="M23" s="363">
        <v>9906</v>
      </c>
      <c r="N23" s="363">
        <v>9458</v>
      </c>
      <c r="O23" s="363">
        <v>8300</v>
      </c>
      <c r="P23" s="363">
        <v>23826</v>
      </c>
      <c r="Q23" s="35">
        <f>SUM(B23:P23)</f>
        <v>348729</v>
      </c>
      <c r="R23" s="41">
        <v>12116</v>
      </c>
      <c r="S23" s="35">
        <f>Q23+R23</f>
        <v>360845</v>
      </c>
      <c r="T23" s="35">
        <v>33575</v>
      </c>
      <c r="U23" s="35">
        <f>S23+T23</f>
        <v>394420</v>
      </c>
      <c r="V23" s="50" t="s">
        <v>98</v>
      </c>
    </row>
    <row r="24" spans="1:22" ht="9.6" customHeight="1">
      <c r="A24" s="437"/>
      <c r="B24" s="479">
        <f t="shared" ref="B24:S24" si="9">(B23/$S23)*100</f>
        <v>15.274425307264892</v>
      </c>
      <c r="C24" s="479">
        <f t="shared" si="9"/>
        <v>4.3375964749407645</v>
      </c>
      <c r="D24" s="479">
        <f t="shared" si="9"/>
        <v>1.2420845515387493</v>
      </c>
      <c r="E24" s="479">
        <f t="shared" si="9"/>
        <v>17.340132189721349</v>
      </c>
      <c r="F24" s="479">
        <f t="shared" si="9"/>
        <v>1.5488644708947055</v>
      </c>
      <c r="G24" s="479">
        <f t="shared" si="9"/>
        <v>8.7932491790103793</v>
      </c>
      <c r="H24" s="479">
        <f t="shared" si="9"/>
        <v>13.880752123487925</v>
      </c>
      <c r="I24" s="479">
        <f t="shared" si="9"/>
        <v>0.69808366473139438</v>
      </c>
      <c r="J24" s="479">
        <f t="shared" si="9"/>
        <v>10.430240130804085</v>
      </c>
      <c r="K24" s="479">
        <f t="shared" si="9"/>
        <v>1.8869597749726339</v>
      </c>
      <c r="L24" s="479">
        <f t="shared" si="9"/>
        <v>6.9406531890423864</v>
      </c>
      <c r="M24" s="479">
        <f t="shared" si="9"/>
        <v>2.7452230181934074</v>
      </c>
      <c r="N24" s="479">
        <f t="shared" si="9"/>
        <v>2.621069988499217</v>
      </c>
      <c r="O24" s="479">
        <f t="shared" si="9"/>
        <v>2.3001565769236101</v>
      </c>
      <c r="P24" s="479">
        <f t="shared" si="9"/>
        <v>6.6028350122628821</v>
      </c>
      <c r="Q24" s="479">
        <f t="shared" si="9"/>
        <v>96.642325652288378</v>
      </c>
      <c r="R24" s="479">
        <f t="shared" si="9"/>
        <v>3.3576743477116215</v>
      </c>
      <c r="S24" s="479">
        <f t="shared" si="9"/>
        <v>100</v>
      </c>
      <c r="T24" s="437"/>
      <c r="U24" s="437"/>
      <c r="V24" s="437"/>
    </row>
    <row r="25" spans="1:22" ht="9.6" customHeight="1">
      <c r="A25" s="8" t="s">
        <v>241</v>
      </c>
      <c r="B25" s="334">
        <v>57923</v>
      </c>
      <c r="C25" s="334">
        <v>16474</v>
      </c>
      <c r="D25" s="334">
        <v>4698</v>
      </c>
      <c r="E25" s="334">
        <v>68482</v>
      </c>
      <c r="F25" s="334">
        <v>5960</v>
      </c>
      <c r="G25" s="334">
        <v>33795</v>
      </c>
      <c r="H25" s="334">
        <v>53249</v>
      </c>
      <c r="I25" s="334">
        <v>2709</v>
      </c>
      <c r="J25" s="334">
        <v>39778</v>
      </c>
      <c r="K25" s="334">
        <v>7466</v>
      </c>
      <c r="L25" s="334">
        <v>26037</v>
      </c>
      <c r="M25" s="334">
        <v>10864</v>
      </c>
      <c r="N25" s="334">
        <v>10343</v>
      </c>
      <c r="O25" s="334">
        <v>8993</v>
      </c>
      <c r="P25" s="334">
        <v>24947</v>
      </c>
      <c r="Q25" s="35">
        <f>SUM(B25:P25)</f>
        <v>371718</v>
      </c>
      <c r="R25" s="334">
        <v>13332</v>
      </c>
      <c r="S25" s="35">
        <f>Q25+R25</f>
        <v>385050</v>
      </c>
      <c r="T25" s="35">
        <v>35046</v>
      </c>
      <c r="U25" s="35">
        <f>S25+T25</f>
        <v>420096</v>
      </c>
      <c r="V25" s="50" t="s">
        <v>241</v>
      </c>
    </row>
    <row r="26" spans="1:22" ht="9.6" customHeight="1">
      <c r="A26" s="437"/>
      <c r="B26" s="479">
        <f t="shared" ref="B26:S26" si="10">(B25/$S25)*100</f>
        <v>15.042981430982987</v>
      </c>
      <c r="C26" s="479">
        <f t="shared" si="10"/>
        <v>4.2784054018958582</v>
      </c>
      <c r="D26" s="479">
        <f t="shared" si="10"/>
        <v>1.2201012855473314</v>
      </c>
      <c r="E26" s="479">
        <f t="shared" si="10"/>
        <v>17.785222698350864</v>
      </c>
      <c r="F26" s="479">
        <f t="shared" si="10"/>
        <v>1.5478509284508506</v>
      </c>
      <c r="G26" s="479">
        <f t="shared" si="10"/>
        <v>8.7767822360732364</v>
      </c>
      <c r="H26" s="479">
        <f t="shared" si="10"/>
        <v>13.829113102194521</v>
      </c>
      <c r="I26" s="479">
        <f t="shared" si="10"/>
        <v>0.70354499415660299</v>
      </c>
      <c r="J26" s="479">
        <f t="shared" si="10"/>
        <v>10.330606414751331</v>
      </c>
      <c r="K26" s="479">
        <f t="shared" si="10"/>
        <v>1.9389689650694715</v>
      </c>
      <c r="L26" s="479">
        <f t="shared" si="10"/>
        <v>6.7619789637709387</v>
      </c>
      <c r="M26" s="479">
        <f t="shared" si="10"/>
        <v>2.8214517595117514</v>
      </c>
      <c r="N26" s="479">
        <f t="shared" si="10"/>
        <v>2.686144656538112</v>
      </c>
      <c r="O26" s="479">
        <f t="shared" si="10"/>
        <v>2.3355408388520971</v>
      </c>
      <c r="P26" s="479">
        <f t="shared" si="10"/>
        <v>6.4788988443059345</v>
      </c>
      <c r="Q26" s="479">
        <f t="shared" si="10"/>
        <v>96.537592520451881</v>
      </c>
      <c r="R26" s="479">
        <f t="shared" si="10"/>
        <v>3.4624074795481108</v>
      </c>
      <c r="S26" s="479">
        <f t="shared" si="10"/>
        <v>100</v>
      </c>
      <c r="T26" s="437"/>
      <c r="U26" s="437"/>
      <c r="V26" s="437"/>
    </row>
    <row r="27" spans="1:22" s="253" customFormat="1" ht="9.6" customHeight="1">
      <c r="A27" s="212" t="s">
        <v>1142</v>
      </c>
      <c r="B27" s="727">
        <v>59348</v>
      </c>
      <c r="C27" s="726">
        <v>17362</v>
      </c>
      <c r="D27" s="726">
        <v>5063</v>
      </c>
      <c r="E27" s="726">
        <v>74897</v>
      </c>
      <c r="F27" s="726">
        <v>6677</v>
      </c>
      <c r="G27" s="726">
        <v>36352</v>
      </c>
      <c r="H27" s="726">
        <v>56248</v>
      </c>
      <c r="I27" s="726">
        <v>2914</v>
      </c>
      <c r="J27" s="726">
        <v>42412</v>
      </c>
      <c r="K27" s="726">
        <v>8290</v>
      </c>
      <c r="L27" s="726">
        <v>27091</v>
      </c>
      <c r="M27" s="726">
        <v>11496</v>
      </c>
      <c r="N27" s="726">
        <v>11088</v>
      </c>
      <c r="O27" s="726">
        <v>9705</v>
      </c>
      <c r="P27" s="726">
        <v>26135</v>
      </c>
      <c r="Q27" s="211">
        <f>SUM(B27:P27)</f>
        <v>395078</v>
      </c>
      <c r="R27" s="726">
        <v>13975</v>
      </c>
      <c r="S27" s="39">
        <f>Q27+R27</f>
        <v>409053</v>
      </c>
      <c r="T27" s="726">
        <v>39786</v>
      </c>
      <c r="U27" s="39">
        <f>S27+T27</f>
        <v>448839</v>
      </c>
      <c r="V27" s="315" t="s">
        <v>1142</v>
      </c>
    </row>
    <row r="28" spans="1:22" s="11" customFormat="1" ht="9.6" customHeight="1">
      <c r="A28" s="437"/>
      <c r="B28" s="479">
        <f t="shared" ref="B28:S28" si="11">(B27/$S27)*100</f>
        <v>14.508633355579839</v>
      </c>
      <c r="C28" s="479">
        <f t="shared" si="11"/>
        <v>4.2444377623437548</v>
      </c>
      <c r="D28" s="479">
        <f t="shared" si="11"/>
        <v>1.2377369191767325</v>
      </c>
      <c r="E28" s="479">
        <f t="shared" si="11"/>
        <v>18.309852268532438</v>
      </c>
      <c r="F28" s="479">
        <f t="shared" si="11"/>
        <v>1.6323068159871703</v>
      </c>
      <c r="G28" s="479">
        <f t="shared" si="11"/>
        <v>8.8868679608754864</v>
      </c>
      <c r="H28" s="479">
        <f t="shared" si="11"/>
        <v>13.750785350553596</v>
      </c>
      <c r="I28" s="479">
        <f t="shared" si="11"/>
        <v>0.71237712472466896</v>
      </c>
      <c r="J28" s="479">
        <f t="shared" si="11"/>
        <v>10.368338577152594</v>
      </c>
      <c r="K28" s="479">
        <f t="shared" si="11"/>
        <v>2.0266322456992123</v>
      </c>
      <c r="L28" s="479">
        <f t="shared" si="11"/>
        <v>6.6228581626341825</v>
      </c>
      <c r="M28" s="479">
        <f t="shared" si="11"/>
        <v>2.8103937631553855</v>
      </c>
      <c r="N28" s="479">
        <f t="shared" si="11"/>
        <v>2.7106511870099963</v>
      </c>
      <c r="O28" s="479">
        <f t="shared" si="11"/>
        <v>2.3725531899289334</v>
      </c>
      <c r="P28" s="479">
        <f t="shared" si="11"/>
        <v>6.3891476165680237</v>
      </c>
      <c r="Q28" s="479">
        <f t="shared" si="11"/>
        <v>96.583572299922011</v>
      </c>
      <c r="R28" s="479">
        <f t="shared" si="11"/>
        <v>3.416427700077985</v>
      </c>
      <c r="S28" s="479">
        <f t="shared" si="11"/>
        <v>100</v>
      </c>
      <c r="T28" s="437"/>
      <c r="U28" s="437"/>
      <c r="V28" s="437"/>
    </row>
    <row r="29" spans="1:22" s="253" customFormat="1" ht="9.6" customHeight="1">
      <c r="A29" s="386" t="s">
        <v>1915</v>
      </c>
      <c r="B29" s="727">
        <v>70171</v>
      </c>
      <c r="C29" s="726">
        <v>16814</v>
      </c>
      <c r="D29" s="726">
        <v>7009</v>
      </c>
      <c r="E29" s="726">
        <v>73834</v>
      </c>
      <c r="F29" s="726">
        <v>5553</v>
      </c>
      <c r="G29" s="726">
        <v>29825</v>
      </c>
      <c r="H29" s="726">
        <v>62352</v>
      </c>
      <c r="I29" s="726">
        <v>3467</v>
      </c>
      <c r="J29" s="726">
        <v>46497</v>
      </c>
      <c r="K29" s="726">
        <v>14216</v>
      </c>
      <c r="L29" s="726">
        <v>37935</v>
      </c>
      <c r="M29" s="726">
        <v>14089</v>
      </c>
      <c r="N29" s="726">
        <v>9962</v>
      </c>
      <c r="O29" s="726">
        <v>9288</v>
      </c>
      <c r="P29" s="726">
        <v>56600</v>
      </c>
      <c r="Q29" s="211">
        <f>SUM(B29:P29)</f>
        <v>457612</v>
      </c>
      <c r="R29" s="726">
        <v>24725</v>
      </c>
      <c r="S29" s="39">
        <f>Q29+R29</f>
        <v>482337</v>
      </c>
      <c r="T29" s="726">
        <v>27208</v>
      </c>
      <c r="U29" s="39">
        <f>S29+T29</f>
        <v>509545</v>
      </c>
      <c r="V29" s="574" t="s">
        <v>1915</v>
      </c>
    </row>
    <row r="30" spans="1:22" ht="9.6" customHeight="1">
      <c r="A30" s="886"/>
      <c r="B30" s="479">
        <f t="shared" ref="B30:S30" si="12">(B29/$S29)*100</f>
        <v>14.548127139323752</v>
      </c>
      <c r="C30" s="479">
        <f t="shared" si="12"/>
        <v>3.4859444745064136</v>
      </c>
      <c r="D30" s="479">
        <f t="shared" si="12"/>
        <v>1.4531333901400889</v>
      </c>
      <c r="E30" s="479">
        <f t="shared" si="12"/>
        <v>15.307554676502114</v>
      </c>
      <c r="F30" s="479">
        <f t="shared" si="12"/>
        <v>1.151269755378501</v>
      </c>
      <c r="G30" s="479">
        <f t="shared" si="12"/>
        <v>6.1834360623381581</v>
      </c>
      <c r="H30" s="479">
        <f t="shared" si="12"/>
        <v>12.927061369955032</v>
      </c>
      <c r="I30" s="479">
        <f t="shared" si="12"/>
        <v>0.71879204788353368</v>
      </c>
      <c r="J30" s="479">
        <f t="shared" si="12"/>
        <v>9.6399405394983173</v>
      </c>
      <c r="K30" s="479">
        <f t="shared" si="12"/>
        <v>2.9473169174249541</v>
      </c>
      <c r="L30" s="479">
        <f t="shared" si="12"/>
        <v>7.8648330938741999</v>
      </c>
      <c r="M30" s="479">
        <f t="shared" si="12"/>
        <v>2.9209867789533042</v>
      </c>
      <c r="N30" s="479">
        <f t="shared" si="12"/>
        <v>2.0653609405871829</v>
      </c>
      <c r="O30" s="479">
        <f t="shared" si="12"/>
        <v>1.9256246151549643</v>
      </c>
      <c r="P30" s="479">
        <f t="shared" si="12"/>
        <v>11.734534153506781</v>
      </c>
      <c r="Q30" s="479">
        <f t="shared" si="12"/>
        <v>94.8739159550273</v>
      </c>
      <c r="R30" s="479">
        <f t="shared" si="12"/>
        <v>5.1260840449727052</v>
      </c>
      <c r="S30" s="479">
        <f t="shared" si="12"/>
        <v>100</v>
      </c>
      <c r="T30" s="437"/>
      <c r="U30" s="437"/>
      <c r="V30" s="447"/>
    </row>
    <row r="31" spans="1:22" ht="9.6" customHeight="1">
      <c r="A31" s="356" t="s">
        <v>826</v>
      </c>
      <c r="B31" s="727">
        <v>74410</v>
      </c>
      <c r="C31" s="726">
        <v>18397</v>
      </c>
      <c r="D31" s="726">
        <v>7433</v>
      </c>
      <c r="E31" s="726">
        <v>81612</v>
      </c>
      <c r="F31" s="726">
        <v>5831</v>
      </c>
      <c r="G31" s="726">
        <v>31836</v>
      </c>
      <c r="H31" s="726">
        <v>67571</v>
      </c>
      <c r="I31" s="726">
        <v>3659</v>
      </c>
      <c r="J31" s="726">
        <v>50878</v>
      </c>
      <c r="K31" s="726">
        <v>15139</v>
      </c>
      <c r="L31" s="726">
        <v>39382</v>
      </c>
      <c r="M31" s="726">
        <v>15293</v>
      </c>
      <c r="N31" s="726">
        <v>10835</v>
      </c>
      <c r="O31" s="726">
        <v>9749</v>
      </c>
      <c r="P31" s="726">
        <v>58399</v>
      </c>
      <c r="Q31" s="211">
        <f>SUM(B31:P31)</f>
        <v>490424</v>
      </c>
      <c r="R31" s="726">
        <v>25959</v>
      </c>
      <c r="S31" s="39">
        <f>Q31+R31</f>
        <v>516383</v>
      </c>
      <c r="T31" s="726">
        <v>33121</v>
      </c>
      <c r="U31" s="39">
        <f>S31+T31</f>
        <v>549504</v>
      </c>
      <c r="V31" s="315" t="s">
        <v>826</v>
      </c>
    </row>
    <row r="32" spans="1:22" ht="9.6" customHeight="1">
      <c r="A32" s="886"/>
      <c r="B32" s="479">
        <f t="shared" ref="B32:S32" si="13">(B31/$S31)*100</f>
        <v>14.409846954682862</v>
      </c>
      <c r="C32" s="479">
        <f t="shared" si="13"/>
        <v>3.562665695811055</v>
      </c>
      <c r="D32" s="479">
        <f t="shared" si="13"/>
        <v>1.4394354577900512</v>
      </c>
      <c r="E32" s="479">
        <f t="shared" si="13"/>
        <v>15.804548174513878</v>
      </c>
      <c r="F32" s="479">
        <f t="shared" si="13"/>
        <v>1.1292006127235017</v>
      </c>
      <c r="G32" s="479">
        <f t="shared" si="13"/>
        <v>6.1651913405359977</v>
      </c>
      <c r="H32" s="479">
        <f t="shared" si="13"/>
        <v>13.085442394501756</v>
      </c>
      <c r="I32" s="479">
        <f t="shared" si="13"/>
        <v>0.70858258308271183</v>
      </c>
      <c r="J32" s="479">
        <f t="shared" si="13"/>
        <v>9.8527643241547462</v>
      </c>
      <c r="K32" s="479">
        <f t="shared" si="13"/>
        <v>2.9317386513498702</v>
      </c>
      <c r="L32" s="479">
        <f t="shared" si="13"/>
        <v>7.6265097805311166</v>
      </c>
      <c r="M32" s="479">
        <f t="shared" si="13"/>
        <v>2.9615614766558931</v>
      </c>
      <c r="N32" s="479">
        <f t="shared" si="13"/>
        <v>2.0982487804594654</v>
      </c>
      <c r="O32" s="479">
        <f t="shared" si="13"/>
        <v>1.8879397656390702</v>
      </c>
      <c r="P32" s="479">
        <f t="shared" si="13"/>
        <v>11.309241396405382</v>
      </c>
      <c r="Q32" s="479">
        <f t="shared" si="13"/>
        <v>94.972917388837345</v>
      </c>
      <c r="R32" s="479">
        <f t="shared" si="13"/>
        <v>5.027082611162645</v>
      </c>
      <c r="S32" s="479">
        <f t="shared" si="13"/>
        <v>100</v>
      </c>
      <c r="T32" s="437"/>
      <c r="U32" s="437"/>
      <c r="V32" s="447"/>
    </row>
    <row r="33" spans="1:22" ht="9.6" customHeight="1">
      <c r="A33" s="356" t="s">
        <v>549</v>
      </c>
      <c r="B33" s="727">
        <v>77292</v>
      </c>
      <c r="C33" s="726">
        <v>19685</v>
      </c>
      <c r="D33" s="726">
        <v>8003</v>
      </c>
      <c r="E33" s="726">
        <v>87596</v>
      </c>
      <c r="F33" s="726">
        <v>6284</v>
      </c>
      <c r="G33" s="726">
        <v>33742</v>
      </c>
      <c r="H33" s="726">
        <v>72481</v>
      </c>
      <c r="I33" s="726">
        <v>3866</v>
      </c>
      <c r="J33" s="726">
        <v>55079</v>
      </c>
      <c r="K33" s="726">
        <v>15733</v>
      </c>
      <c r="L33" s="726">
        <v>40877</v>
      </c>
      <c r="M33" s="726">
        <v>16289</v>
      </c>
      <c r="N33" s="726">
        <v>11609</v>
      </c>
      <c r="O33" s="726">
        <v>10321</v>
      </c>
      <c r="P33" s="726">
        <v>60261</v>
      </c>
      <c r="Q33" s="211">
        <f>SUM(B33:P33)</f>
        <v>519118</v>
      </c>
      <c r="R33" s="726">
        <v>28319</v>
      </c>
      <c r="S33" s="39">
        <f>Q33+R33</f>
        <v>547437</v>
      </c>
      <c r="T33" s="726">
        <v>42109</v>
      </c>
      <c r="U33" s="39">
        <f>S33+T33</f>
        <v>589546</v>
      </c>
      <c r="V33" s="315" t="s">
        <v>549</v>
      </c>
    </row>
    <row r="34" spans="1:22" ht="9.6" customHeight="1">
      <c r="A34" s="886"/>
      <c r="B34" s="479">
        <f t="shared" ref="B34:S34" si="14">(B33/$S33)*100</f>
        <v>14.118884912784486</v>
      </c>
      <c r="C34" s="479">
        <f t="shared" si="14"/>
        <v>3.5958475587145191</v>
      </c>
      <c r="D34" s="479">
        <f t="shared" si="14"/>
        <v>1.4619033788362861</v>
      </c>
      <c r="E34" s="479">
        <f t="shared" si="14"/>
        <v>16.001110630081637</v>
      </c>
      <c r="F34" s="479">
        <f t="shared" si="14"/>
        <v>1.1478946435845585</v>
      </c>
      <c r="G34" s="479">
        <f t="shared" si="14"/>
        <v>6.1636316142314094</v>
      </c>
      <c r="H34" s="479">
        <f t="shared" si="14"/>
        <v>13.240062326806553</v>
      </c>
      <c r="I34" s="479">
        <f t="shared" si="14"/>
        <v>0.70619998282907448</v>
      </c>
      <c r="J34" s="479">
        <f t="shared" si="14"/>
        <v>10.061249056969112</v>
      </c>
      <c r="K34" s="479">
        <f t="shared" si="14"/>
        <v>2.8739380056517922</v>
      </c>
      <c r="L34" s="479">
        <f t="shared" si="14"/>
        <v>7.4669779353605987</v>
      </c>
      <c r="M34" s="479">
        <f t="shared" si="14"/>
        <v>2.9755022039065682</v>
      </c>
      <c r="N34" s="479">
        <f t="shared" si="14"/>
        <v>2.12060931212176</v>
      </c>
      <c r="O34" s="479">
        <f t="shared" si="14"/>
        <v>1.8853310974596162</v>
      </c>
      <c r="P34" s="479">
        <f t="shared" si="14"/>
        <v>11.007841998257334</v>
      </c>
      <c r="Q34" s="479">
        <f t="shared" si="14"/>
        <v>94.826984657595304</v>
      </c>
      <c r="R34" s="479">
        <f t="shared" si="14"/>
        <v>5.1730153424046961</v>
      </c>
      <c r="S34" s="479">
        <f t="shared" si="14"/>
        <v>100</v>
      </c>
      <c r="T34" s="437"/>
      <c r="U34" s="437"/>
      <c r="V34" s="447"/>
    </row>
    <row r="35" spans="1:22" ht="9.6" customHeight="1">
      <c r="A35" s="356" t="s">
        <v>102</v>
      </c>
      <c r="B35" s="727">
        <v>79682</v>
      </c>
      <c r="C35" s="726">
        <v>20657</v>
      </c>
      <c r="D35" s="726">
        <v>8841</v>
      </c>
      <c r="E35" s="726">
        <v>93459</v>
      </c>
      <c r="F35" s="726">
        <v>6740</v>
      </c>
      <c r="G35" s="726">
        <v>35962</v>
      </c>
      <c r="H35" s="726">
        <v>76728</v>
      </c>
      <c r="I35" s="726">
        <v>4093</v>
      </c>
      <c r="J35" s="726">
        <v>59513</v>
      </c>
      <c r="K35" s="726">
        <v>15728</v>
      </c>
      <c r="L35" s="726">
        <v>42442</v>
      </c>
      <c r="M35" s="726">
        <v>17447</v>
      </c>
      <c r="N35" s="726">
        <v>12293</v>
      </c>
      <c r="O35" s="726">
        <v>10634</v>
      </c>
      <c r="P35" s="726">
        <v>62191</v>
      </c>
      <c r="Q35" s="211">
        <f>SUM(B35:P35)</f>
        <v>546410</v>
      </c>
      <c r="R35" s="726">
        <v>28646</v>
      </c>
      <c r="S35" s="39">
        <f>Q35+R35</f>
        <v>575056</v>
      </c>
      <c r="T35" s="726">
        <v>45558</v>
      </c>
      <c r="U35" s="39">
        <f>S35+T35</f>
        <v>620614</v>
      </c>
      <c r="V35" s="315" t="s">
        <v>102</v>
      </c>
    </row>
    <row r="36" spans="1:22" ht="9.6" customHeight="1">
      <c r="A36" s="886"/>
      <c r="B36" s="479">
        <f t="shared" ref="B36:S36" si="15">(B35/$S35)*100</f>
        <v>13.856389638574329</v>
      </c>
      <c r="C36" s="479">
        <f t="shared" si="15"/>
        <v>3.5921718928243509</v>
      </c>
      <c r="D36" s="479">
        <f t="shared" si="15"/>
        <v>1.5374154864917504</v>
      </c>
      <c r="E36" s="479">
        <f t="shared" si="15"/>
        <v>16.252156311733117</v>
      </c>
      <c r="F36" s="479">
        <f t="shared" si="15"/>
        <v>1.1720597646142288</v>
      </c>
      <c r="G36" s="479">
        <f t="shared" si="15"/>
        <v>6.2536518182576994</v>
      </c>
      <c r="H36" s="479">
        <f t="shared" si="15"/>
        <v>13.342700536991181</v>
      </c>
      <c r="I36" s="479">
        <f t="shared" si="15"/>
        <v>0.71175676803650434</v>
      </c>
      <c r="J36" s="479">
        <f t="shared" si="15"/>
        <v>10.34907904621463</v>
      </c>
      <c r="K36" s="479">
        <f t="shared" si="15"/>
        <v>2.73503797890988</v>
      </c>
      <c r="L36" s="479">
        <f t="shared" si="15"/>
        <v>7.3804985949194517</v>
      </c>
      <c r="M36" s="479">
        <f t="shared" si="15"/>
        <v>3.0339653877187613</v>
      </c>
      <c r="N36" s="479">
        <f t="shared" si="15"/>
        <v>2.1377048496146465</v>
      </c>
      <c r="O36" s="479">
        <f t="shared" si="15"/>
        <v>1.8492112072563367</v>
      </c>
      <c r="P36" s="479">
        <f t="shared" si="15"/>
        <v>10.81477282212515</v>
      </c>
      <c r="Q36" s="479">
        <f t="shared" si="15"/>
        <v>95.018572104282015</v>
      </c>
      <c r="R36" s="479">
        <f t="shared" si="15"/>
        <v>4.9814278957179825</v>
      </c>
      <c r="S36" s="479">
        <f t="shared" si="15"/>
        <v>100</v>
      </c>
      <c r="T36" s="437"/>
      <c r="U36" s="437"/>
      <c r="V36" s="447"/>
    </row>
    <row r="37" spans="1:22" ht="9.6" customHeight="1">
      <c r="A37" s="356" t="s">
        <v>98</v>
      </c>
      <c r="B37" s="727">
        <v>84904</v>
      </c>
      <c r="C37" s="726">
        <v>21607</v>
      </c>
      <c r="D37" s="726">
        <v>9561</v>
      </c>
      <c r="E37" s="726">
        <v>99671</v>
      </c>
      <c r="F37" s="726">
        <v>7412</v>
      </c>
      <c r="G37" s="726">
        <v>38554</v>
      </c>
      <c r="H37" s="726">
        <v>81219</v>
      </c>
      <c r="I37" s="726">
        <v>4339</v>
      </c>
      <c r="J37" s="726">
        <v>64006</v>
      </c>
      <c r="K37" s="726">
        <v>16711</v>
      </c>
      <c r="L37" s="726">
        <v>44078</v>
      </c>
      <c r="M37" s="726">
        <v>18882</v>
      </c>
      <c r="N37" s="726">
        <v>12930</v>
      </c>
      <c r="O37" s="726">
        <v>11360</v>
      </c>
      <c r="P37" s="726">
        <v>64191</v>
      </c>
      <c r="Q37" s="211">
        <f>SUM(B37:P37)</f>
        <v>579425</v>
      </c>
      <c r="R37" s="726">
        <v>27672</v>
      </c>
      <c r="S37" s="39">
        <f>Q37+R37</f>
        <v>607097</v>
      </c>
      <c r="T37" s="726">
        <v>49143</v>
      </c>
      <c r="U37" s="39">
        <f>S37+T37</f>
        <v>656240</v>
      </c>
      <c r="V37" s="315" t="s">
        <v>98</v>
      </c>
    </row>
    <row r="38" spans="1:22" ht="9.6" customHeight="1">
      <c r="A38" s="437"/>
      <c r="B38" s="479">
        <f t="shared" ref="B38:S38" si="16">(B37/$S37)*100</f>
        <v>13.98524453258705</v>
      </c>
      <c r="C38" s="479">
        <f t="shared" si="16"/>
        <v>3.5590688143739801</v>
      </c>
      <c r="D38" s="479">
        <f t="shared" si="16"/>
        <v>1.5748718903239516</v>
      </c>
      <c r="E38" s="479">
        <f t="shared" si="16"/>
        <v>16.417640014692875</v>
      </c>
      <c r="F38" s="479">
        <f t="shared" si="16"/>
        <v>1.2208922132706963</v>
      </c>
      <c r="G38" s="479">
        <f t="shared" si="16"/>
        <v>6.3505502415594215</v>
      </c>
      <c r="H38" s="479">
        <f t="shared" si="16"/>
        <v>13.378257510743751</v>
      </c>
      <c r="I38" s="479">
        <f t="shared" si="16"/>
        <v>0.71471280536718185</v>
      </c>
      <c r="J38" s="479">
        <f t="shared" si="16"/>
        <v>10.54296100952566</v>
      </c>
      <c r="K38" s="479">
        <f t="shared" si="16"/>
        <v>2.7526079028557215</v>
      </c>
      <c r="L38" s="479">
        <f t="shared" si="16"/>
        <v>7.2604542601923576</v>
      </c>
      <c r="M38" s="479">
        <f t="shared" si="16"/>
        <v>3.1102113830244589</v>
      </c>
      <c r="N38" s="479">
        <f t="shared" si="16"/>
        <v>2.1298079219630472</v>
      </c>
      <c r="O38" s="479">
        <f t="shared" si="16"/>
        <v>1.8712001541763508</v>
      </c>
      <c r="P38" s="479">
        <f t="shared" si="16"/>
        <v>10.573433899360399</v>
      </c>
      <c r="Q38" s="479">
        <f t="shared" si="16"/>
        <v>95.441914554016904</v>
      </c>
      <c r="R38" s="479">
        <f t="shared" si="16"/>
        <v>4.5580854459830968</v>
      </c>
      <c r="S38" s="479">
        <f t="shared" si="16"/>
        <v>100</v>
      </c>
      <c r="T38" s="437"/>
      <c r="U38" s="437"/>
      <c r="V38" s="437"/>
    </row>
    <row r="39" spans="1:22" ht="9.6" customHeight="1">
      <c r="A39" s="806" t="s">
        <v>241</v>
      </c>
      <c r="B39" s="726">
        <v>88206</v>
      </c>
      <c r="C39" s="726">
        <v>23051</v>
      </c>
      <c r="D39" s="726">
        <v>9907</v>
      </c>
      <c r="E39" s="726">
        <v>109651</v>
      </c>
      <c r="F39" s="726">
        <v>8402</v>
      </c>
      <c r="G39" s="726">
        <v>41235</v>
      </c>
      <c r="H39" s="726">
        <v>86650</v>
      </c>
      <c r="I39" s="726">
        <v>4608</v>
      </c>
      <c r="J39" s="726">
        <v>69409</v>
      </c>
      <c r="K39" s="726">
        <v>18456</v>
      </c>
      <c r="L39" s="726">
        <v>45790</v>
      </c>
      <c r="M39" s="726">
        <v>20552</v>
      </c>
      <c r="N39" s="726">
        <v>13659</v>
      </c>
      <c r="O39" s="726">
        <v>12080</v>
      </c>
      <c r="P39" s="726">
        <v>66265</v>
      </c>
      <c r="Q39" s="211">
        <f>SUM(B39:P39)</f>
        <v>617921</v>
      </c>
      <c r="R39" s="726">
        <v>28421</v>
      </c>
      <c r="S39" s="39">
        <f>Q39+R39</f>
        <v>646342</v>
      </c>
      <c r="T39" s="726">
        <v>51126</v>
      </c>
      <c r="U39" s="39">
        <f>S39+T39</f>
        <v>697468</v>
      </c>
      <c r="V39" s="807" t="s">
        <v>241</v>
      </c>
    </row>
    <row r="40" spans="1:22" ht="9.6" customHeight="1">
      <c r="A40" s="456"/>
      <c r="B40" s="479">
        <f t="shared" ref="B40:S40" si="17">(B39/$S39)*100</f>
        <v>13.646954708188543</v>
      </c>
      <c r="C40" s="479">
        <f t="shared" si="17"/>
        <v>3.5663781713086879</v>
      </c>
      <c r="D40" s="479">
        <f t="shared" si="17"/>
        <v>1.5327798595789845</v>
      </c>
      <c r="E40" s="479">
        <f t="shared" si="17"/>
        <v>16.964857614080472</v>
      </c>
      <c r="F40" s="479">
        <f t="shared" si="17"/>
        <v>1.2999309962837011</v>
      </c>
      <c r="G40" s="479">
        <f t="shared" si="17"/>
        <v>6.3797494205853873</v>
      </c>
      <c r="H40" s="479">
        <f t="shared" si="17"/>
        <v>13.406215285406178</v>
      </c>
      <c r="I40" s="479">
        <f t="shared" si="17"/>
        <v>0.71293525718582429</v>
      </c>
      <c r="J40" s="479">
        <f t="shared" si="17"/>
        <v>10.738742028214165</v>
      </c>
      <c r="K40" s="479">
        <f t="shared" si="17"/>
        <v>2.8554542332078063</v>
      </c>
      <c r="L40" s="479">
        <f t="shared" si="17"/>
        <v>7.0844846845787526</v>
      </c>
      <c r="M40" s="479">
        <f t="shared" si="17"/>
        <v>3.1797407564416362</v>
      </c>
      <c r="N40" s="479">
        <f t="shared" si="17"/>
        <v>2.11327749086397</v>
      </c>
      <c r="O40" s="479">
        <f t="shared" si="17"/>
        <v>1.8689795804697822</v>
      </c>
      <c r="P40" s="479">
        <f t="shared" si="17"/>
        <v>10.25231224336342</v>
      </c>
      <c r="Q40" s="479">
        <f t="shared" si="17"/>
        <v>95.602792329757307</v>
      </c>
      <c r="R40" s="479">
        <f t="shared" si="17"/>
        <v>4.3972076702426888</v>
      </c>
      <c r="S40" s="479">
        <f t="shared" si="17"/>
        <v>100</v>
      </c>
      <c r="T40" s="437"/>
      <c r="U40" s="437"/>
      <c r="V40" s="447"/>
    </row>
    <row r="41" spans="1:22" ht="9.6" customHeight="1">
      <c r="A41" s="806" t="s">
        <v>1142</v>
      </c>
      <c r="B41" s="726">
        <v>90332</v>
      </c>
      <c r="C41" s="726">
        <v>24279</v>
      </c>
      <c r="D41" s="726">
        <v>10593</v>
      </c>
      <c r="E41" s="726">
        <v>120567</v>
      </c>
      <c r="F41" s="726">
        <v>9291</v>
      </c>
      <c r="G41" s="726">
        <v>44709</v>
      </c>
      <c r="H41" s="726">
        <v>92457</v>
      </c>
      <c r="I41" s="726">
        <v>4902</v>
      </c>
      <c r="J41" s="726">
        <v>75761</v>
      </c>
      <c r="K41" s="726">
        <v>21180</v>
      </c>
      <c r="L41" s="726">
        <v>47587</v>
      </c>
      <c r="M41" s="726">
        <v>22099</v>
      </c>
      <c r="N41" s="726">
        <v>14718</v>
      </c>
      <c r="O41" s="726">
        <v>12540</v>
      </c>
      <c r="P41" s="726">
        <v>68416</v>
      </c>
      <c r="Q41" s="211">
        <f>SUM(B41:P41)</f>
        <v>659431</v>
      </c>
      <c r="R41" s="726">
        <v>29062</v>
      </c>
      <c r="S41" s="39">
        <f>Q41+R41</f>
        <v>688493</v>
      </c>
      <c r="T41" s="726">
        <v>58267</v>
      </c>
      <c r="U41" s="39">
        <f>S41+T41</f>
        <v>746760</v>
      </c>
      <c r="V41" s="807" t="s">
        <v>1142</v>
      </c>
    </row>
    <row r="42" spans="1:22" ht="9.6" customHeight="1">
      <c r="A42" s="456"/>
      <c r="B42" s="479">
        <f t="shared" ref="B42:S42" si="18">(B41/$S41)*100</f>
        <v>13.120249588594218</v>
      </c>
      <c r="C42" s="479">
        <f t="shared" si="18"/>
        <v>3.5263975087618902</v>
      </c>
      <c r="D42" s="479">
        <f t="shared" si="18"/>
        <v>1.5385777342689033</v>
      </c>
      <c r="E42" s="479">
        <f t="shared" si="18"/>
        <v>17.511724883186901</v>
      </c>
      <c r="F42" s="479">
        <f t="shared" si="18"/>
        <v>1.3494690577827226</v>
      </c>
      <c r="G42" s="479">
        <f t="shared" si="18"/>
        <v>6.4937479393399791</v>
      </c>
      <c r="H42" s="479">
        <f t="shared" si="18"/>
        <v>13.428894701906918</v>
      </c>
      <c r="I42" s="479">
        <f t="shared" si="18"/>
        <v>0.71198980962769409</v>
      </c>
      <c r="J42" s="479">
        <f t="shared" si="18"/>
        <v>11.003888202203944</v>
      </c>
      <c r="K42" s="479">
        <f t="shared" si="18"/>
        <v>3.0762839999825706</v>
      </c>
      <c r="L42" s="479">
        <f t="shared" si="18"/>
        <v>6.9117623563347772</v>
      </c>
      <c r="M42" s="479">
        <f t="shared" si="18"/>
        <v>3.2097639336928627</v>
      </c>
      <c r="N42" s="479">
        <f t="shared" si="18"/>
        <v>2.1377123659935542</v>
      </c>
      <c r="O42" s="479">
        <f t="shared" si="18"/>
        <v>1.8213692804429384</v>
      </c>
      <c r="P42" s="479">
        <f t="shared" si="18"/>
        <v>9.9370654458360512</v>
      </c>
      <c r="Q42" s="479">
        <f t="shared" si="18"/>
        <v>95.778896807955931</v>
      </c>
      <c r="R42" s="479">
        <f t="shared" si="18"/>
        <v>4.2211031920440734</v>
      </c>
      <c r="S42" s="479">
        <f t="shared" si="18"/>
        <v>100</v>
      </c>
      <c r="T42" s="437"/>
      <c r="U42" s="437"/>
      <c r="V42" s="447"/>
    </row>
    <row r="43" spans="1:22" ht="9.6" customHeight="1">
      <c r="A43" s="806" t="s">
        <v>1333</v>
      </c>
      <c r="B43" s="726">
        <v>91656</v>
      </c>
      <c r="C43" s="726">
        <v>25779</v>
      </c>
      <c r="D43" s="726">
        <v>11584</v>
      </c>
      <c r="E43" s="726">
        <v>132994</v>
      </c>
      <c r="F43" s="726">
        <v>10126</v>
      </c>
      <c r="G43" s="726">
        <v>48305</v>
      </c>
      <c r="H43" s="726">
        <v>98173</v>
      </c>
      <c r="I43" s="726">
        <v>5220</v>
      </c>
      <c r="J43" s="726">
        <v>80514</v>
      </c>
      <c r="K43" s="726">
        <v>23110</v>
      </c>
      <c r="L43" s="726">
        <v>49509</v>
      </c>
      <c r="M43" s="726">
        <v>23542</v>
      </c>
      <c r="N43" s="726">
        <v>15645</v>
      </c>
      <c r="O43" s="726">
        <v>13137</v>
      </c>
      <c r="P43" s="726">
        <v>70642</v>
      </c>
      <c r="Q43" s="211">
        <f>SUM(B43:P43)</f>
        <v>699936</v>
      </c>
      <c r="R43" s="726">
        <v>29960</v>
      </c>
      <c r="S43" s="39">
        <f>Q43+R43</f>
        <v>729896</v>
      </c>
      <c r="T43" s="726">
        <v>58705</v>
      </c>
      <c r="U43" s="39">
        <f>S43+T43</f>
        <v>788601</v>
      </c>
      <c r="V43" s="807" t="s">
        <v>1333</v>
      </c>
    </row>
    <row r="44" spans="1:22" ht="9.6" customHeight="1">
      <c r="A44" s="456"/>
      <c r="B44" s="479">
        <f t="shared" ref="B44:S44" si="19">(B43/$S43)*100</f>
        <v>12.55740543858303</v>
      </c>
      <c r="C44" s="479">
        <f t="shared" si="19"/>
        <v>3.531873033966483</v>
      </c>
      <c r="D44" s="479">
        <f t="shared" si="19"/>
        <v>1.5870754189637977</v>
      </c>
      <c r="E44" s="479">
        <f t="shared" si="19"/>
        <v>18.220952026042067</v>
      </c>
      <c r="F44" s="479">
        <f t="shared" si="19"/>
        <v>1.3873209333932506</v>
      </c>
      <c r="G44" s="479">
        <f t="shared" si="19"/>
        <v>6.6180661354494337</v>
      </c>
      <c r="H44" s="479">
        <f t="shared" si="19"/>
        <v>13.450272367570173</v>
      </c>
      <c r="I44" s="479">
        <f t="shared" si="19"/>
        <v>0.71517038043776104</v>
      </c>
      <c r="J44" s="479">
        <f t="shared" si="19"/>
        <v>11.03088659206243</v>
      </c>
      <c r="K44" s="479">
        <f t="shared" si="19"/>
        <v>3.1662045003671757</v>
      </c>
      <c r="L44" s="479">
        <f t="shared" si="19"/>
        <v>6.7830211427381437</v>
      </c>
      <c r="M44" s="479">
        <f t="shared" si="19"/>
        <v>3.2253910146103006</v>
      </c>
      <c r="N44" s="479">
        <f t="shared" si="19"/>
        <v>2.1434560540131744</v>
      </c>
      <c r="O44" s="479">
        <f t="shared" si="19"/>
        <v>1.7998454574350318</v>
      </c>
      <c r="P44" s="479">
        <f t="shared" si="19"/>
        <v>9.6783651369510171</v>
      </c>
      <c r="Q44" s="479">
        <f t="shared" si="19"/>
        <v>95.895305632583273</v>
      </c>
      <c r="R44" s="479">
        <f t="shared" si="19"/>
        <v>4.1046943674167284</v>
      </c>
      <c r="S44" s="479">
        <f t="shared" si="19"/>
        <v>100</v>
      </c>
      <c r="T44" s="437"/>
      <c r="U44" s="437"/>
      <c r="V44" s="447"/>
    </row>
    <row r="45" spans="1:22" ht="9.6" customHeight="1">
      <c r="A45" s="810" t="s">
        <v>1664</v>
      </c>
      <c r="B45" s="726">
        <v>95151</v>
      </c>
      <c r="C45" s="726">
        <v>27419</v>
      </c>
      <c r="D45" s="726">
        <v>12127</v>
      </c>
      <c r="E45" s="726">
        <v>144653</v>
      </c>
      <c r="F45" s="726">
        <v>10585</v>
      </c>
      <c r="G45" s="726">
        <v>52209</v>
      </c>
      <c r="H45" s="726">
        <v>104776</v>
      </c>
      <c r="I45" s="726">
        <v>5570</v>
      </c>
      <c r="J45" s="726">
        <v>85382</v>
      </c>
      <c r="K45" s="726">
        <v>24790</v>
      </c>
      <c r="L45" s="726">
        <v>51615</v>
      </c>
      <c r="M45" s="726">
        <v>25165</v>
      </c>
      <c r="N45" s="726">
        <v>16781</v>
      </c>
      <c r="O45" s="726">
        <v>13802</v>
      </c>
      <c r="P45" s="726">
        <v>72955</v>
      </c>
      <c r="Q45" s="211">
        <f>SUM(B45:P45)</f>
        <v>742980</v>
      </c>
      <c r="R45" s="726">
        <v>31156</v>
      </c>
      <c r="S45" s="39">
        <f>Q45+R45</f>
        <v>774136</v>
      </c>
      <c r="T45" s="726">
        <v>51592</v>
      </c>
      <c r="U45" s="39">
        <f>S45+T45</f>
        <v>825728</v>
      </c>
      <c r="V45" s="809" t="s">
        <v>1664</v>
      </c>
    </row>
    <row r="46" spans="1:22" ht="9.6" customHeight="1">
      <c r="A46" s="437"/>
      <c r="B46" s="479">
        <f t="shared" ref="B46:S46" si="20">(B45/$S45)*100</f>
        <v>12.291251149668792</v>
      </c>
      <c r="C46" s="479">
        <f t="shared" si="20"/>
        <v>3.5418841133857617</v>
      </c>
      <c r="D46" s="479">
        <f t="shared" si="20"/>
        <v>1.5665206113654448</v>
      </c>
      <c r="E46" s="479">
        <f t="shared" si="20"/>
        <v>18.685734806287268</v>
      </c>
      <c r="F46" s="479">
        <f t="shared" si="20"/>
        <v>1.3673308049231658</v>
      </c>
      <c r="G46" s="479">
        <f t="shared" si="20"/>
        <v>6.7441638161770028</v>
      </c>
      <c r="H46" s="479">
        <f t="shared" si="20"/>
        <v>13.53457273657342</v>
      </c>
      <c r="I46" s="479">
        <f t="shared" si="20"/>
        <v>0.71951181704506706</v>
      </c>
      <c r="J46" s="479">
        <f t="shared" si="20"/>
        <v>11.029328180061384</v>
      </c>
      <c r="K46" s="479">
        <f t="shared" si="20"/>
        <v>3.2022797027912406</v>
      </c>
      <c r="L46" s="479">
        <f t="shared" si="20"/>
        <v>6.6674331125280322</v>
      </c>
      <c r="M46" s="479">
        <f t="shared" si="20"/>
        <v>3.2507208035797328</v>
      </c>
      <c r="N46" s="479">
        <f t="shared" si="20"/>
        <v>2.1677069662178221</v>
      </c>
      <c r="O46" s="479">
        <f t="shared" si="20"/>
        <v>1.7828908615540422</v>
      </c>
      <c r="P46" s="479">
        <f t="shared" si="20"/>
        <v>9.4240546880651461</v>
      </c>
      <c r="Q46" s="479">
        <f t="shared" si="20"/>
        <v>95.975384170223322</v>
      </c>
      <c r="R46" s="479">
        <f t="shared" si="20"/>
        <v>4.0246158297766801</v>
      </c>
      <c r="S46" s="479">
        <f t="shared" si="20"/>
        <v>100</v>
      </c>
      <c r="T46" s="437"/>
      <c r="U46" s="437"/>
      <c r="V46" s="447"/>
    </row>
    <row r="47" spans="1:22" ht="9.6" customHeight="1">
      <c r="A47" s="810" t="s">
        <v>1754</v>
      </c>
      <c r="B47" s="726">
        <v>97480</v>
      </c>
      <c r="C47" s="726">
        <v>29170</v>
      </c>
      <c r="D47" s="726">
        <v>13290</v>
      </c>
      <c r="E47" s="726">
        <v>159568</v>
      </c>
      <c r="F47" s="726">
        <v>11243</v>
      </c>
      <c r="G47" s="726">
        <v>56698</v>
      </c>
      <c r="H47" s="726">
        <v>111426</v>
      </c>
      <c r="I47" s="726">
        <v>5950</v>
      </c>
      <c r="J47" s="726">
        <v>90475</v>
      </c>
      <c r="K47" s="726">
        <v>26719</v>
      </c>
      <c r="L47" s="726">
        <v>53888</v>
      </c>
      <c r="M47" s="726">
        <v>27637</v>
      </c>
      <c r="N47" s="726">
        <v>18125</v>
      </c>
      <c r="O47" s="726">
        <v>14517</v>
      </c>
      <c r="P47" s="726">
        <v>75352</v>
      </c>
      <c r="Q47" s="211">
        <f>SUM(B47:P47)</f>
        <v>791538</v>
      </c>
      <c r="R47" s="726">
        <v>33324</v>
      </c>
      <c r="S47" s="39">
        <f>Q47+R47</f>
        <v>824862</v>
      </c>
      <c r="T47" s="726">
        <v>53548</v>
      </c>
      <c r="U47" s="39">
        <f>S47+T47</f>
        <v>878410</v>
      </c>
      <c r="V47" s="809" t="s">
        <v>1754</v>
      </c>
    </row>
    <row r="48" spans="1:22" ht="9.6" customHeight="1">
      <c r="A48" s="437"/>
      <c r="B48" s="479">
        <f t="shared" ref="B48:S50" si="21">(B47/$S47)*100</f>
        <v>11.817734360414226</v>
      </c>
      <c r="C48" s="479">
        <f t="shared" si="21"/>
        <v>3.5363491105178806</v>
      </c>
      <c r="D48" s="479">
        <f t="shared" si="21"/>
        <v>1.6111785971471591</v>
      </c>
      <c r="E48" s="479">
        <f t="shared" si="21"/>
        <v>19.344811616973505</v>
      </c>
      <c r="F48" s="479">
        <f t="shared" si="21"/>
        <v>1.3630158741704674</v>
      </c>
      <c r="G48" s="479">
        <f t="shared" si="21"/>
        <v>6.8736346200940286</v>
      </c>
      <c r="H48" s="479">
        <f t="shared" si="21"/>
        <v>13.50844141201801</v>
      </c>
      <c r="I48" s="479">
        <f t="shared" si="21"/>
        <v>0.72133278051358896</v>
      </c>
      <c r="J48" s="479">
        <f t="shared" si="21"/>
        <v>10.968501397809574</v>
      </c>
      <c r="K48" s="479">
        <f t="shared" si="21"/>
        <v>3.2392084979063167</v>
      </c>
      <c r="L48" s="479">
        <f t="shared" si="21"/>
        <v>6.5329715758514766</v>
      </c>
      <c r="M48" s="479">
        <f t="shared" si="21"/>
        <v>3.350499841185556</v>
      </c>
      <c r="N48" s="479">
        <f t="shared" si="21"/>
        <v>2.197337251564504</v>
      </c>
      <c r="O48" s="479">
        <f t="shared" si="21"/>
        <v>1.7599307520530707</v>
      </c>
      <c r="P48" s="479">
        <f t="shared" si="21"/>
        <v>9.1351038113041927</v>
      </c>
      <c r="Q48" s="479">
        <f t="shared" si="21"/>
        <v>95.960051499523559</v>
      </c>
      <c r="R48" s="479">
        <f t="shared" si="21"/>
        <v>4.0399485004764433</v>
      </c>
      <c r="S48" s="479">
        <f t="shared" si="21"/>
        <v>100</v>
      </c>
      <c r="T48" s="437"/>
      <c r="U48" s="437"/>
      <c r="V48" s="447"/>
    </row>
    <row r="49" spans="1:22" ht="9.6" customHeight="1">
      <c r="A49" s="806" t="s">
        <v>1954</v>
      </c>
      <c r="B49" s="726">
        <v>99228</v>
      </c>
      <c r="C49" s="726">
        <v>30950</v>
      </c>
      <c r="D49" s="726">
        <v>14997</v>
      </c>
      <c r="E49" s="726">
        <v>178223</v>
      </c>
      <c r="F49" s="726">
        <v>12742</v>
      </c>
      <c r="G49" s="726">
        <v>61552</v>
      </c>
      <c r="H49" s="726">
        <v>118665</v>
      </c>
      <c r="I49" s="726">
        <v>6366</v>
      </c>
      <c r="J49" s="726">
        <v>95972</v>
      </c>
      <c r="K49" s="726">
        <v>28787</v>
      </c>
      <c r="L49" s="726">
        <v>56297</v>
      </c>
      <c r="M49" s="726">
        <v>30796</v>
      </c>
      <c r="N49" s="726">
        <v>20248</v>
      </c>
      <c r="O49" s="726">
        <v>15612</v>
      </c>
      <c r="P49" s="726">
        <v>77838</v>
      </c>
      <c r="Q49" s="211">
        <f>SUM(B49:P49)</f>
        <v>848273</v>
      </c>
      <c r="R49" s="726">
        <v>35266</v>
      </c>
      <c r="S49" s="39">
        <f>Q49+R49</f>
        <v>883539</v>
      </c>
      <c r="T49" s="726">
        <v>50891</v>
      </c>
      <c r="U49" s="39">
        <f>S49+T49</f>
        <v>934430</v>
      </c>
      <c r="V49" s="807" t="s">
        <v>1954</v>
      </c>
    </row>
    <row r="50" spans="1:22" ht="9.6" customHeight="1">
      <c r="A50" s="437"/>
      <c r="B50" s="479">
        <f t="shared" si="21"/>
        <v>11.230743634406631</v>
      </c>
      <c r="C50" s="479">
        <f t="shared" si="21"/>
        <v>3.5029579905357884</v>
      </c>
      <c r="D50" s="479">
        <f t="shared" si="21"/>
        <v>1.6973783839762593</v>
      </c>
      <c r="E50" s="479">
        <f t="shared" si="21"/>
        <v>20.171492146922773</v>
      </c>
      <c r="F50" s="479">
        <f t="shared" si="21"/>
        <v>1.4421547888661395</v>
      </c>
      <c r="G50" s="479">
        <f t="shared" si="21"/>
        <v>6.9665289251521436</v>
      </c>
      <c r="H50" s="479">
        <f t="shared" si="21"/>
        <v>13.430646524941173</v>
      </c>
      <c r="I50" s="479">
        <f t="shared" si="21"/>
        <v>0.7205114884572158</v>
      </c>
      <c r="J50" s="479">
        <f t="shared" si="21"/>
        <v>10.862225662930555</v>
      </c>
      <c r="K50" s="479">
        <f t="shared" si="21"/>
        <v>3.2581470653813809</v>
      </c>
      <c r="L50" s="479">
        <f t="shared" si="21"/>
        <v>6.3717617445296693</v>
      </c>
      <c r="M50" s="479">
        <f t="shared" si="21"/>
        <v>3.4855280864794875</v>
      </c>
      <c r="N50" s="479">
        <f t="shared" si="21"/>
        <v>2.2916928398180501</v>
      </c>
      <c r="O50" s="479">
        <f t="shared" si="21"/>
        <v>1.7669848190062918</v>
      </c>
      <c r="P50" s="479">
        <f t="shared" si="21"/>
        <v>8.8097978697035444</v>
      </c>
      <c r="Q50" s="479">
        <f t="shared" si="21"/>
        <v>96.00855197110711</v>
      </c>
      <c r="R50" s="479">
        <f t="shared" si="21"/>
        <v>3.9914480288928953</v>
      </c>
      <c r="S50" s="479">
        <f t="shared" si="21"/>
        <v>100</v>
      </c>
      <c r="T50" s="437"/>
      <c r="U50" s="437"/>
      <c r="V50" s="447"/>
    </row>
    <row r="51" spans="1:22" s="251" customFormat="1" ht="9.6" customHeight="1">
      <c r="A51" s="251" t="s">
        <v>2046</v>
      </c>
      <c r="B51" s="726">
        <v>101173</v>
      </c>
      <c r="C51" s="726">
        <v>32879</v>
      </c>
      <c r="D51" s="726">
        <v>16330</v>
      </c>
      <c r="E51" s="726">
        <v>197765</v>
      </c>
      <c r="F51" s="726">
        <v>13820</v>
      </c>
      <c r="G51" s="726">
        <v>66951</v>
      </c>
      <c r="H51" s="726">
        <v>127417</v>
      </c>
      <c r="I51" s="726">
        <v>6820</v>
      </c>
      <c r="J51" s="726">
        <v>102463</v>
      </c>
      <c r="K51" s="726">
        <v>31413</v>
      </c>
      <c r="L51" s="726">
        <v>58997</v>
      </c>
      <c r="M51" s="726">
        <v>33615</v>
      </c>
      <c r="N51" s="726">
        <v>22547</v>
      </c>
      <c r="O51" s="726">
        <v>16804</v>
      </c>
      <c r="P51" s="726">
        <v>80653</v>
      </c>
      <c r="Q51" s="211">
        <f>SUM(B51:P51)</f>
        <v>909647</v>
      </c>
      <c r="R51" s="726">
        <v>38252</v>
      </c>
      <c r="S51" s="39">
        <f>Q51+R51</f>
        <v>947899</v>
      </c>
      <c r="T51" s="39">
        <v>40731</v>
      </c>
      <c r="U51" s="39">
        <f>S51+T51</f>
        <v>988630</v>
      </c>
      <c r="V51" s="809" t="s">
        <v>2046</v>
      </c>
    </row>
    <row r="52" spans="1:22" s="11" customFormat="1" ht="9.6" customHeight="1">
      <c r="A52" s="437"/>
      <c r="B52" s="479">
        <f t="shared" ref="B52:S56" si="22">(B51/$S51)*100</f>
        <v>10.673394528319999</v>
      </c>
      <c r="C52" s="479">
        <f t="shared" si="22"/>
        <v>3.4686184920545329</v>
      </c>
      <c r="D52" s="479">
        <f t="shared" si="22"/>
        <v>1.7227573823793463</v>
      </c>
      <c r="E52" s="479">
        <f t="shared" si="22"/>
        <v>20.863509719917417</v>
      </c>
      <c r="F52" s="479">
        <f t="shared" si="22"/>
        <v>1.4579612384863789</v>
      </c>
      <c r="G52" s="479">
        <f t="shared" si="22"/>
        <v>7.0630942748119789</v>
      </c>
      <c r="H52" s="479">
        <f t="shared" si="22"/>
        <v>13.442043930840732</v>
      </c>
      <c r="I52" s="479">
        <f t="shared" si="22"/>
        <v>0.71948593679284401</v>
      </c>
      <c r="J52" s="479">
        <f t="shared" si="22"/>
        <v>10.809484976774952</v>
      </c>
      <c r="K52" s="479">
        <f t="shared" si="22"/>
        <v>3.313960664585573</v>
      </c>
      <c r="L52" s="479">
        <f t="shared" si="22"/>
        <v>6.2239753391447818</v>
      </c>
      <c r="M52" s="479">
        <f t="shared" si="22"/>
        <v>3.5462638952040249</v>
      </c>
      <c r="N52" s="479">
        <f t="shared" si="22"/>
        <v>2.3786289467548758</v>
      </c>
      <c r="O52" s="479">
        <f t="shared" si="22"/>
        <v>1.7727627099511656</v>
      </c>
      <c r="P52" s="479">
        <f t="shared" si="22"/>
        <v>8.508606929641239</v>
      </c>
      <c r="Q52" s="479">
        <f t="shared" si="22"/>
        <v>95.964548965659844</v>
      </c>
      <c r="R52" s="479">
        <f t="shared" si="22"/>
        <v>4.0354510343401566</v>
      </c>
      <c r="S52" s="479">
        <f t="shared" si="22"/>
        <v>100</v>
      </c>
      <c r="T52" s="437"/>
      <c r="U52" s="437"/>
      <c r="V52" s="447"/>
    </row>
    <row r="53" spans="1:22" s="251" customFormat="1" ht="12.75" customHeight="1">
      <c r="A53" s="251" t="s">
        <v>2268</v>
      </c>
      <c r="B53" s="726">
        <v>104688</v>
      </c>
      <c r="C53" s="726">
        <v>34974</v>
      </c>
      <c r="D53" s="726">
        <v>17474</v>
      </c>
      <c r="E53" s="726">
        <v>224270</v>
      </c>
      <c r="F53" s="726">
        <v>15089</v>
      </c>
      <c r="G53" s="726">
        <v>73595</v>
      </c>
      <c r="H53" s="726">
        <v>136914</v>
      </c>
      <c r="I53" s="726">
        <v>7316</v>
      </c>
      <c r="J53" s="726">
        <v>109208</v>
      </c>
      <c r="K53" s="726">
        <v>33893</v>
      </c>
      <c r="L53" s="726">
        <v>61936</v>
      </c>
      <c r="M53" s="726">
        <v>36463</v>
      </c>
      <c r="N53" s="726">
        <v>24127</v>
      </c>
      <c r="O53" s="726">
        <v>17984</v>
      </c>
      <c r="P53" s="726">
        <v>83598</v>
      </c>
      <c r="Q53" s="211">
        <f>SUM(B53:P53)</f>
        <v>981529</v>
      </c>
      <c r="R53" s="726">
        <v>40909</v>
      </c>
      <c r="S53" s="39">
        <f>Q53+R53</f>
        <v>1022438</v>
      </c>
      <c r="T53" s="39">
        <v>46626</v>
      </c>
      <c r="U53" s="39">
        <f>S53+T53</f>
        <v>1069064</v>
      </c>
      <c r="V53" s="315" t="s">
        <v>2268</v>
      </c>
    </row>
    <row r="54" spans="1:22" s="11" customFormat="1" ht="11.25" customHeight="1">
      <c r="A54" s="456"/>
      <c r="B54" s="479">
        <f t="shared" si="22"/>
        <v>10.239056060122961</v>
      </c>
      <c r="C54" s="479">
        <f t="shared" si="22"/>
        <v>3.4206475111449302</v>
      </c>
      <c r="D54" s="479">
        <f t="shared" si="22"/>
        <v>1.7090522848329188</v>
      </c>
      <c r="E54" s="479">
        <f t="shared" si="22"/>
        <v>21.934826365999697</v>
      </c>
      <c r="F54" s="479">
        <f t="shared" si="22"/>
        <v>1.4757863068469677</v>
      </c>
      <c r="G54" s="479">
        <f t="shared" si="22"/>
        <v>7.1979914674532841</v>
      </c>
      <c r="H54" s="479">
        <f t="shared" si="22"/>
        <v>13.390934218016154</v>
      </c>
      <c r="I54" s="479">
        <f t="shared" si="22"/>
        <v>0.7155446100399242</v>
      </c>
      <c r="J54" s="479">
        <f t="shared" si="22"/>
        <v>10.681136655718976</v>
      </c>
      <c r="K54" s="479">
        <f t="shared" si="22"/>
        <v>3.3149198288795998</v>
      </c>
      <c r="L54" s="479">
        <f t="shared" si="22"/>
        <v>6.05767782496347</v>
      </c>
      <c r="M54" s="479">
        <f t="shared" si="22"/>
        <v>3.5662798135437059</v>
      </c>
      <c r="N54" s="479">
        <f t="shared" si="22"/>
        <v>2.3597518871559937</v>
      </c>
      <c r="O54" s="479">
        <f t="shared" si="22"/>
        <v>1.7589330599997259</v>
      </c>
      <c r="P54" s="479">
        <f t="shared" si="22"/>
        <v>8.1763392988132289</v>
      </c>
      <c r="Q54" s="479">
        <f t="shared" si="22"/>
        <v>95.998877193531541</v>
      </c>
      <c r="R54" s="479">
        <f t="shared" si="22"/>
        <v>4.0011228064684605</v>
      </c>
      <c r="S54" s="479">
        <f t="shared" si="22"/>
        <v>100</v>
      </c>
      <c r="T54" s="437"/>
      <c r="U54" s="437"/>
      <c r="V54" s="447"/>
    </row>
    <row r="55" spans="1:22" s="251" customFormat="1" ht="11.25" customHeight="1">
      <c r="A55" s="251" t="s">
        <v>2802</v>
      </c>
      <c r="B55" s="726">
        <v>107392</v>
      </c>
      <c r="C55" s="726">
        <v>37174</v>
      </c>
      <c r="D55" s="726">
        <v>18766</v>
      </c>
      <c r="E55" s="726">
        <v>257303</v>
      </c>
      <c r="F55" s="726">
        <v>16684</v>
      </c>
      <c r="G55" s="726">
        <v>80681</v>
      </c>
      <c r="H55" s="726">
        <v>147462</v>
      </c>
      <c r="I55" s="726">
        <v>7860</v>
      </c>
      <c r="J55" s="726">
        <v>116719</v>
      </c>
      <c r="K55" s="726">
        <v>36712</v>
      </c>
      <c r="L55" s="726">
        <v>65128</v>
      </c>
      <c r="M55" s="726">
        <v>38814</v>
      </c>
      <c r="N55" s="726">
        <v>25696</v>
      </c>
      <c r="O55" s="726">
        <v>19630</v>
      </c>
      <c r="P55" s="726">
        <v>86682</v>
      </c>
      <c r="Q55" s="211">
        <f>SUM(B55:P55)</f>
        <v>1062703</v>
      </c>
      <c r="R55" s="726">
        <v>42812</v>
      </c>
      <c r="S55" s="39">
        <f>Q55+R55</f>
        <v>1105515</v>
      </c>
      <c r="T55" s="726">
        <v>49523</v>
      </c>
      <c r="U55" s="39">
        <f>S55+T55</f>
        <v>1155038</v>
      </c>
      <c r="V55" s="315" t="s">
        <v>2802</v>
      </c>
    </row>
    <row r="56" spans="1:22" s="11" customFormat="1" ht="11.25" customHeight="1" thickBot="1">
      <c r="A56" s="1387"/>
      <c r="B56" s="516">
        <f t="shared" si="22"/>
        <v>9.7142055964867051</v>
      </c>
      <c r="C56" s="516">
        <f t="shared" si="22"/>
        <v>3.3625957133100863</v>
      </c>
      <c r="D56" s="516">
        <f t="shared" si="22"/>
        <v>1.6974894053902481</v>
      </c>
      <c r="E56" s="516">
        <f t="shared" si="22"/>
        <v>23.274491978851486</v>
      </c>
      <c r="F56" s="516">
        <f t="shared" si="22"/>
        <v>1.5091608888165244</v>
      </c>
      <c r="G56" s="516">
        <f t="shared" si="22"/>
        <v>7.2980466117601299</v>
      </c>
      <c r="H56" s="516">
        <f t="shared" si="22"/>
        <v>13.338760668104911</v>
      </c>
      <c r="I56" s="516">
        <f t="shared" si="22"/>
        <v>0.71098085507659325</v>
      </c>
      <c r="J56" s="516">
        <f t="shared" si="22"/>
        <v>10.557884786728357</v>
      </c>
      <c r="K56" s="516">
        <f t="shared" si="22"/>
        <v>3.320805235568943</v>
      </c>
      <c r="L56" s="516">
        <f t="shared" si="22"/>
        <v>5.8911909833878324</v>
      </c>
      <c r="M56" s="516">
        <f t="shared" si="22"/>
        <v>3.5109428637331921</v>
      </c>
      <c r="N56" s="516">
        <f t="shared" si="22"/>
        <v>2.3243465715073972</v>
      </c>
      <c r="O56" s="516">
        <f t="shared" si="22"/>
        <v>1.7756430261009575</v>
      </c>
      <c r="P56" s="516">
        <f t="shared" si="22"/>
        <v>7.8408705444973608</v>
      </c>
      <c r="Q56" s="516">
        <f t="shared" si="22"/>
        <v>96.127415729320717</v>
      </c>
      <c r="R56" s="516">
        <f t="shared" si="22"/>
        <v>3.8725842706792761</v>
      </c>
      <c r="S56" s="516">
        <f t="shared" si="22"/>
        <v>100</v>
      </c>
      <c r="T56" s="513"/>
      <c r="U56" s="513"/>
      <c r="V56" s="805"/>
    </row>
    <row r="57" spans="1:22" ht="11.25" customHeight="1">
      <c r="A57" s="109" t="s">
        <v>453</v>
      </c>
      <c r="B57" s="2075" t="s">
        <v>2235</v>
      </c>
      <c r="C57" s="2075"/>
      <c r="D57" s="2075"/>
      <c r="E57" s="2075"/>
      <c r="F57" s="2075"/>
      <c r="G57" s="2075"/>
      <c r="H57" s="2075"/>
      <c r="I57" s="2075"/>
      <c r="J57" s="2075"/>
      <c r="K57" s="2075"/>
      <c r="L57" s="109" t="s">
        <v>454</v>
      </c>
      <c r="M57" s="1386" t="s">
        <v>2130</v>
      </c>
      <c r="N57" s="7"/>
      <c r="O57" s="7"/>
      <c r="P57" s="7"/>
      <c r="Q57" s="2073" t="s">
        <v>2255</v>
      </c>
      <c r="R57" s="2073"/>
      <c r="S57" s="7"/>
      <c r="T57" s="44"/>
      <c r="U57" s="18"/>
      <c r="V57" s="7"/>
    </row>
    <row r="58" spans="1:22" ht="10.5" customHeight="1">
      <c r="B58" s="2076" t="s">
        <v>2088</v>
      </c>
      <c r="C58" s="2076"/>
      <c r="D58" s="2076"/>
      <c r="E58" s="14"/>
      <c r="F58" s="14"/>
      <c r="G58" s="14"/>
      <c r="H58" s="14"/>
      <c r="I58" s="14"/>
      <c r="J58" s="14"/>
      <c r="K58" s="14"/>
      <c r="M58" s="2070"/>
      <c r="N58" s="2070"/>
      <c r="O58" s="2070"/>
    </row>
  </sheetData>
  <mergeCells count="11">
    <mergeCell ref="M58:O58"/>
    <mergeCell ref="V3:V4"/>
    <mergeCell ref="A3:A4"/>
    <mergeCell ref="B57:K57"/>
    <mergeCell ref="Q57:R57"/>
    <mergeCell ref="B58:D58"/>
    <mergeCell ref="A1:K1"/>
    <mergeCell ref="U1:V1"/>
    <mergeCell ref="J2:K2"/>
    <mergeCell ref="U2:V2"/>
    <mergeCell ref="L1:T1"/>
  </mergeCells>
  <phoneticPr fontId="46" type="noConversion"/>
  <pageMargins left="0.62992125984252001" right="0.511811023622047" top="0.511811023622047" bottom="0.511811023622047" header="0.25" footer="0"/>
  <pageSetup paperSize="448" firstPageNumber="48" orientation="portrait" useFirstPageNumber="1" r:id="rId1"/>
  <headerFooter>
    <oddFooter>&amp;C&amp;"Times New Roman,Regular"&amp;8&amp;P</oddFooter>
  </headerFooter>
  <ignoredErrors>
    <ignoredError sqref="Q5:S26 Q39:Q45 Q28:S28 Q27 S27 S39:S45" formula="1"/>
  </ignoredErrors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22"/>
  <dimension ref="A1:X74"/>
  <sheetViews>
    <sheetView zoomScale="160" zoomScaleNormal="160" workbookViewId="0">
      <pane xSplit="1" ySplit="5" topLeftCell="B51" activePane="bottomRight" state="frozen"/>
      <selection pane="topRight" activeCell="B1" sqref="B1"/>
      <selection pane="bottomLeft" activeCell="A6" sqref="A6"/>
      <selection pane="bottomRight" activeCell="W56" sqref="W56"/>
    </sheetView>
  </sheetViews>
  <sheetFormatPr defaultColWidth="9.140625" defaultRowHeight="11.25"/>
  <cols>
    <col min="1" max="1" width="8.5703125" style="10" customWidth="1"/>
    <col min="2" max="2" width="7.140625" style="10" customWidth="1"/>
    <col min="3" max="3" width="7.28515625" style="10" customWidth="1"/>
    <col min="4" max="4" width="7.42578125" style="10" customWidth="1"/>
    <col min="5" max="5" width="7.7109375" style="10" customWidth="1"/>
    <col min="6" max="6" width="7" style="10" customWidth="1"/>
    <col min="7" max="7" width="6.5703125" style="10" customWidth="1"/>
    <col min="8" max="9" width="7.28515625" style="10" customWidth="1"/>
    <col min="10" max="10" width="7.42578125" style="10" customWidth="1"/>
    <col min="11" max="11" width="7.5703125" style="10" customWidth="1"/>
    <col min="12" max="12" width="7.7109375" style="10" customWidth="1"/>
    <col min="13" max="13" width="7" style="10" customWidth="1"/>
    <col min="14" max="14" width="7.28515625" style="10" customWidth="1"/>
    <col min="15" max="16" width="7.140625" style="10" customWidth="1"/>
    <col min="17" max="17" width="7" style="10" customWidth="1"/>
    <col min="18" max="18" width="7.28515625" style="10" customWidth="1"/>
    <col min="19" max="19" width="7.85546875" style="10" customWidth="1"/>
    <col min="20" max="20" width="4.5703125" style="10" hidden="1" customWidth="1"/>
    <col min="21" max="21" width="7.42578125" style="10" customWidth="1"/>
    <col min="22" max="22" width="7" style="10" customWidth="1"/>
    <col min="23" max="23" width="6.85546875" style="10" customWidth="1"/>
    <col min="24" max="16384" width="9.140625" style="10"/>
  </cols>
  <sheetData>
    <row r="1" spans="1:24" s="47" customFormat="1" ht="14.25" customHeight="1">
      <c r="B1" s="1783" t="s">
        <v>302</v>
      </c>
      <c r="C1" s="1783"/>
      <c r="D1" s="1783"/>
      <c r="E1" s="1783"/>
      <c r="F1" s="1783"/>
      <c r="G1" s="1783"/>
      <c r="H1" s="1783"/>
      <c r="I1" s="1783"/>
      <c r="J1" s="1783"/>
      <c r="K1" s="1783"/>
      <c r="L1" s="2093" t="s">
        <v>303</v>
      </c>
      <c r="M1" s="2093"/>
      <c r="N1" s="2093"/>
      <c r="O1" s="2093"/>
      <c r="P1" s="48"/>
      <c r="Q1" s="48"/>
      <c r="R1" s="48"/>
      <c r="U1" s="1783" t="s">
        <v>1810</v>
      </c>
      <c r="V1" s="1783"/>
      <c r="W1" s="1783"/>
    </row>
    <row r="2" spans="1:24" ht="12" customHeight="1">
      <c r="B2" s="22"/>
      <c r="C2" s="22"/>
      <c r="D2" s="2090"/>
      <c r="E2" s="2090"/>
      <c r="F2" s="141"/>
      <c r="G2" s="141"/>
      <c r="H2" s="141"/>
      <c r="I2" s="141"/>
      <c r="J2" s="2091" t="s">
        <v>181</v>
      </c>
      <c r="K2" s="2091"/>
      <c r="L2" s="2094" t="s">
        <v>2117</v>
      </c>
      <c r="M2" s="2094"/>
      <c r="N2" s="2094"/>
      <c r="O2" s="2094"/>
      <c r="P2" s="2094"/>
      <c r="S2" s="22"/>
      <c r="T2" s="22"/>
      <c r="V2" s="2092" t="s">
        <v>466</v>
      </c>
      <c r="W2" s="2092"/>
    </row>
    <row r="3" spans="1:24" ht="13.5" customHeight="1">
      <c r="A3" s="1848" t="s">
        <v>739</v>
      </c>
      <c r="B3" s="2085" t="s">
        <v>304</v>
      </c>
      <c r="C3" s="2085" t="s">
        <v>305</v>
      </c>
      <c r="D3" s="2085" t="s">
        <v>306</v>
      </c>
      <c r="E3" s="2085" t="s">
        <v>455</v>
      </c>
      <c r="F3" s="2085" t="s">
        <v>456</v>
      </c>
      <c r="G3" s="2085" t="s">
        <v>468</v>
      </c>
      <c r="H3" s="2085" t="s">
        <v>307</v>
      </c>
      <c r="I3" s="2085" t="s">
        <v>308</v>
      </c>
      <c r="J3" s="2085" t="s">
        <v>309</v>
      </c>
      <c r="K3" s="2085" t="s">
        <v>2364</v>
      </c>
      <c r="L3" s="2085" t="s">
        <v>467</v>
      </c>
      <c r="M3" s="2085" t="s">
        <v>310</v>
      </c>
      <c r="N3" s="2085" t="s">
        <v>311</v>
      </c>
      <c r="O3" s="2085" t="s">
        <v>1328</v>
      </c>
      <c r="P3" s="2085" t="s">
        <v>458</v>
      </c>
      <c r="Q3" s="2085" t="s">
        <v>1330</v>
      </c>
      <c r="R3" s="2085" t="s">
        <v>2365</v>
      </c>
      <c r="S3" s="2079" t="s">
        <v>312</v>
      </c>
      <c r="T3" s="2080"/>
      <c r="U3" s="2080"/>
      <c r="V3" s="2080"/>
      <c r="W3" s="2081"/>
    </row>
    <row r="4" spans="1:24" s="142" customFormat="1" ht="74.25" customHeight="1">
      <c r="A4" s="1849"/>
      <c r="B4" s="2085"/>
      <c r="C4" s="2085"/>
      <c r="D4" s="2085"/>
      <c r="E4" s="2085"/>
      <c r="F4" s="2085"/>
      <c r="G4" s="2085"/>
      <c r="H4" s="2085"/>
      <c r="I4" s="2085"/>
      <c r="J4" s="2085"/>
      <c r="K4" s="2085"/>
      <c r="L4" s="2085"/>
      <c r="M4" s="2085"/>
      <c r="N4" s="2085"/>
      <c r="O4" s="2085"/>
      <c r="P4" s="2085"/>
      <c r="Q4" s="2085"/>
      <c r="R4" s="2085"/>
      <c r="S4" s="2082" t="s">
        <v>304</v>
      </c>
      <c r="T4" s="2083"/>
      <c r="U4" s="138" t="s">
        <v>310</v>
      </c>
      <c r="V4" s="1060" t="s">
        <v>313</v>
      </c>
      <c r="W4" s="1060" t="s">
        <v>457</v>
      </c>
    </row>
    <row r="5" spans="1:24" s="146" customFormat="1" ht="9.75" customHeight="1">
      <c r="A5" s="1850"/>
      <c r="B5" s="145">
        <v>1</v>
      </c>
      <c r="C5" s="145">
        <v>2</v>
      </c>
      <c r="D5" s="145">
        <v>3</v>
      </c>
      <c r="E5" s="145">
        <v>4</v>
      </c>
      <c r="F5" s="145">
        <v>5</v>
      </c>
      <c r="G5" s="145">
        <v>6</v>
      </c>
      <c r="H5" s="145">
        <v>7</v>
      </c>
      <c r="I5" s="145">
        <v>8</v>
      </c>
      <c r="J5" s="145">
        <v>9</v>
      </c>
      <c r="K5" s="145">
        <v>10</v>
      </c>
      <c r="L5" s="145">
        <v>11</v>
      </c>
      <c r="M5" s="145">
        <v>12</v>
      </c>
      <c r="N5" s="145">
        <v>13</v>
      </c>
      <c r="O5" s="145">
        <v>14</v>
      </c>
      <c r="P5" s="145">
        <v>15</v>
      </c>
      <c r="Q5" s="145">
        <v>16</v>
      </c>
      <c r="R5" s="145">
        <v>17</v>
      </c>
      <c r="S5" s="2084">
        <v>18</v>
      </c>
      <c r="T5" s="2084"/>
      <c r="U5" s="145">
        <v>19</v>
      </c>
      <c r="V5" s="145">
        <v>20</v>
      </c>
      <c r="W5" s="145">
        <v>21</v>
      </c>
    </row>
    <row r="6" spans="1:24" s="80" customFormat="1" ht="9.6" customHeight="1">
      <c r="A6" s="8" t="s">
        <v>808</v>
      </c>
      <c r="B6" s="898">
        <v>253546</v>
      </c>
      <c r="C6" s="898">
        <v>262387</v>
      </c>
      <c r="D6" s="898">
        <v>2339</v>
      </c>
      <c r="E6" s="898">
        <v>264726</v>
      </c>
      <c r="F6" s="898">
        <v>207918</v>
      </c>
      <c r="G6" s="898" t="s">
        <v>314</v>
      </c>
      <c r="H6" s="898">
        <v>45628</v>
      </c>
      <c r="I6" s="898">
        <v>56809</v>
      </c>
      <c r="J6" s="898">
        <v>22.41</v>
      </c>
      <c r="K6" s="898">
        <v>58536</v>
      </c>
      <c r="L6" s="898">
        <v>23.09</v>
      </c>
      <c r="M6" s="898">
        <v>215735</v>
      </c>
      <c r="N6" s="898">
        <v>223258</v>
      </c>
      <c r="O6" s="898">
        <v>6.94</v>
      </c>
      <c r="P6" s="898">
        <v>5.27</v>
      </c>
      <c r="Q6" s="898">
        <v>118</v>
      </c>
      <c r="R6" s="1050">
        <v>12.99</v>
      </c>
      <c r="S6" s="2078">
        <v>19518</v>
      </c>
      <c r="T6" s="2078"/>
      <c r="U6" s="898">
        <v>16608</v>
      </c>
      <c r="V6" s="898">
        <v>20199</v>
      </c>
      <c r="W6" s="898">
        <v>17187</v>
      </c>
      <c r="X6" s="364"/>
    </row>
    <row r="7" spans="1:24" s="367" customFormat="1" ht="9.6" customHeight="1">
      <c r="A7" s="483"/>
      <c r="B7" s="899" t="s">
        <v>315</v>
      </c>
      <c r="C7" s="899" t="s">
        <v>316</v>
      </c>
      <c r="D7" s="899" t="s">
        <v>317</v>
      </c>
      <c r="E7" s="899" t="s">
        <v>318</v>
      </c>
      <c r="F7" s="899" t="s">
        <v>319</v>
      </c>
      <c r="G7" s="899"/>
      <c r="H7" s="899" t="s">
        <v>320</v>
      </c>
      <c r="I7" s="899" t="s">
        <v>321</v>
      </c>
      <c r="J7" s="899"/>
      <c r="K7" s="899" t="s">
        <v>322</v>
      </c>
      <c r="L7" s="899"/>
      <c r="M7" s="899"/>
      <c r="N7" s="899"/>
      <c r="O7" s="899"/>
      <c r="P7" s="899"/>
      <c r="Q7" s="899"/>
      <c r="R7" s="899"/>
      <c r="S7" s="2077" t="s">
        <v>323</v>
      </c>
      <c r="T7" s="2077"/>
      <c r="U7" s="899"/>
      <c r="V7" s="899" t="s">
        <v>324</v>
      </c>
      <c r="W7" s="899"/>
      <c r="X7" s="366"/>
    </row>
    <row r="8" spans="1:24" s="80" customFormat="1" ht="9.6" customHeight="1">
      <c r="A8" s="8" t="s">
        <v>809</v>
      </c>
      <c r="B8" s="898" t="s">
        <v>325</v>
      </c>
      <c r="C8" s="898" t="s">
        <v>326</v>
      </c>
      <c r="D8" s="898" t="s">
        <v>327</v>
      </c>
      <c r="E8" s="898" t="s">
        <v>328</v>
      </c>
      <c r="F8" s="898" t="s">
        <v>329</v>
      </c>
      <c r="G8" s="898" t="s">
        <v>330</v>
      </c>
      <c r="H8" s="898" t="s">
        <v>331</v>
      </c>
      <c r="I8" s="898" t="s">
        <v>332</v>
      </c>
      <c r="J8" s="898" t="s">
        <v>333</v>
      </c>
      <c r="K8" s="898" t="s">
        <v>334</v>
      </c>
      <c r="L8" s="898">
        <v>23.15</v>
      </c>
      <c r="M8" s="898">
        <v>225261</v>
      </c>
      <c r="N8" s="898">
        <v>235603</v>
      </c>
      <c r="O8" s="898">
        <v>7.75</v>
      </c>
      <c r="P8" s="898">
        <v>4.42</v>
      </c>
      <c r="Q8" s="898">
        <v>121</v>
      </c>
      <c r="R8" s="898">
        <v>13.16</v>
      </c>
      <c r="S8" s="2078">
        <v>20760</v>
      </c>
      <c r="T8" s="2078"/>
      <c r="U8" s="898">
        <v>17117</v>
      </c>
      <c r="V8" s="898" t="s">
        <v>335</v>
      </c>
      <c r="W8" s="898">
        <v>17903</v>
      </c>
      <c r="X8" s="364"/>
    </row>
    <row r="9" spans="1:24" s="367" customFormat="1" ht="9.6" customHeight="1">
      <c r="A9" s="483"/>
      <c r="B9" s="899" t="s">
        <v>336</v>
      </c>
      <c r="C9" s="899" t="s">
        <v>337</v>
      </c>
      <c r="D9" s="899" t="s">
        <v>338</v>
      </c>
      <c r="E9" s="899" t="s">
        <v>339</v>
      </c>
      <c r="F9" s="899" t="s">
        <v>340</v>
      </c>
      <c r="G9" s="899"/>
      <c r="H9" s="899" t="s">
        <v>341</v>
      </c>
      <c r="I9" s="899" t="s">
        <v>342</v>
      </c>
      <c r="J9" s="899"/>
      <c r="K9" s="899" t="s">
        <v>343</v>
      </c>
      <c r="L9" s="899"/>
      <c r="M9" s="899"/>
      <c r="N9" s="899"/>
      <c r="O9" s="899"/>
      <c r="P9" s="899"/>
      <c r="Q9" s="899"/>
      <c r="R9" s="899"/>
      <c r="S9" s="2077" t="s">
        <v>344</v>
      </c>
      <c r="T9" s="2077"/>
      <c r="U9" s="899"/>
      <c r="V9" s="899" t="s">
        <v>345</v>
      </c>
      <c r="W9" s="899"/>
      <c r="X9" s="366"/>
    </row>
    <row r="10" spans="1:24" s="80" customFormat="1" ht="9.6" customHeight="1">
      <c r="A10" s="8" t="s">
        <v>810</v>
      </c>
      <c r="B10" s="898" t="s">
        <v>346</v>
      </c>
      <c r="C10" s="898">
        <v>317163</v>
      </c>
      <c r="D10" s="898">
        <v>2158</v>
      </c>
      <c r="E10" s="898">
        <v>319322</v>
      </c>
      <c r="F10" s="898">
        <v>244570</v>
      </c>
      <c r="G10" s="898">
        <v>81.790000000000006</v>
      </c>
      <c r="H10" s="898">
        <v>56010</v>
      </c>
      <c r="I10" s="898">
        <v>74752</v>
      </c>
      <c r="J10" s="898">
        <v>24.45</v>
      </c>
      <c r="K10" s="898">
        <v>70352</v>
      </c>
      <c r="L10" s="898">
        <v>23.41</v>
      </c>
      <c r="M10" s="898">
        <v>237101</v>
      </c>
      <c r="N10" s="898">
        <v>250182</v>
      </c>
      <c r="O10" s="898">
        <v>10.02</v>
      </c>
      <c r="P10" s="898">
        <v>5.26</v>
      </c>
      <c r="Q10" s="898">
        <v>127</v>
      </c>
      <c r="R10" s="898">
        <v>13.34</v>
      </c>
      <c r="S10" s="2078">
        <v>22532</v>
      </c>
      <c r="T10" s="2078"/>
      <c r="U10" s="898">
        <v>17774</v>
      </c>
      <c r="V10" s="898">
        <v>23773</v>
      </c>
      <c r="W10" s="898">
        <v>18754</v>
      </c>
      <c r="X10" s="364"/>
    </row>
    <row r="11" spans="1:24" s="367" customFormat="1" ht="9.6" customHeight="1">
      <c r="A11" s="483"/>
      <c r="B11" s="899" t="s">
        <v>347</v>
      </c>
      <c r="C11" s="899" t="s">
        <v>348</v>
      </c>
      <c r="D11" s="899" t="s">
        <v>349</v>
      </c>
      <c r="E11" s="899" t="s">
        <v>350</v>
      </c>
      <c r="F11" s="899" t="s">
        <v>351</v>
      </c>
      <c r="G11" s="899"/>
      <c r="H11" s="899" t="s">
        <v>352</v>
      </c>
      <c r="I11" s="899" t="s">
        <v>353</v>
      </c>
      <c r="J11" s="899"/>
      <c r="K11" s="899" t="s">
        <v>354</v>
      </c>
      <c r="L11" s="899"/>
      <c r="M11" s="899"/>
      <c r="N11" s="899"/>
      <c r="O11" s="899"/>
      <c r="P11" s="899"/>
      <c r="Q11" s="899"/>
      <c r="R11" s="899"/>
      <c r="S11" s="2077" t="s">
        <v>355</v>
      </c>
      <c r="T11" s="2077"/>
      <c r="U11" s="899"/>
      <c r="V11" s="899" t="s">
        <v>356</v>
      </c>
      <c r="W11" s="899"/>
      <c r="X11" s="366"/>
    </row>
    <row r="12" spans="1:24" s="80" customFormat="1" ht="10.5" customHeight="1">
      <c r="A12" s="8" t="s">
        <v>811</v>
      </c>
      <c r="B12" s="898" t="s">
        <v>357</v>
      </c>
      <c r="C12" s="898">
        <v>350526</v>
      </c>
      <c r="D12" s="898">
        <v>2121</v>
      </c>
      <c r="E12" s="898">
        <v>352647</v>
      </c>
      <c r="F12" s="898">
        <v>267927</v>
      </c>
      <c r="G12" s="898">
        <v>80.739999999999995</v>
      </c>
      <c r="H12" s="898">
        <v>65046</v>
      </c>
      <c r="I12" s="898">
        <v>84719</v>
      </c>
      <c r="J12" s="898">
        <v>25.44</v>
      </c>
      <c r="K12" s="898">
        <v>79991</v>
      </c>
      <c r="L12" s="898">
        <v>24.02</v>
      </c>
      <c r="M12" s="898">
        <v>251968</v>
      </c>
      <c r="N12" s="898">
        <v>265251</v>
      </c>
      <c r="O12" s="898">
        <v>10.78</v>
      </c>
      <c r="P12" s="898">
        <v>6.27</v>
      </c>
      <c r="Q12" s="898">
        <v>132</v>
      </c>
      <c r="R12" s="898">
        <v>13.52</v>
      </c>
      <c r="S12" s="2078">
        <v>24628</v>
      </c>
      <c r="T12" s="2078"/>
      <c r="U12" s="898">
        <v>18637</v>
      </c>
      <c r="V12" s="898">
        <v>25926</v>
      </c>
      <c r="W12" s="898">
        <v>19619</v>
      </c>
      <c r="X12" s="364"/>
    </row>
    <row r="13" spans="1:24" s="367" customFormat="1" ht="9.6" customHeight="1">
      <c r="A13" s="483"/>
      <c r="B13" s="899" t="s">
        <v>358</v>
      </c>
      <c r="C13" s="899" t="s">
        <v>359</v>
      </c>
      <c r="D13" s="899" t="s">
        <v>360</v>
      </c>
      <c r="E13" s="899" t="s">
        <v>361</v>
      </c>
      <c r="F13" s="899" t="s">
        <v>362</v>
      </c>
      <c r="G13" s="899"/>
      <c r="H13" s="899" t="s">
        <v>363</v>
      </c>
      <c r="I13" s="899" t="s">
        <v>364</v>
      </c>
      <c r="J13" s="899"/>
      <c r="K13" s="899" t="s">
        <v>365</v>
      </c>
      <c r="L13" s="899"/>
      <c r="M13" s="899"/>
      <c r="N13" s="899"/>
      <c r="O13" s="899"/>
      <c r="P13" s="899"/>
      <c r="Q13" s="899"/>
      <c r="R13" s="899"/>
      <c r="S13" s="2077" t="s">
        <v>366</v>
      </c>
      <c r="T13" s="2077"/>
      <c r="U13" s="899"/>
      <c r="V13" s="899" t="s">
        <v>367</v>
      </c>
      <c r="W13" s="899"/>
      <c r="X13" s="366"/>
    </row>
    <row r="14" spans="1:24" s="80" customFormat="1" ht="9.6" customHeight="1">
      <c r="A14" s="8" t="s">
        <v>812</v>
      </c>
      <c r="B14" s="898">
        <v>370707</v>
      </c>
      <c r="C14" s="898">
        <v>389635</v>
      </c>
      <c r="D14" s="898">
        <v>2681</v>
      </c>
      <c r="E14" s="898">
        <v>392316</v>
      </c>
      <c r="F14" s="898">
        <v>296512</v>
      </c>
      <c r="G14" s="898">
        <v>79.989999999999995</v>
      </c>
      <c r="H14" s="898">
        <v>74195</v>
      </c>
      <c r="I14" s="898">
        <v>95804</v>
      </c>
      <c r="J14" s="898">
        <v>25.84</v>
      </c>
      <c r="K14" s="898" t="s">
        <v>368</v>
      </c>
      <c r="L14" s="898">
        <v>24.53</v>
      </c>
      <c r="M14" s="898">
        <v>266974</v>
      </c>
      <c r="N14" s="898">
        <v>280606</v>
      </c>
      <c r="O14" s="898">
        <v>11.33</v>
      </c>
      <c r="P14" s="898">
        <v>5.96</v>
      </c>
      <c r="Q14" s="898">
        <v>139</v>
      </c>
      <c r="R14" s="898" t="s">
        <v>369</v>
      </c>
      <c r="S14" s="2078">
        <v>27061</v>
      </c>
      <c r="T14" s="2078"/>
      <c r="U14" s="898">
        <v>19489</v>
      </c>
      <c r="V14" s="898">
        <v>28443</v>
      </c>
      <c r="W14" s="898">
        <v>20484</v>
      </c>
      <c r="X14" s="364"/>
    </row>
    <row r="15" spans="1:24" s="367" customFormat="1" ht="9.6" customHeight="1">
      <c r="A15" s="483"/>
      <c r="B15" s="899" t="s">
        <v>370</v>
      </c>
      <c r="C15" s="899" t="s">
        <v>371</v>
      </c>
      <c r="D15" s="899" t="s">
        <v>372</v>
      </c>
      <c r="E15" s="899" t="s">
        <v>373</v>
      </c>
      <c r="F15" s="899" t="s">
        <v>374</v>
      </c>
      <c r="G15" s="899"/>
      <c r="H15" s="899" t="s">
        <v>375</v>
      </c>
      <c r="I15" s="899" t="s">
        <v>376</v>
      </c>
      <c r="J15" s="899"/>
      <c r="K15" s="899" t="s">
        <v>377</v>
      </c>
      <c r="L15" s="899"/>
      <c r="M15" s="899"/>
      <c r="N15" s="899"/>
      <c r="O15" s="899"/>
      <c r="P15" s="899"/>
      <c r="Q15" s="899"/>
      <c r="R15" s="899"/>
      <c r="S15" s="2077" t="s">
        <v>378</v>
      </c>
      <c r="T15" s="2077"/>
      <c r="U15" s="899"/>
      <c r="V15" s="899" t="s">
        <v>379</v>
      </c>
      <c r="W15" s="899"/>
      <c r="X15" s="366"/>
    </row>
    <row r="16" spans="1:24" s="80" customFormat="1" ht="9.6" customHeight="1">
      <c r="A16" s="8" t="s">
        <v>817</v>
      </c>
      <c r="B16" s="898">
        <v>415728</v>
      </c>
      <c r="C16" s="898">
        <v>442935</v>
      </c>
      <c r="D16" s="898">
        <v>3653</v>
      </c>
      <c r="E16" s="898" t="s">
        <v>380</v>
      </c>
      <c r="F16" s="898">
        <v>331552</v>
      </c>
      <c r="G16" s="898">
        <v>79.75</v>
      </c>
      <c r="H16" s="898">
        <v>84176</v>
      </c>
      <c r="I16" s="898">
        <v>115036</v>
      </c>
      <c r="J16" s="898">
        <v>27.67</v>
      </c>
      <c r="K16" s="898">
        <v>102480</v>
      </c>
      <c r="L16" s="898">
        <v>24.65</v>
      </c>
      <c r="M16" s="898">
        <v>284673</v>
      </c>
      <c r="N16" s="898">
        <v>303303</v>
      </c>
      <c r="O16" s="898">
        <v>12.14</v>
      </c>
      <c r="P16" s="898" t="s">
        <v>381</v>
      </c>
      <c r="Q16" s="898">
        <v>146</v>
      </c>
      <c r="R16" s="898">
        <v>13.88</v>
      </c>
      <c r="S16" s="2078">
        <v>29955</v>
      </c>
      <c r="T16" s="2078"/>
      <c r="U16" s="898">
        <v>20512</v>
      </c>
      <c r="V16" s="898">
        <v>31915</v>
      </c>
      <c r="W16" s="898">
        <v>21854</v>
      </c>
      <c r="X16" s="364"/>
    </row>
    <row r="17" spans="1:24" s="367" customFormat="1" ht="9.6" customHeight="1">
      <c r="A17" s="483"/>
      <c r="B17" s="899" t="s">
        <v>382</v>
      </c>
      <c r="C17" s="899" t="s">
        <v>383</v>
      </c>
      <c r="D17" s="899" t="s">
        <v>384</v>
      </c>
      <c r="E17" s="899" t="s">
        <v>385</v>
      </c>
      <c r="F17" s="899" t="s">
        <v>386</v>
      </c>
      <c r="G17" s="899"/>
      <c r="H17" s="899" t="s">
        <v>387</v>
      </c>
      <c r="I17" s="899" t="s">
        <v>388</v>
      </c>
      <c r="J17" s="899"/>
      <c r="K17" s="899" t="s">
        <v>389</v>
      </c>
      <c r="L17" s="899"/>
      <c r="M17" s="899"/>
      <c r="N17" s="899"/>
      <c r="O17" s="899"/>
      <c r="P17" s="899"/>
      <c r="Q17" s="899"/>
      <c r="R17" s="899"/>
      <c r="S17" s="2077" t="s">
        <v>390</v>
      </c>
      <c r="T17" s="2077"/>
      <c r="U17" s="899"/>
      <c r="V17" s="899" t="s">
        <v>391</v>
      </c>
      <c r="W17" s="899"/>
      <c r="X17" s="366"/>
    </row>
    <row r="18" spans="1:24" s="80" customFormat="1" ht="9.6" customHeight="1">
      <c r="A18" s="7" t="s">
        <v>826</v>
      </c>
      <c r="B18" s="898" t="s">
        <v>856</v>
      </c>
      <c r="C18" s="898" t="s">
        <v>392</v>
      </c>
      <c r="D18" s="898" t="s">
        <v>393</v>
      </c>
      <c r="E18" s="898" t="s">
        <v>394</v>
      </c>
      <c r="F18" s="898" t="s">
        <v>395</v>
      </c>
      <c r="G18" s="898" t="s">
        <v>396</v>
      </c>
      <c r="H18" s="898" t="s">
        <v>397</v>
      </c>
      <c r="I18" s="898" t="s">
        <v>398</v>
      </c>
      <c r="J18" s="898" t="s">
        <v>399</v>
      </c>
      <c r="K18" s="898" t="s">
        <v>400</v>
      </c>
      <c r="L18" s="900" t="s">
        <v>401</v>
      </c>
      <c r="M18" s="900" t="s">
        <v>402</v>
      </c>
      <c r="N18" s="900" t="s">
        <v>403</v>
      </c>
      <c r="O18" s="900" t="s">
        <v>404</v>
      </c>
      <c r="P18" s="900" t="s">
        <v>405</v>
      </c>
      <c r="Q18" s="900" t="s">
        <v>406</v>
      </c>
      <c r="R18" s="511">
        <v>14.06</v>
      </c>
      <c r="S18" s="900" t="s">
        <v>407</v>
      </c>
      <c r="T18" s="900"/>
      <c r="U18" s="900" t="s">
        <v>408</v>
      </c>
      <c r="V18" s="900" t="s">
        <v>409</v>
      </c>
      <c r="W18" s="900" t="s">
        <v>410</v>
      </c>
      <c r="X18" s="368"/>
    </row>
    <row r="19" spans="1:24" s="367" customFormat="1" ht="9.6" customHeight="1">
      <c r="A19" s="484"/>
      <c r="B19" s="901" t="s">
        <v>411</v>
      </c>
      <c r="C19" s="901" t="s">
        <v>412</v>
      </c>
      <c r="D19" s="901" t="s">
        <v>413</v>
      </c>
      <c r="E19" s="901" t="s">
        <v>414</v>
      </c>
      <c r="F19" s="901" t="s">
        <v>415</v>
      </c>
      <c r="G19" s="901"/>
      <c r="H19" s="901" t="s">
        <v>416</v>
      </c>
      <c r="I19" s="901" t="s">
        <v>417</v>
      </c>
      <c r="J19" s="901"/>
      <c r="K19" s="901" t="s">
        <v>418</v>
      </c>
      <c r="L19" s="901"/>
      <c r="M19" s="901"/>
      <c r="N19" s="901"/>
      <c r="O19" s="901"/>
      <c r="P19" s="901"/>
      <c r="Q19" s="901"/>
      <c r="R19" s="901"/>
      <c r="S19" s="901" t="s">
        <v>419</v>
      </c>
      <c r="T19" s="901"/>
      <c r="U19" s="901"/>
      <c r="V19" s="901" t="s">
        <v>420</v>
      </c>
      <c r="W19" s="901"/>
      <c r="X19" s="365"/>
    </row>
    <row r="20" spans="1:24" s="80" customFormat="1" ht="9.6" customHeight="1">
      <c r="A20" s="370" t="s">
        <v>549</v>
      </c>
      <c r="B20" s="902" t="s">
        <v>146</v>
      </c>
      <c r="C20" s="902">
        <v>594212</v>
      </c>
      <c r="D20" s="902" t="s">
        <v>421</v>
      </c>
      <c r="E20" s="902" t="s">
        <v>422</v>
      </c>
      <c r="F20" s="902" t="s">
        <v>423</v>
      </c>
      <c r="G20" s="902" t="s">
        <v>424</v>
      </c>
      <c r="H20" s="902" t="s">
        <v>425</v>
      </c>
      <c r="I20" s="902" t="s">
        <v>426</v>
      </c>
      <c r="J20" s="902" t="s">
        <v>427</v>
      </c>
      <c r="K20" s="902" t="s">
        <v>428</v>
      </c>
      <c r="L20" s="902" t="s">
        <v>429</v>
      </c>
      <c r="M20" s="902" t="s">
        <v>430</v>
      </c>
      <c r="N20" s="902">
        <v>350248</v>
      </c>
      <c r="O20" s="902" t="s">
        <v>431</v>
      </c>
      <c r="P20" s="902" t="s">
        <v>432</v>
      </c>
      <c r="Q20" s="902" t="s">
        <v>433</v>
      </c>
      <c r="R20" s="511" t="s">
        <v>434</v>
      </c>
      <c r="S20" s="708">
        <v>38330</v>
      </c>
      <c r="T20" s="902"/>
      <c r="U20" s="902" t="s">
        <v>435</v>
      </c>
      <c r="V20" s="902">
        <v>41728</v>
      </c>
      <c r="W20" s="902">
        <v>24596</v>
      </c>
      <c r="X20" s="368"/>
    </row>
    <row r="21" spans="1:24" s="369" customFormat="1" ht="9.6" customHeight="1">
      <c r="A21" s="485"/>
      <c r="B21" s="903">
        <v>-79565.889212827999</v>
      </c>
      <c r="C21" s="903">
        <v>-86619.825072886306</v>
      </c>
      <c r="D21" s="903">
        <v>-826.67638483965004</v>
      </c>
      <c r="E21" s="903">
        <v>-87446.501457726001</v>
      </c>
      <c r="F21" s="903">
        <v>-63406.851311953404</v>
      </c>
      <c r="G21" s="903"/>
      <c r="H21" s="903">
        <v>-16159.0379008746</v>
      </c>
      <c r="I21" s="903">
        <v>-24039.650145772601</v>
      </c>
      <c r="J21" s="903"/>
      <c r="K21" s="903">
        <v>-19261.224489795899</v>
      </c>
      <c r="L21" s="904"/>
      <c r="M21" s="904"/>
      <c r="N21" s="904"/>
      <c r="O21" s="904"/>
      <c r="P21" s="904"/>
      <c r="Q21" s="904"/>
      <c r="R21" s="904"/>
      <c r="S21" s="905">
        <v>559</v>
      </c>
      <c r="T21" s="904"/>
      <c r="U21" s="904"/>
      <c r="V21" s="903">
        <v>-608</v>
      </c>
      <c r="W21" s="904"/>
      <c r="X21" s="371"/>
    </row>
    <row r="22" spans="1:24" s="80" customFormat="1" ht="9.6" customHeight="1">
      <c r="A22" s="370" t="s">
        <v>102</v>
      </c>
      <c r="B22" s="902">
        <v>614795</v>
      </c>
      <c r="C22" s="902">
        <v>670696</v>
      </c>
      <c r="D22" s="902">
        <v>2407</v>
      </c>
      <c r="E22" s="902">
        <v>673103</v>
      </c>
      <c r="F22" s="902">
        <v>491291</v>
      </c>
      <c r="G22" s="511">
        <v>79.91</v>
      </c>
      <c r="H22" s="902">
        <v>123504</v>
      </c>
      <c r="I22" s="902">
        <v>181812</v>
      </c>
      <c r="J22" s="902">
        <v>29.57</v>
      </c>
      <c r="K22" s="902">
        <v>149839</v>
      </c>
      <c r="L22" s="902">
        <v>24.37</v>
      </c>
      <c r="M22" s="902">
        <v>340197</v>
      </c>
      <c r="N22" s="902">
        <v>371130</v>
      </c>
      <c r="O22" s="902">
        <v>12.64</v>
      </c>
      <c r="P22" s="902">
        <v>5.74</v>
      </c>
      <c r="Q22" s="902">
        <v>181</v>
      </c>
      <c r="R22" s="902" t="s">
        <v>436</v>
      </c>
      <c r="S22" s="902">
        <v>42628</v>
      </c>
      <c r="T22" s="902"/>
      <c r="U22" s="902">
        <v>23588</v>
      </c>
      <c r="V22" s="902">
        <v>46504</v>
      </c>
      <c r="W22" s="902">
        <v>25733</v>
      </c>
      <c r="X22" s="364"/>
    </row>
    <row r="23" spans="1:24" ht="9.6" customHeight="1">
      <c r="A23" s="446"/>
      <c r="B23" s="905">
        <f>(B22/68.8)*10</f>
        <v>89359.738372093037</v>
      </c>
      <c r="C23" s="905">
        <f>(C22/68.8)*10</f>
        <v>97484.883720930229</v>
      </c>
      <c r="D23" s="905">
        <f>(D22/68.8)*10</f>
        <v>349.85465116279073</v>
      </c>
      <c r="E23" s="905">
        <f>(E22/68.8)*10</f>
        <v>97834.738372093037</v>
      </c>
      <c r="F23" s="905">
        <f>(F22/68.8)*10</f>
        <v>71408.575581395358</v>
      </c>
      <c r="G23" s="905"/>
      <c r="H23" s="905">
        <f>(H22/68.8)*10</f>
        <v>17951.162790697676</v>
      </c>
      <c r="I23" s="905">
        <f>(I22/68.8)*10</f>
        <v>26426.162790697676</v>
      </c>
      <c r="J23" s="905"/>
      <c r="K23" s="905">
        <f>(K22/68.8)*10</f>
        <v>21778.924418604653</v>
      </c>
      <c r="L23" s="901"/>
      <c r="M23" s="901"/>
      <c r="N23" s="901"/>
      <c r="O23" s="901"/>
      <c r="P23" s="901"/>
      <c r="Q23" s="901"/>
      <c r="R23" s="901"/>
      <c r="S23" s="905">
        <f>(S22/68.8)</f>
        <v>619.59302325581393</v>
      </c>
      <c r="T23" s="901"/>
      <c r="U23" s="901"/>
      <c r="V23" s="905">
        <f>(V22/68.8)</f>
        <v>675.93023255813955</v>
      </c>
      <c r="W23" s="901"/>
      <c r="X23" s="70"/>
    </row>
    <row r="24" spans="1:24" ht="9.6" customHeight="1">
      <c r="A24" s="11" t="s">
        <v>98</v>
      </c>
      <c r="B24" s="906">
        <v>694324</v>
      </c>
      <c r="C24" s="907">
        <v>758928</v>
      </c>
      <c r="D24" s="907">
        <v>4248</v>
      </c>
      <c r="E24" s="907">
        <v>763176</v>
      </c>
      <c r="F24" s="907">
        <v>554771</v>
      </c>
      <c r="G24" s="511">
        <f>(F24/B24)*100</f>
        <v>79.900882008975643</v>
      </c>
      <c r="H24" s="907">
        <v>139553</v>
      </c>
      <c r="I24" s="907">
        <v>208405</v>
      </c>
      <c r="J24" s="511">
        <f>(I24/B24)*100</f>
        <v>30.015525892810853</v>
      </c>
      <c r="K24" s="907">
        <v>169511</v>
      </c>
      <c r="L24" s="511">
        <f>(K24/B24)*100</f>
        <v>24.413818332651616</v>
      </c>
      <c r="M24" s="900" t="s">
        <v>976</v>
      </c>
      <c r="N24" s="900" t="s">
        <v>981</v>
      </c>
      <c r="O24" s="900" t="s">
        <v>977</v>
      </c>
      <c r="P24" s="900" t="s">
        <v>978</v>
      </c>
      <c r="Q24" s="900" t="s">
        <v>163</v>
      </c>
      <c r="R24" s="900" t="s">
        <v>162</v>
      </c>
      <c r="S24" s="900" t="s">
        <v>979</v>
      </c>
      <c r="T24" s="900"/>
      <c r="U24" s="900" t="s">
        <v>982</v>
      </c>
      <c r="V24" s="900" t="s">
        <v>980</v>
      </c>
      <c r="W24" s="900" t="s">
        <v>983</v>
      </c>
      <c r="X24" s="70"/>
    </row>
    <row r="25" spans="1:24" s="11" customFormat="1" ht="9.6" customHeight="1">
      <c r="A25" s="446"/>
      <c r="B25" s="905">
        <f>(B24/69.18)*10</f>
        <v>100364.84533102051</v>
      </c>
      <c r="C25" s="905">
        <f t="shared" ref="C25:K25" si="0">(C24/69.18)*10</f>
        <v>109703.38248048567</v>
      </c>
      <c r="D25" s="905">
        <f t="shared" si="0"/>
        <v>614.0503035559409</v>
      </c>
      <c r="E25" s="905">
        <f t="shared" si="0"/>
        <v>110317.43278404161</v>
      </c>
      <c r="F25" s="905">
        <f t="shared" si="0"/>
        <v>80192.396646429595</v>
      </c>
      <c r="G25" s="905"/>
      <c r="H25" s="905">
        <f t="shared" si="0"/>
        <v>20172.44868459092</v>
      </c>
      <c r="I25" s="905">
        <f t="shared" si="0"/>
        <v>30125.036137612024</v>
      </c>
      <c r="J25" s="905"/>
      <c r="K25" s="905">
        <f t="shared" si="0"/>
        <v>24502.891008962124</v>
      </c>
      <c r="L25" s="901"/>
      <c r="M25" s="901"/>
      <c r="N25" s="901"/>
      <c r="O25" s="901"/>
      <c r="P25" s="901"/>
      <c r="Q25" s="901"/>
      <c r="R25" s="901"/>
      <c r="S25" s="905">
        <f>S24/69.18</f>
        <v>687.13501011853134</v>
      </c>
      <c r="T25" s="901"/>
      <c r="U25" s="901"/>
      <c r="V25" s="905">
        <f>V24/69.18</f>
        <v>751.06967331598719</v>
      </c>
      <c r="W25" s="901"/>
      <c r="X25" s="124"/>
    </row>
    <row r="26" spans="1:24" s="11" customFormat="1" ht="9.6" customHeight="1">
      <c r="A26" s="11" t="s">
        <v>241</v>
      </c>
      <c r="B26" s="902">
        <v>796704</v>
      </c>
      <c r="C26" s="902">
        <v>869217</v>
      </c>
      <c r="D26" s="902">
        <v>3101</v>
      </c>
      <c r="E26" s="902">
        <v>872319</v>
      </c>
      <c r="F26" s="902">
        <v>643022</v>
      </c>
      <c r="G26" s="511">
        <f>(F26/B26)*100</f>
        <v>80.710276338514689</v>
      </c>
      <c r="H26" s="902">
        <v>153682</v>
      </c>
      <c r="I26" s="902">
        <v>229297</v>
      </c>
      <c r="J26" s="511">
        <f>(I26/B26)*100</f>
        <v>28.780701490139375</v>
      </c>
      <c r="K26" s="902">
        <v>200378</v>
      </c>
      <c r="L26" s="511">
        <f>(K26/B26)*100</f>
        <v>25.150871590954733</v>
      </c>
      <c r="M26" s="900" t="s">
        <v>1319</v>
      </c>
      <c r="N26" s="900" t="s">
        <v>1326</v>
      </c>
      <c r="O26" s="900" t="s">
        <v>1320</v>
      </c>
      <c r="P26" s="900" t="s">
        <v>1321</v>
      </c>
      <c r="Q26" s="908" t="s">
        <v>1324</v>
      </c>
      <c r="R26" s="900" t="s">
        <v>1322</v>
      </c>
      <c r="S26" s="902">
        <v>53238</v>
      </c>
      <c r="T26" s="900"/>
      <c r="U26" s="908" t="s">
        <v>1325</v>
      </c>
      <c r="V26" s="902">
        <v>58083</v>
      </c>
      <c r="W26" s="900" t="s">
        <v>1327</v>
      </c>
      <c r="X26" s="245"/>
    </row>
    <row r="27" spans="1:24" s="11" customFormat="1" ht="9.6" customHeight="1">
      <c r="A27" s="446"/>
      <c r="B27" s="905">
        <f>(B26/71.17)*10</f>
        <v>111943.79654348742</v>
      </c>
      <c r="C27" s="905">
        <f>(C26/71.17)*10</f>
        <v>122132.49964872839</v>
      </c>
      <c r="D27" s="905">
        <f>(D26/71.17)*10</f>
        <v>435.71729661374172</v>
      </c>
      <c r="E27" s="905">
        <f>(E26/71.17)*10</f>
        <v>122568.35745398341</v>
      </c>
      <c r="F27" s="905">
        <f>(F26/71.17)*10</f>
        <v>90350.147534073345</v>
      </c>
      <c r="G27" s="905"/>
      <c r="H27" s="905">
        <f>(H26/71.17)*10</f>
        <v>21593.649009414079</v>
      </c>
      <c r="I27" s="905">
        <f>(I26/71.17)*10</f>
        <v>32218.209919910074</v>
      </c>
      <c r="J27" s="905"/>
      <c r="K27" s="905">
        <f>(K26/71.17)*10</f>
        <v>28154.840522692142</v>
      </c>
      <c r="L27" s="901"/>
      <c r="M27" s="901"/>
      <c r="N27" s="901"/>
      <c r="O27" s="901"/>
      <c r="P27" s="901"/>
      <c r="Q27" s="901"/>
      <c r="R27" s="901"/>
      <c r="S27" s="905">
        <f>S26/71.17</f>
        <v>748.03990445412387</v>
      </c>
      <c r="T27" s="901"/>
      <c r="U27" s="901"/>
      <c r="V27" s="905">
        <f>V26/71.17</f>
        <v>816.116341154981</v>
      </c>
      <c r="W27" s="901"/>
      <c r="X27" s="124"/>
    </row>
    <row r="28" spans="1:24" s="11" customFormat="1" ht="9.6" customHeight="1">
      <c r="A28" s="11" t="s">
        <v>1142</v>
      </c>
      <c r="B28" s="895">
        <v>918141</v>
      </c>
      <c r="C28" s="902">
        <v>1007443</v>
      </c>
      <c r="D28" s="902">
        <v>1791</v>
      </c>
      <c r="E28" s="902">
        <v>1009234</v>
      </c>
      <c r="F28" s="902">
        <v>741287</v>
      </c>
      <c r="G28" s="511">
        <f>(F28/B28)*100</f>
        <v>80.73781695839746</v>
      </c>
      <c r="H28" s="902">
        <v>176854</v>
      </c>
      <c r="I28" s="902">
        <v>267947</v>
      </c>
      <c r="J28" s="511">
        <f>(I28/B28)*100</f>
        <v>29.183643906545942</v>
      </c>
      <c r="K28" s="902">
        <v>243691</v>
      </c>
      <c r="L28" s="511">
        <f>(K28/B28)*100</f>
        <v>26.541783887224295</v>
      </c>
      <c r="M28" s="900">
        <v>409053</v>
      </c>
      <c r="N28" s="900" t="s">
        <v>1635</v>
      </c>
      <c r="O28" s="900" t="s">
        <v>1623</v>
      </c>
      <c r="P28" s="900" t="s">
        <v>1624</v>
      </c>
      <c r="Q28" s="900" t="s">
        <v>1636</v>
      </c>
      <c r="R28" s="900" t="s">
        <v>1323</v>
      </c>
      <c r="S28" s="902">
        <v>60571</v>
      </c>
      <c r="T28" s="900"/>
      <c r="U28" s="900" t="s">
        <v>1637</v>
      </c>
      <c r="V28" s="902">
        <v>66463</v>
      </c>
      <c r="W28" s="900" t="s">
        <v>1638</v>
      </c>
      <c r="X28" s="124"/>
    </row>
    <row r="29" spans="1:24" s="11" customFormat="1" ht="9.6" customHeight="1">
      <c r="A29" s="446"/>
      <c r="B29" s="905">
        <f>(B28/79.1)*10</f>
        <v>116073.45132743364</v>
      </c>
      <c r="C29" s="905">
        <f>(C28/79.1)*10</f>
        <v>127363.21112515804</v>
      </c>
      <c r="D29" s="905">
        <f>(D28/79.1)*10</f>
        <v>226.42225031605562</v>
      </c>
      <c r="E29" s="905">
        <f>(E28/79.1)*10</f>
        <v>127589.63337547409</v>
      </c>
      <c r="F29" s="905">
        <f>(F28/79.1)*10</f>
        <v>93715.170670037929</v>
      </c>
      <c r="G29" s="905"/>
      <c r="H29" s="905">
        <f>(H28/79.1)*10</f>
        <v>22358.280657395702</v>
      </c>
      <c r="I29" s="905">
        <f>(I28/79.1)*10</f>
        <v>33874.462705436155</v>
      </c>
      <c r="J29" s="905"/>
      <c r="K29" s="905">
        <f>(K28/79.1)*10</f>
        <v>30807.964601769912</v>
      </c>
      <c r="L29" s="901"/>
      <c r="M29" s="901"/>
      <c r="N29" s="901"/>
      <c r="O29" s="901"/>
      <c r="P29" s="901"/>
      <c r="Q29" s="901"/>
      <c r="R29" s="901"/>
      <c r="S29" s="905">
        <f>S28/79.1</f>
        <v>765.75221238938059</v>
      </c>
      <c r="T29" s="901"/>
      <c r="U29" s="901"/>
      <c r="V29" s="905">
        <f>V28/79.1</f>
        <v>840.24020227560061</v>
      </c>
      <c r="W29" s="901"/>
      <c r="X29" s="124"/>
    </row>
    <row r="30" spans="1:24" s="11" customFormat="1" ht="9.6" customHeight="1">
      <c r="A30" s="534" t="s">
        <v>1915</v>
      </c>
      <c r="B30" s="708">
        <v>482337</v>
      </c>
      <c r="C30" s="902">
        <v>509545</v>
      </c>
      <c r="D30" s="902">
        <v>3653</v>
      </c>
      <c r="E30" s="902">
        <v>513197</v>
      </c>
      <c r="F30" s="902">
        <v>378940</v>
      </c>
      <c r="G30" s="511">
        <f>(F30/B30)*100</f>
        <v>78.563328129502821</v>
      </c>
      <c r="H30" s="902">
        <v>103397</v>
      </c>
      <c r="I30" s="902">
        <v>134257</v>
      </c>
      <c r="J30" s="511">
        <f>(I30/B30)*100</f>
        <v>27.834688195183038</v>
      </c>
      <c r="K30" s="902">
        <v>126103</v>
      </c>
      <c r="L30" s="511">
        <f>(K30/B30)*100</f>
        <v>26.144168910948157</v>
      </c>
      <c r="M30" s="900" t="s">
        <v>1916</v>
      </c>
      <c r="N30" s="900" t="s">
        <v>1921</v>
      </c>
      <c r="O30" s="900" t="s">
        <v>977</v>
      </c>
      <c r="P30" s="900" t="s">
        <v>1930</v>
      </c>
      <c r="Q30" s="1485">
        <f>(B30/M30)*100</f>
        <v>100</v>
      </c>
      <c r="R30" s="900" t="s">
        <v>1934</v>
      </c>
      <c r="S30" s="902">
        <v>34502</v>
      </c>
      <c r="T30" s="900"/>
      <c r="U30" s="900" t="s">
        <v>1940</v>
      </c>
      <c r="V30" s="902">
        <v>36448</v>
      </c>
      <c r="W30" s="900" t="s">
        <v>1939</v>
      </c>
      <c r="X30" s="124"/>
    </row>
    <row r="31" spans="1:24" s="11" customFormat="1" ht="9.6" customHeight="1">
      <c r="A31" s="446"/>
      <c r="B31" s="905">
        <f>(B30/67.08)*10</f>
        <v>71904.740608228982</v>
      </c>
      <c r="C31" s="905">
        <f>(C30/67.08)*10</f>
        <v>75960.793082886114</v>
      </c>
      <c r="D31" s="905">
        <f>(D30/67.08)*10</f>
        <v>544.5736434108527</v>
      </c>
      <c r="E31" s="905">
        <f>(E30/67.08)*10</f>
        <v>76505.217650566497</v>
      </c>
      <c r="F31" s="905">
        <f>(F30/67.08)*10</f>
        <v>56490.757304710794</v>
      </c>
      <c r="G31" s="905"/>
      <c r="H31" s="905">
        <f>(H30/67.08)*10</f>
        <v>15413.983303518187</v>
      </c>
      <c r="I31" s="905">
        <f>(I30/67.08)*10</f>
        <v>20014.460345855696</v>
      </c>
      <c r="J31" s="905"/>
      <c r="K31" s="905">
        <f>(K30/67.08)*10</f>
        <v>18798.896839594516</v>
      </c>
      <c r="L31" s="901"/>
      <c r="M31" s="901"/>
      <c r="N31" s="901"/>
      <c r="O31" s="901"/>
      <c r="P31" s="901"/>
      <c r="Q31" s="901"/>
      <c r="R31" s="901"/>
      <c r="S31" s="905">
        <f>S30/67.08</f>
        <v>514.34108527131787</v>
      </c>
      <c r="T31" s="901"/>
      <c r="U31" s="901"/>
      <c r="V31" s="905">
        <f>V30/67.08</f>
        <v>543.35122242098987</v>
      </c>
      <c r="W31" s="901"/>
      <c r="X31" s="124"/>
    </row>
    <row r="32" spans="1:24" s="11" customFormat="1" ht="9.6" customHeight="1">
      <c r="A32" s="251" t="s">
        <v>826</v>
      </c>
      <c r="B32" s="708">
        <v>549800</v>
      </c>
      <c r="C32" s="902">
        <v>585075</v>
      </c>
      <c r="D32" s="902">
        <v>3989</v>
      </c>
      <c r="E32" s="902">
        <v>589064</v>
      </c>
      <c r="F32" s="902">
        <v>435731</v>
      </c>
      <c r="G32" s="511">
        <f>(F32/B32)*100</f>
        <v>79.252637322662792</v>
      </c>
      <c r="H32" s="902">
        <v>114069</v>
      </c>
      <c r="I32" s="902">
        <v>153333</v>
      </c>
      <c r="J32" s="511">
        <f>(I32/B32)*100</f>
        <v>27.888868679519824</v>
      </c>
      <c r="K32" s="902">
        <v>143929</v>
      </c>
      <c r="L32" s="511">
        <f>(K32/B32)*100</f>
        <v>26.178428519461622</v>
      </c>
      <c r="M32" s="900" t="s">
        <v>1917</v>
      </c>
      <c r="N32" s="900" t="s">
        <v>1922</v>
      </c>
      <c r="O32" s="900" t="s">
        <v>1926</v>
      </c>
      <c r="P32" s="900" t="s">
        <v>1931</v>
      </c>
      <c r="Q32" s="1485">
        <f>(B32/M32)*100</f>
        <v>106.47135943669718</v>
      </c>
      <c r="R32" s="900" t="s">
        <v>1935</v>
      </c>
      <c r="S32" s="902">
        <v>38773</v>
      </c>
      <c r="T32" s="900"/>
      <c r="U32" s="900" t="s">
        <v>1941</v>
      </c>
      <c r="V32" s="902">
        <v>41261</v>
      </c>
      <c r="W32" s="900" t="s">
        <v>1945</v>
      </c>
      <c r="X32" s="124"/>
    </row>
    <row r="33" spans="1:24" s="11" customFormat="1" ht="9.6" customHeight="1">
      <c r="A33" s="446"/>
      <c r="B33" s="905">
        <f>(B32/69.03)*10</f>
        <v>79646.530493988117</v>
      </c>
      <c r="C33" s="905">
        <f>(C32/69.03)*10</f>
        <v>84756.627553237719</v>
      </c>
      <c r="D33" s="905">
        <f>(D32/69.03)*10</f>
        <v>577.86469650876427</v>
      </c>
      <c r="E33" s="905">
        <f>(E32/69.03)*10</f>
        <v>85334.492249746487</v>
      </c>
      <c r="F33" s="905">
        <f>(F32/69.03)*10</f>
        <v>63121.975952484427</v>
      </c>
      <c r="G33" s="905"/>
      <c r="H33" s="905">
        <f>(H32/69.03)*10</f>
        <v>16524.554541503694</v>
      </c>
      <c r="I33" s="905">
        <f>(I32/69.03)*10</f>
        <v>22212.51629726206</v>
      </c>
      <c r="J33" s="905"/>
      <c r="K33" s="905">
        <f>(K32/69.03)*10</f>
        <v>20850.210053599883</v>
      </c>
      <c r="L33" s="901"/>
      <c r="M33" s="901"/>
      <c r="N33" s="901"/>
      <c r="O33" s="901"/>
      <c r="P33" s="901"/>
      <c r="Q33" s="901"/>
      <c r="R33" s="901"/>
      <c r="S33" s="905">
        <f>S32/69.03</f>
        <v>561.68332609010577</v>
      </c>
      <c r="T33" s="901"/>
      <c r="U33" s="901"/>
      <c r="V33" s="905">
        <f>V32/69.03</f>
        <v>597.7256265391859</v>
      </c>
      <c r="W33" s="901"/>
      <c r="X33" s="124"/>
    </row>
    <row r="34" spans="1:24" s="11" customFormat="1" ht="9.6" customHeight="1">
      <c r="A34" s="251" t="s">
        <v>549</v>
      </c>
      <c r="B34" s="708">
        <v>628682</v>
      </c>
      <c r="C34" s="902">
        <v>677072</v>
      </c>
      <c r="D34" s="902">
        <v>5671</v>
      </c>
      <c r="E34" s="902">
        <v>682743</v>
      </c>
      <c r="F34" s="902">
        <v>508042</v>
      </c>
      <c r="G34" s="511">
        <f>(F34/B34)*100</f>
        <v>80.810648308683881</v>
      </c>
      <c r="H34" s="902">
        <v>120640</v>
      </c>
      <c r="I34" s="902">
        <v>174701</v>
      </c>
      <c r="J34" s="511">
        <f>(I34/B34)*100</f>
        <v>27.788452667644375</v>
      </c>
      <c r="K34" s="902">
        <v>164729</v>
      </c>
      <c r="L34" s="511">
        <f>(K34/B34)*100</f>
        <v>26.202277144884057</v>
      </c>
      <c r="M34" s="900" t="s">
        <v>1918</v>
      </c>
      <c r="N34" s="900" t="s">
        <v>1923</v>
      </c>
      <c r="O34" s="900" t="s">
        <v>1927</v>
      </c>
      <c r="P34" s="900" t="s">
        <v>1746</v>
      </c>
      <c r="Q34" s="1485">
        <f>(B34/M34)*100</f>
        <v>114.84097713526853</v>
      </c>
      <c r="R34" s="900" t="s">
        <v>1936</v>
      </c>
      <c r="S34" s="902">
        <v>43719</v>
      </c>
      <c r="T34" s="900"/>
      <c r="U34" s="900" t="s">
        <v>1946</v>
      </c>
      <c r="V34" s="902">
        <v>47084</v>
      </c>
      <c r="W34" s="900" t="s">
        <v>1942</v>
      </c>
      <c r="X34" s="124"/>
    </row>
    <row r="35" spans="1:24" s="11" customFormat="1" ht="9.6" customHeight="1">
      <c r="A35" s="446"/>
      <c r="B35" s="905">
        <f>(B34/68.6)*10</f>
        <v>91644.606413994174</v>
      </c>
      <c r="C35" s="905">
        <f>(C34/68.6)*10</f>
        <v>98698.542274052481</v>
      </c>
      <c r="D35" s="905">
        <f>(D34/68.6)*10</f>
        <v>826.67638483965015</v>
      </c>
      <c r="E35" s="905">
        <f>(E34/68.6)*10</f>
        <v>99525.218658892132</v>
      </c>
      <c r="F35" s="905">
        <f>(F34/68.6)*10</f>
        <v>74058.600583090389</v>
      </c>
      <c r="G35" s="905"/>
      <c r="H35" s="905">
        <f>(H34/68.6)*10</f>
        <v>17586.005830903792</v>
      </c>
      <c r="I35" s="905">
        <f>(I34/68.6)*10</f>
        <v>25466.618075801751</v>
      </c>
      <c r="J35" s="905"/>
      <c r="K35" s="905">
        <f>(K34/68.6)*10</f>
        <v>24012.973760932946</v>
      </c>
      <c r="L35" s="901"/>
      <c r="M35" s="901"/>
      <c r="N35" s="901"/>
      <c r="O35" s="901"/>
      <c r="P35" s="901"/>
      <c r="Q35" s="901"/>
      <c r="R35" s="901"/>
      <c r="S35" s="905">
        <f>S34/68.6</f>
        <v>637.30320699708454</v>
      </c>
      <c r="T35" s="901"/>
      <c r="U35" s="901"/>
      <c r="V35" s="905">
        <f>V34/68.6</f>
        <v>686.3556851311954</v>
      </c>
      <c r="W35" s="901"/>
      <c r="X35" s="124"/>
    </row>
    <row r="36" spans="1:24" s="11" customFormat="1" ht="9.6" customHeight="1">
      <c r="A36" s="251" t="s">
        <v>102</v>
      </c>
      <c r="B36" s="708">
        <v>705072</v>
      </c>
      <c r="C36" s="902">
        <v>760973</v>
      </c>
      <c r="D36" s="902">
        <v>2407</v>
      </c>
      <c r="E36" s="902">
        <v>763380</v>
      </c>
      <c r="F36" s="902">
        <v>561714</v>
      </c>
      <c r="G36" s="511">
        <f>(F36/B36)*100</f>
        <v>79.667608414459806</v>
      </c>
      <c r="H36" s="902">
        <v>143358</v>
      </c>
      <c r="I36" s="902">
        <v>201662</v>
      </c>
      <c r="J36" s="511">
        <f>(I36/B36)*100</f>
        <v>28.601617990786753</v>
      </c>
      <c r="K36" s="902">
        <v>184772</v>
      </c>
      <c r="L36" s="511">
        <f>(K36/B36)*100</f>
        <v>26.206117956747683</v>
      </c>
      <c r="M36" s="900" t="s">
        <v>1919</v>
      </c>
      <c r="N36" s="900" t="s">
        <v>1924</v>
      </c>
      <c r="O36" s="900" t="s">
        <v>1928</v>
      </c>
      <c r="P36" s="900" t="s">
        <v>1932</v>
      </c>
      <c r="Q36" s="1485">
        <f>(B36/M36)*100</f>
        <v>122.60927631395899</v>
      </c>
      <c r="R36" s="900" t="s">
        <v>1937</v>
      </c>
      <c r="S36" s="902">
        <v>48359</v>
      </c>
      <c r="T36" s="900"/>
      <c r="U36" s="900" t="s">
        <v>1947</v>
      </c>
      <c r="V36" s="902">
        <v>52193</v>
      </c>
      <c r="W36" s="900" t="s">
        <v>1943</v>
      </c>
      <c r="X36" s="124"/>
    </row>
    <row r="37" spans="1:24" s="11" customFormat="1" ht="9.6" customHeight="1">
      <c r="A37" s="446"/>
      <c r="B37" s="905">
        <f>(B36/68.8)*10</f>
        <v>102481.39534883722</v>
      </c>
      <c r="C37" s="905">
        <f>(C36/68.8)*10</f>
        <v>110606.54069767443</v>
      </c>
      <c r="D37" s="905">
        <f>(D36/68.8)*10</f>
        <v>349.85465116279073</v>
      </c>
      <c r="E37" s="905">
        <f>(E36/68.8)*10</f>
        <v>110956.39534883722</v>
      </c>
      <c r="F37" s="905">
        <f>(F36/68.8)*10</f>
        <v>81644.476744186046</v>
      </c>
      <c r="G37" s="905"/>
      <c r="H37" s="905">
        <f>(H36/68.8)*10</f>
        <v>20836.918604651164</v>
      </c>
      <c r="I37" s="905">
        <f>(I36/68.8)*10</f>
        <v>29311.337209302328</v>
      </c>
      <c r="J37" s="905"/>
      <c r="K37" s="905">
        <f>(K36/68.8)*10</f>
        <v>26856.39534883721</v>
      </c>
      <c r="L37" s="901"/>
      <c r="M37" s="901"/>
      <c r="N37" s="901"/>
      <c r="O37" s="901"/>
      <c r="P37" s="901"/>
      <c r="Q37" s="901"/>
      <c r="R37" s="901"/>
      <c r="S37" s="905">
        <f>S36/68.8</f>
        <v>702.89244186046517</v>
      </c>
      <c r="T37" s="901"/>
      <c r="U37" s="901"/>
      <c r="V37" s="905">
        <f>V36/68.8</f>
        <v>758.61918604651169</v>
      </c>
      <c r="W37" s="901"/>
      <c r="X37" s="124"/>
    </row>
    <row r="38" spans="1:24" s="11" customFormat="1" ht="9.6" customHeight="1">
      <c r="A38" s="251" t="s">
        <v>98</v>
      </c>
      <c r="B38" s="708">
        <v>797539</v>
      </c>
      <c r="C38" s="902">
        <v>862142</v>
      </c>
      <c r="D38" s="902">
        <v>4248</v>
      </c>
      <c r="E38" s="902">
        <v>866390</v>
      </c>
      <c r="F38" s="902">
        <v>631571</v>
      </c>
      <c r="G38" s="511">
        <f>(F38/B38)*100</f>
        <v>79.189983185775233</v>
      </c>
      <c r="H38" s="902">
        <v>165968</v>
      </c>
      <c r="I38" s="902">
        <v>234819</v>
      </c>
      <c r="J38" s="511">
        <f>(I38/B38)*100</f>
        <v>29.442948871465845</v>
      </c>
      <c r="K38" s="902">
        <v>209327</v>
      </c>
      <c r="L38" s="511">
        <f>(K38/B38)*100</f>
        <v>26.246616152940483</v>
      </c>
      <c r="M38" s="900" t="s">
        <v>1920</v>
      </c>
      <c r="N38" s="900" t="s">
        <v>1925</v>
      </c>
      <c r="O38" s="900" t="s">
        <v>1929</v>
      </c>
      <c r="P38" s="900" t="s">
        <v>1933</v>
      </c>
      <c r="Q38" s="1485">
        <f>(B38/M38)*100</f>
        <v>131.3692869508497</v>
      </c>
      <c r="R38" s="900" t="s">
        <v>1938</v>
      </c>
      <c r="S38" s="902">
        <v>53961</v>
      </c>
      <c r="T38" s="900"/>
      <c r="U38" s="900" t="s">
        <v>1948</v>
      </c>
      <c r="V38" s="902">
        <v>58332</v>
      </c>
      <c r="W38" s="900" t="s">
        <v>1944</v>
      </c>
      <c r="X38" s="124"/>
    </row>
    <row r="39" spans="1:24" s="11" customFormat="1" ht="9.6" customHeight="1">
      <c r="A39" s="446"/>
      <c r="B39" s="905">
        <f>(B38/69.18)*10</f>
        <v>115284.61983232148</v>
      </c>
      <c r="C39" s="905">
        <f>(C38/69.18)*10</f>
        <v>124623.01243133852</v>
      </c>
      <c r="D39" s="905">
        <f>(D38/69.18)*10</f>
        <v>614.0503035559409</v>
      </c>
      <c r="E39" s="905">
        <f>(E38/69.18)*10</f>
        <v>125237.06273489445</v>
      </c>
      <c r="F39" s="905">
        <f>(F38/69.18)*10</f>
        <v>91293.871061000274</v>
      </c>
      <c r="G39" s="905"/>
      <c r="H39" s="905">
        <f>(H38/69.18)*10</f>
        <v>23990.748771321189</v>
      </c>
      <c r="I39" s="905">
        <f>(I38/69.18)*10</f>
        <v>33943.191673894187</v>
      </c>
      <c r="J39" s="905"/>
      <c r="K39" s="905">
        <f>(K38/69.18)*10</f>
        <v>30258.311650766114</v>
      </c>
      <c r="L39" s="901"/>
      <c r="M39" s="901"/>
      <c r="N39" s="901"/>
      <c r="O39" s="901"/>
      <c r="P39" s="901"/>
      <c r="Q39" s="901"/>
      <c r="R39" s="901"/>
      <c r="S39" s="905">
        <f>S38/69.18</f>
        <v>780.0086730268863</v>
      </c>
      <c r="T39" s="901"/>
      <c r="U39" s="901"/>
      <c r="V39" s="905">
        <f>V38/69.18</f>
        <v>843.19167389418897</v>
      </c>
      <c r="W39" s="901"/>
      <c r="X39" s="124"/>
    </row>
    <row r="40" spans="1:24" s="11" customFormat="1" ht="9.6" customHeight="1">
      <c r="A40" s="11" t="s">
        <v>241</v>
      </c>
      <c r="B40" s="902">
        <v>915829</v>
      </c>
      <c r="C40" s="902">
        <v>988342</v>
      </c>
      <c r="D40" s="902">
        <v>3102</v>
      </c>
      <c r="E40" s="902">
        <v>991444</v>
      </c>
      <c r="F40" s="902">
        <v>726966</v>
      </c>
      <c r="G40" s="511">
        <f>(F40/B40)*100</f>
        <v>79.377918803619451</v>
      </c>
      <c r="H40" s="902">
        <v>188863</v>
      </c>
      <c r="I40" s="902">
        <v>264478</v>
      </c>
      <c r="J40" s="511">
        <f>(I40/B40)*100</f>
        <v>28.878535185061839</v>
      </c>
      <c r="K40" s="902">
        <v>251129</v>
      </c>
      <c r="L40" s="511">
        <f>(K40/B40)*100</f>
        <v>27.420948670548761</v>
      </c>
      <c r="M40" s="900" t="s">
        <v>1739</v>
      </c>
      <c r="N40" s="900" t="s">
        <v>1770</v>
      </c>
      <c r="O40" s="900" t="s">
        <v>1740</v>
      </c>
      <c r="P40" s="900" t="s">
        <v>1741</v>
      </c>
      <c r="Q40" s="909">
        <f>(B40/M40)*100</f>
        <v>141.694180480303</v>
      </c>
      <c r="R40" s="900" t="s">
        <v>1322</v>
      </c>
      <c r="S40" s="902">
        <v>61198</v>
      </c>
      <c r="T40" s="900"/>
      <c r="U40" s="909">
        <v>43190</v>
      </c>
      <c r="V40" s="902">
        <v>66044</v>
      </c>
      <c r="W40" s="900" t="s">
        <v>1773</v>
      </c>
      <c r="X40" s="124"/>
    </row>
    <row r="41" spans="1:24" s="11" customFormat="1" ht="9.6" customHeight="1">
      <c r="A41" s="446"/>
      <c r="B41" s="905">
        <f>(B40/71.17)*10</f>
        <v>128681.88843613882</v>
      </c>
      <c r="C41" s="905">
        <f>(C40/71.17)*10</f>
        <v>138870.59154137981</v>
      </c>
      <c r="D41" s="905">
        <f>(D40/71.17)*10</f>
        <v>435.85780525502315</v>
      </c>
      <c r="E41" s="905">
        <f>(E40/71.17)*10</f>
        <v>139306.44934663482</v>
      </c>
      <c r="F41" s="905">
        <f>(F40/71.17)*10</f>
        <v>102145.00491780243</v>
      </c>
      <c r="G41" s="905"/>
      <c r="H41" s="905">
        <f>(H40/71.17)*10</f>
        <v>26536.883518336377</v>
      </c>
      <c r="I41" s="905">
        <f>(I40/71.17)*10</f>
        <v>37161.444428832372</v>
      </c>
      <c r="J41" s="905"/>
      <c r="K41" s="905">
        <f>(K40/71.17)*10</f>
        <v>35285.794576366447</v>
      </c>
      <c r="L41" s="901"/>
      <c r="M41" s="901"/>
      <c r="N41" s="901"/>
      <c r="O41" s="901"/>
      <c r="P41" s="901"/>
      <c r="Q41" s="901"/>
      <c r="R41" s="901"/>
      <c r="S41" s="905">
        <f>S40/71.17</f>
        <v>859.88478291414924</v>
      </c>
      <c r="T41" s="901"/>
      <c r="U41" s="901"/>
      <c r="V41" s="905">
        <f>V40/71.17</f>
        <v>927.97527047913445</v>
      </c>
      <c r="W41" s="901"/>
      <c r="X41" s="124"/>
    </row>
    <row r="42" spans="1:24" s="11" customFormat="1" ht="9.6" customHeight="1">
      <c r="A42" s="11" t="s">
        <v>1142</v>
      </c>
      <c r="B42" s="895">
        <v>1055204</v>
      </c>
      <c r="C42" s="902">
        <v>1144506</v>
      </c>
      <c r="D42" s="902">
        <v>1791</v>
      </c>
      <c r="E42" s="902">
        <v>1146297</v>
      </c>
      <c r="F42" s="902">
        <v>831250</v>
      </c>
      <c r="G42" s="511">
        <f>(F42/B42)*100</f>
        <v>78.776236632916479</v>
      </c>
      <c r="H42" s="902">
        <v>223954</v>
      </c>
      <c r="I42" s="902">
        <v>315047</v>
      </c>
      <c r="J42" s="511">
        <f>(I42/B42)*100</f>
        <v>29.856501681191506</v>
      </c>
      <c r="K42" s="902">
        <v>298225</v>
      </c>
      <c r="L42" s="511">
        <f>(K42/B42)*100</f>
        <v>28.262307572753702</v>
      </c>
      <c r="M42" s="900" t="s">
        <v>1742</v>
      </c>
      <c r="N42" s="900" t="s">
        <v>1769</v>
      </c>
      <c r="O42" s="900" t="s">
        <v>1743</v>
      </c>
      <c r="P42" s="900" t="s">
        <v>1744</v>
      </c>
      <c r="Q42" s="909">
        <f>(B42/M42)*100</f>
        <v>153.26285089318264</v>
      </c>
      <c r="R42" s="900" t="s">
        <v>1323</v>
      </c>
      <c r="S42" s="902">
        <v>69614</v>
      </c>
      <c r="T42" s="900"/>
      <c r="U42" s="909">
        <v>45421</v>
      </c>
      <c r="V42" s="902">
        <v>75505</v>
      </c>
      <c r="W42" s="900" t="s">
        <v>1772</v>
      </c>
      <c r="X42" s="124"/>
    </row>
    <row r="43" spans="1:24" s="11" customFormat="1" ht="9.6" customHeight="1">
      <c r="A43" s="446"/>
      <c r="B43" s="905">
        <f>(B42/79.1)*10</f>
        <v>133401.26422250317</v>
      </c>
      <c r="C43" s="905">
        <f>(C42/79.1)*10</f>
        <v>144691.02402022757</v>
      </c>
      <c r="D43" s="905">
        <f>(D42/79.1)*10</f>
        <v>226.42225031605562</v>
      </c>
      <c r="E43" s="905">
        <f>(E42/79.1)*10</f>
        <v>144917.44627054362</v>
      </c>
      <c r="F43" s="905">
        <f>(F42/79.1)*10</f>
        <v>105088.49557522124</v>
      </c>
      <c r="G43" s="905"/>
      <c r="H43" s="905">
        <f>(H42/79.1)*10</f>
        <v>28312.768647281922</v>
      </c>
      <c r="I43" s="905">
        <f>(I42/79.1)*10</f>
        <v>39828.950695322375</v>
      </c>
      <c r="J43" s="905"/>
      <c r="K43" s="905">
        <f>(K42/79.1)*10</f>
        <v>37702.275600505687</v>
      </c>
      <c r="L43" s="901"/>
      <c r="M43" s="901"/>
      <c r="N43" s="901"/>
      <c r="O43" s="901"/>
      <c r="P43" s="901"/>
      <c r="Q43" s="901"/>
      <c r="R43" s="901"/>
      <c r="S43" s="905">
        <f>S42/79.1</f>
        <v>880.07585335018973</v>
      </c>
      <c r="T43" s="901"/>
      <c r="U43" s="901"/>
      <c r="V43" s="905">
        <f>V42/79.1</f>
        <v>954.55120101137811</v>
      </c>
      <c r="W43" s="901"/>
      <c r="X43" s="124"/>
    </row>
    <row r="44" spans="1:24" s="11" customFormat="1" ht="9.6" customHeight="1">
      <c r="A44" s="11" t="s">
        <v>1333</v>
      </c>
      <c r="B44" s="708">
        <v>1198923</v>
      </c>
      <c r="C44" s="902">
        <v>1295352</v>
      </c>
      <c r="D44" s="902">
        <v>5375</v>
      </c>
      <c r="E44" s="902">
        <v>1300727</v>
      </c>
      <c r="F44" s="902">
        <v>934727</v>
      </c>
      <c r="G44" s="511">
        <f>(F44/B44)*100</f>
        <v>77.963889257275071</v>
      </c>
      <c r="H44" s="902">
        <v>264196</v>
      </c>
      <c r="I44" s="902">
        <v>365999.9</v>
      </c>
      <c r="J44" s="511">
        <f>(I44/B44)*100</f>
        <v>30.527389999190941</v>
      </c>
      <c r="K44" s="902">
        <v>340370</v>
      </c>
      <c r="L44" s="511">
        <f>(K44/B44)*100</f>
        <v>28.38964637428759</v>
      </c>
      <c r="M44" s="900" t="s">
        <v>1745</v>
      </c>
      <c r="N44" s="900" t="s">
        <v>1768</v>
      </c>
      <c r="O44" s="900" t="s">
        <v>1747</v>
      </c>
      <c r="P44" s="900" t="s">
        <v>1746</v>
      </c>
      <c r="Q44" s="909">
        <f>(B44/M44)*100</f>
        <v>164.25920369586393</v>
      </c>
      <c r="R44" s="900" t="s">
        <v>1748</v>
      </c>
      <c r="S44" s="902">
        <v>78009</v>
      </c>
      <c r="T44" s="900"/>
      <c r="U44" s="909">
        <v>47491</v>
      </c>
      <c r="V44" s="902">
        <v>84283</v>
      </c>
      <c r="W44" s="900" t="s">
        <v>1771</v>
      </c>
      <c r="X44" s="124"/>
    </row>
    <row r="45" spans="1:24" s="11" customFormat="1" ht="9.6" customHeight="1">
      <c r="A45" s="446"/>
      <c r="B45" s="905">
        <f>(B44/79.93)*10</f>
        <v>149996.62204428873</v>
      </c>
      <c r="C45" s="905">
        <f>(C44/79.93)*10</f>
        <v>162060.80320280243</v>
      </c>
      <c r="D45" s="905">
        <f>(D44/79.93)*10</f>
        <v>672.46340547979469</v>
      </c>
      <c r="E45" s="905">
        <f>(E44/79.93)*10</f>
        <v>162733.26660828223</v>
      </c>
      <c r="F45" s="905">
        <f>(F44/79.93)*10</f>
        <v>116943.20030026272</v>
      </c>
      <c r="G45" s="905"/>
      <c r="H45" s="905">
        <f>(H44/79.93)*10</f>
        <v>33053.421744026018</v>
      </c>
      <c r="I45" s="905">
        <f>(I44/79.93)*10</f>
        <v>45790.05379707244</v>
      </c>
      <c r="J45" s="905"/>
      <c r="K45" s="905">
        <f>(K44/79.93)*10</f>
        <v>42583.510571750274</v>
      </c>
      <c r="L45" s="901"/>
      <c r="M45" s="901"/>
      <c r="N45" s="901"/>
      <c r="O45" s="901"/>
      <c r="P45" s="901"/>
      <c r="Q45" s="901"/>
      <c r="R45" s="901"/>
      <c r="S45" s="905">
        <f>S44/79.93</f>
        <v>975.96647066182902</v>
      </c>
      <c r="T45" s="901"/>
      <c r="U45" s="901"/>
      <c r="V45" s="905">
        <f>V44/79.93</f>
        <v>1054.4601526335543</v>
      </c>
      <c r="W45" s="901"/>
      <c r="X45" s="124"/>
    </row>
    <row r="46" spans="1:24" s="11" customFormat="1" ht="9.9499999999999993" customHeight="1">
      <c r="A46" s="534" t="s">
        <v>1664</v>
      </c>
      <c r="B46" s="708">
        <v>1343674</v>
      </c>
      <c r="C46" s="902">
        <v>1433224</v>
      </c>
      <c r="D46" s="902">
        <v>6334</v>
      </c>
      <c r="E46" s="902">
        <v>1439558</v>
      </c>
      <c r="F46" s="902">
        <v>1046856</v>
      </c>
      <c r="G46" s="511">
        <f>(F46/B46)*100</f>
        <v>77.909969233608749</v>
      </c>
      <c r="H46" s="902">
        <v>296817</v>
      </c>
      <c r="I46" s="902">
        <v>392701</v>
      </c>
      <c r="J46" s="511">
        <f>(I46/B46)*100</f>
        <v>29.225913428405999</v>
      </c>
      <c r="K46" s="902">
        <v>383994</v>
      </c>
      <c r="L46" s="511">
        <f>(K46/B46)*100</f>
        <v>28.577913988065557</v>
      </c>
      <c r="M46" s="900" t="s">
        <v>1910</v>
      </c>
      <c r="N46" s="900">
        <v>825728</v>
      </c>
      <c r="O46" s="900" t="s">
        <v>1911</v>
      </c>
      <c r="P46" s="900" t="s">
        <v>1912</v>
      </c>
      <c r="Q46" s="909">
        <f>(B46/M46)*100</f>
        <v>173.57079376233634</v>
      </c>
      <c r="R46" s="900" t="s">
        <v>1749</v>
      </c>
      <c r="S46" s="902">
        <v>86266</v>
      </c>
      <c r="T46" s="900"/>
      <c r="U46" s="909">
        <v>49701</v>
      </c>
      <c r="V46" s="902">
        <v>92015</v>
      </c>
      <c r="W46" s="900" t="s">
        <v>2018</v>
      </c>
      <c r="X46" s="124"/>
    </row>
    <row r="47" spans="1:24" s="11" customFormat="1" ht="9.75" customHeight="1">
      <c r="A47" s="446"/>
      <c r="B47" s="905">
        <f>(B46/77.72)*10</f>
        <v>172886.51569737517</v>
      </c>
      <c r="C47" s="905">
        <f>(C46/77.72)*10</f>
        <v>184408.64642305713</v>
      </c>
      <c r="D47" s="905">
        <f>(D46/77.72)*10</f>
        <v>814.97683993823989</v>
      </c>
      <c r="E47" s="905">
        <f>(E46/77.72)*10</f>
        <v>185223.62326299539</v>
      </c>
      <c r="F47" s="905">
        <f>(F46/77.72)*10</f>
        <v>134695.83118888317</v>
      </c>
      <c r="G47" s="905"/>
      <c r="H47" s="905">
        <f>(H46/77.72)*10</f>
        <v>38190.555841482244</v>
      </c>
      <c r="I47" s="905">
        <f>(I46/77.72)*10</f>
        <v>50527.663407102416</v>
      </c>
      <c r="J47" s="905"/>
      <c r="K47" s="905">
        <f>(K46/77.72)*10</f>
        <v>49407.359752959346</v>
      </c>
      <c r="L47" s="901"/>
      <c r="M47" s="901"/>
      <c r="N47" s="901"/>
      <c r="O47" s="901"/>
      <c r="P47" s="901"/>
      <c r="Q47" s="901"/>
      <c r="R47" s="901"/>
      <c r="S47" s="905">
        <f>S46/77.72</f>
        <v>1109.9588265568709</v>
      </c>
      <c r="T47" s="901"/>
      <c r="U47" s="901"/>
      <c r="V47" s="905">
        <f>V46/77.72</f>
        <v>1183.9294904786414</v>
      </c>
      <c r="W47" s="901"/>
      <c r="X47" s="124"/>
    </row>
    <row r="48" spans="1:24" s="11" customFormat="1" ht="10.5" customHeight="1">
      <c r="A48" s="534" t="s">
        <v>1754</v>
      </c>
      <c r="B48" s="708">
        <v>1515802</v>
      </c>
      <c r="C48" s="902">
        <v>1614204</v>
      </c>
      <c r="D48" s="902">
        <v>5600</v>
      </c>
      <c r="E48" s="902">
        <v>1619804</v>
      </c>
      <c r="F48" s="902">
        <v>1179924</v>
      </c>
      <c r="G48" s="511">
        <f>(F48/B48)*100</f>
        <v>77.84156505928874</v>
      </c>
      <c r="H48" s="902">
        <v>335879</v>
      </c>
      <c r="I48" s="902">
        <v>439881</v>
      </c>
      <c r="J48" s="511">
        <f>(I48/B48)*100</f>
        <v>29.01968726786216</v>
      </c>
      <c r="K48" s="902">
        <v>437865</v>
      </c>
      <c r="L48" s="511">
        <f>(K48/B48)*100</f>
        <v>28.886688366950303</v>
      </c>
      <c r="M48" s="900" t="s">
        <v>2014</v>
      </c>
      <c r="N48" s="900" t="s">
        <v>2015</v>
      </c>
      <c r="O48" s="900" t="s">
        <v>2016</v>
      </c>
      <c r="P48" s="900" t="s">
        <v>2017</v>
      </c>
      <c r="Q48" s="909">
        <f>(B48/M48)*100</f>
        <v>183.76431451564019</v>
      </c>
      <c r="R48" s="900" t="s">
        <v>1913</v>
      </c>
      <c r="S48" s="902">
        <v>96004</v>
      </c>
      <c r="T48" s="900"/>
      <c r="U48" s="902">
        <v>52240</v>
      </c>
      <c r="V48" s="902">
        <v>102236</v>
      </c>
      <c r="W48" s="900" t="s">
        <v>2100</v>
      </c>
      <c r="X48" s="124"/>
    </row>
    <row r="49" spans="1:24" s="11" customFormat="1" ht="9.75" customHeight="1">
      <c r="A49" s="446"/>
      <c r="B49" s="905">
        <f>(B48/77.67)*10</f>
        <v>195159.26355092056</v>
      </c>
      <c r="C49" s="905">
        <f>(C48/77.67)*10</f>
        <v>207828.50521436849</v>
      </c>
      <c r="D49" s="905">
        <f>(D48/77.67)*10</f>
        <v>720.99909875112655</v>
      </c>
      <c r="E49" s="905">
        <f>(E48/77.67)*10</f>
        <v>208549.50431311963</v>
      </c>
      <c r="F49" s="905">
        <f>(F48/77.67)*10</f>
        <v>151915.02510621861</v>
      </c>
      <c r="G49" s="905"/>
      <c r="H49" s="905">
        <f>(H48/77.67)*10</f>
        <v>43244.36719454101</v>
      </c>
      <c r="I49" s="905">
        <f>(I48/77.67)*10</f>
        <v>56634.607956740059</v>
      </c>
      <c r="J49" s="905"/>
      <c r="K49" s="905">
        <f>(K48/77.67)*10</f>
        <v>56375.048281189651</v>
      </c>
      <c r="L49" s="901"/>
      <c r="M49" s="901"/>
      <c r="N49" s="901"/>
      <c r="O49" s="901"/>
      <c r="P49" s="901"/>
      <c r="Q49" s="901"/>
      <c r="R49" s="901"/>
      <c r="S49" s="905">
        <f>S48/77.67</f>
        <v>1236.0499549375563</v>
      </c>
      <c r="T49" s="901"/>
      <c r="U49" s="901"/>
      <c r="V49" s="905">
        <f>V48/77.67</f>
        <v>1316.2868546414318</v>
      </c>
      <c r="W49" s="901"/>
      <c r="X49" s="124"/>
    </row>
    <row r="50" spans="1:24" s="11" customFormat="1" ht="10.5" customHeight="1">
      <c r="A50" s="806" t="s">
        <v>1954</v>
      </c>
      <c r="B50" s="895">
        <v>1732864</v>
      </c>
      <c r="C50" s="895">
        <v>1832675</v>
      </c>
      <c r="D50" s="895">
        <v>583</v>
      </c>
      <c r="E50" s="895">
        <v>1833258</v>
      </c>
      <c r="F50" s="895">
        <v>1300034</v>
      </c>
      <c r="G50" s="511">
        <f>(F50/B50)*100</f>
        <v>75.022275262224852</v>
      </c>
      <c r="H50" s="895">
        <v>432830</v>
      </c>
      <c r="I50" s="895">
        <v>533224</v>
      </c>
      <c r="J50" s="511">
        <f>(I50/B50)*100</f>
        <v>30.771254985965431</v>
      </c>
      <c r="K50" s="895">
        <v>513839</v>
      </c>
      <c r="L50" s="511">
        <f>(K50/B50)*100</f>
        <v>29.652586700398874</v>
      </c>
      <c r="M50" s="895">
        <v>883539</v>
      </c>
      <c r="N50" s="895">
        <v>934430</v>
      </c>
      <c r="O50" s="389">
        <v>14.32</v>
      </c>
      <c r="P50" s="895">
        <v>7.11</v>
      </c>
      <c r="Q50" s="909">
        <f>(B50/M50)*100</f>
        <v>196.12761858842677</v>
      </c>
      <c r="R50" s="895">
        <v>15.99</v>
      </c>
      <c r="S50" s="895">
        <v>108378</v>
      </c>
      <c r="T50" s="895"/>
      <c r="U50" s="902">
        <v>55259</v>
      </c>
      <c r="V50" s="895">
        <v>114621</v>
      </c>
      <c r="W50" s="895">
        <v>58442</v>
      </c>
      <c r="X50" s="124"/>
    </row>
    <row r="51" spans="1:24" s="11" customFormat="1" ht="11.25" customHeight="1">
      <c r="A51" s="446"/>
      <c r="B51" s="905">
        <f>(B50/78.2658)*10</f>
        <v>221407.56243467773</v>
      </c>
      <c r="C51" s="905">
        <f>(C50/78.2658)*10</f>
        <v>234160.38678452146</v>
      </c>
      <c r="D51" s="905">
        <f>(D50/78.2658)*10</f>
        <v>74.489751590094272</v>
      </c>
      <c r="E51" s="905">
        <f>(E50/78.2658)*10</f>
        <v>234234.87653611155</v>
      </c>
      <c r="F51" s="905">
        <f>(F50/78.2658)*10</f>
        <v>166104.99094112628</v>
      </c>
      <c r="G51" s="905"/>
      <c r="H51" s="905">
        <f>(H50/78.2658)*10</f>
        <v>55302.571493551455</v>
      </c>
      <c r="I51" s="905">
        <f>(I50/78.2658)*10</f>
        <v>68129.885594985302</v>
      </c>
      <c r="J51" s="905"/>
      <c r="K51" s="905">
        <f>(K50/78.2658)*10</f>
        <v>65653.06941218258</v>
      </c>
      <c r="L51" s="901"/>
      <c r="M51" s="901"/>
      <c r="N51" s="901"/>
      <c r="O51" s="901"/>
      <c r="P51" s="901"/>
      <c r="Q51" s="901"/>
      <c r="R51" s="901"/>
      <c r="S51" s="905">
        <f>(S50/78.2658)</f>
        <v>1384.742761206044</v>
      </c>
      <c r="T51" s="901"/>
      <c r="U51" s="901"/>
      <c r="V51" s="905">
        <f>(V50/78.2658)</f>
        <v>1464.5094025743044</v>
      </c>
      <c r="W51" s="901"/>
      <c r="X51" s="124"/>
    </row>
    <row r="52" spans="1:24" s="251" customFormat="1" ht="11.25" customHeight="1">
      <c r="A52" s="251" t="s">
        <v>2046</v>
      </c>
      <c r="B52" s="895">
        <v>1975817</v>
      </c>
      <c r="C52" s="895">
        <v>2060718</v>
      </c>
      <c r="D52" s="895">
        <v>353</v>
      </c>
      <c r="E52" s="895">
        <v>2061069</v>
      </c>
      <c r="F52" s="895">
        <v>1475356</v>
      </c>
      <c r="G52" s="511">
        <f>(F52/B52)*100</f>
        <v>74.670680533672908</v>
      </c>
      <c r="H52" s="895">
        <v>500460</v>
      </c>
      <c r="I52" s="895">
        <v>585714</v>
      </c>
      <c r="J52" s="511">
        <f>(I52/B52)*100</f>
        <v>29.644142144743164</v>
      </c>
      <c r="K52" s="895">
        <v>602830</v>
      </c>
      <c r="L52" s="511">
        <f>(K52/B52)*100</f>
        <v>30.510416703571231</v>
      </c>
      <c r="M52" s="895">
        <v>947899</v>
      </c>
      <c r="N52" s="895">
        <v>988630</v>
      </c>
      <c r="O52" s="895">
        <v>14.02</v>
      </c>
      <c r="P52" s="895">
        <v>7.28</v>
      </c>
      <c r="Q52" s="909">
        <f>(B52/M52)*100</f>
        <v>208.44172216660212</v>
      </c>
      <c r="R52" s="389">
        <v>16.175000000000001</v>
      </c>
      <c r="S52" s="895">
        <v>122152</v>
      </c>
      <c r="T52" s="895"/>
      <c r="U52" s="577">
        <f>M52/R52</f>
        <v>58602.720247295205</v>
      </c>
      <c r="V52" s="577">
        <f>C52/R52</f>
        <v>127401.42194744977</v>
      </c>
      <c r="W52" s="577">
        <f>N52/R52</f>
        <v>61120.865533230288</v>
      </c>
      <c r="X52" s="1151"/>
    </row>
    <row r="53" spans="1:24" s="11" customFormat="1" ht="11.25" customHeight="1">
      <c r="A53" s="446"/>
      <c r="B53" s="905">
        <f>(B52/79.119175)*10</f>
        <v>249726.69393986985</v>
      </c>
      <c r="C53" s="905">
        <f>(C52/79.119175)*10</f>
        <v>260457.46811692615</v>
      </c>
      <c r="D53" s="905">
        <f>(D52/79.119175)*10</f>
        <v>44.616238731002944</v>
      </c>
      <c r="E53" s="905">
        <f>(E52/79.119175)*10</f>
        <v>260501.83157243489</v>
      </c>
      <c r="F53" s="905">
        <f>(F52/79.119175)*10</f>
        <v>186472.62183914328</v>
      </c>
      <c r="G53" s="905"/>
      <c r="H53" s="905">
        <f>(H52/79.119175)*10</f>
        <v>63253.945709115396</v>
      </c>
      <c r="I53" s="905">
        <f>(I52/79.119175)*10</f>
        <v>74029.336124902722</v>
      </c>
      <c r="J53" s="905"/>
      <c r="K53" s="905">
        <f>(K52/79.119175)*10</f>
        <v>76192.654941106244</v>
      </c>
      <c r="L53" s="901"/>
      <c r="M53" s="901"/>
      <c r="N53" s="901"/>
      <c r="O53" s="901"/>
      <c r="P53" s="901"/>
      <c r="Q53" s="901"/>
      <c r="R53" s="901"/>
      <c r="S53" s="905">
        <f>(S52/79.119175)</f>
        <v>1543.8988083482923</v>
      </c>
      <c r="T53" s="901"/>
      <c r="U53" s="901"/>
      <c r="V53" s="905">
        <f>(V52/79.119175)</f>
        <v>1610.2470980953703</v>
      </c>
      <c r="W53" s="901"/>
      <c r="X53" s="124"/>
    </row>
    <row r="54" spans="1:24" s="251" customFormat="1" ht="11.25" customHeight="1">
      <c r="A54" s="251" t="s">
        <v>2268</v>
      </c>
      <c r="B54" s="895">
        <v>2250481</v>
      </c>
      <c r="C54" s="895">
        <v>2353109</v>
      </c>
      <c r="D54" s="895">
        <v>495</v>
      </c>
      <c r="E54" s="895">
        <v>2353603</v>
      </c>
      <c r="F54" s="895">
        <v>1736587</v>
      </c>
      <c r="G54" s="389">
        <f>(F54/B54)*100</f>
        <v>77.165148250529555</v>
      </c>
      <c r="H54" s="895">
        <v>513892</v>
      </c>
      <c r="I54" s="895">
        <v>617016</v>
      </c>
      <c r="J54" s="389">
        <f>(I54/B54)*100</f>
        <v>27.41707217257111</v>
      </c>
      <c r="K54" s="895">
        <v>702936</v>
      </c>
      <c r="L54" s="389">
        <f>(K54/B54)*100</f>
        <v>31.234922667643051</v>
      </c>
      <c r="M54" s="895">
        <v>1022438</v>
      </c>
      <c r="N54" s="895">
        <v>1069064</v>
      </c>
      <c r="O54" s="389">
        <v>13.9</v>
      </c>
      <c r="P54" s="895">
        <v>7.86</v>
      </c>
      <c r="Q54" s="1485">
        <f>(B54/M54)*100</f>
        <v>220.10928780033606</v>
      </c>
      <c r="R54" s="389">
        <v>16.364999999999998</v>
      </c>
      <c r="S54" s="895">
        <v>137518</v>
      </c>
      <c r="T54" s="895"/>
      <c r="U54" s="577">
        <f>M54/R54</f>
        <v>62477.115795905906</v>
      </c>
      <c r="V54" s="895">
        <f>ROUND((C54/R54),0)</f>
        <v>143789</v>
      </c>
      <c r="W54" s="577">
        <f>N54/R54</f>
        <v>65326.245035135966</v>
      </c>
      <c r="X54" s="1151"/>
    </row>
    <row r="55" spans="1:24" s="11" customFormat="1" ht="11.25" customHeight="1">
      <c r="A55" s="446"/>
      <c r="B55" s="905">
        <f>(B54/82.100874)*10</f>
        <v>274111.69825061789</v>
      </c>
      <c r="C55" s="905">
        <f>(C54/82.100874)*10</f>
        <v>286611.93058675597</v>
      </c>
      <c r="D55" s="905">
        <f>(D54/82.100874)*10</f>
        <v>60.291684592785217</v>
      </c>
      <c r="E55" s="905">
        <f>(E54/82.100874)*10</f>
        <v>286672.10046996572</v>
      </c>
      <c r="F55" s="905">
        <f>(F54/82.100874)*10</f>
        <v>211518.69832713349</v>
      </c>
      <c r="G55" s="905"/>
      <c r="H55" s="905">
        <f>(H54/82.100874)*10</f>
        <v>62592.756320718334</v>
      </c>
      <c r="I55" s="905">
        <f>(I54/82.100874)*10</f>
        <v>75153.40214283223</v>
      </c>
      <c r="J55" s="905"/>
      <c r="K55" s="905">
        <f>(K54/82.100874)*10</f>
        <v>85618.576971543574</v>
      </c>
      <c r="L55" s="901"/>
      <c r="M55" s="901"/>
      <c r="N55" s="901"/>
      <c r="O55" s="901"/>
      <c r="P55" s="901"/>
      <c r="Q55" s="901"/>
      <c r="R55" s="901"/>
      <c r="S55" s="905">
        <f>(S54/82.100874)</f>
        <v>1674.9882589556842</v>
      </c>
      <c r="T55" s="901"/>
      <c r="U55" s="901"/>
      <c r="V55" s="905">
        <f>(V54/82.100874)</f>
        <v>1751.369906244847</v>
      </c>
      <c r="W55" s="901"/>
      <c r="X55" s="124"/>
    </row>
    <row r="56" spans="1:24" s="251" customFormat="1" ht="11.25" customHeight="1">
      <c r="A56" s="212" t="s">
        <v>2802</v>
      </c>
      <c r="B56" s="895">
        <v>2536177</v>
      </c>
      <c r="C56" s="895">
        <v>2649787</v>
      </c>
      <c r="D56" s="895">
        <v>180</v>
      </c>
      <c r="E56" s="895">
        <v>2649966</v>
      </c>
      <c r="F56" s="895">
        <v>1929384</v>
      </c>
      <c r="G56" s="389">
        <f>(F56/B56)*100</f>
        <v>76.074501109346855</v>
      </c>
      <c r="H56" s="895">
        <v>606793</v>
      </c>
      <c r="I56" s="895">
        <v>720582</v>
      </c>
      <c r="J56" s="389">
        <f>(I56/B56)*100</f>
        <v>28.41213369571603</v>
      </c>
      <c r="K56" s="895">
        <v>800533</v>
      </c>
      <c r="L56" s="389">
        <f>(K56/B56)*100</f>
        <v>31.564555628412371</v>
      </c>
      <c r="M56" s="895">
        <v>1105515</v>
      </c>
      <c r="N56" s="895">
        <v>1155038</v>
      </c>
      <c r="O56" s="895">
        <v>12.69</v>
      </c>
      <c r="P56" s="895">
        <v>8.1300000000000008</v>
      </c>
      <c r="Q56" s="1485">
        <f>(B56/M56)*100</f>
        <v>229.4113603162327</v>
      </c>
      <c r="R56" s="895">
        <v>16.555</v>
      </c>
      <c r="S56" s="895">
        <v>153197</v>
      </c>
      <c r="T56" s="895"/>
      <c r="U56" s="577">
        <f>M56/R56</f>
        <v>66778.314708547274</v>
      </c>
      <c r="V56" s="895">
        <f>ROUND((C56/R56),0)</f>
        <v>160060</v>
      </c>
      <c r="W56" s="577">
        <f>N56/R56</f>
        <v>69769.737239504684</v>
      </c>
      <c r="X56" s="1151"/>
    </row>
    <row r="57" spans="1:24" s="11" customFormat="1" ht="11.25" customHeight="1" thickBot="1">
      <c r="A57" s="512"/>
      <c r="B57" s="910">
        <f>(B56/82.100874)*10</f>
        <v>308909.86617267923</v>
      </c>
      <c r="C57" s="910">
        <f>(C56/83.86)*10</f>
        <v>315977.46243739565</v>
      </c>
      <c r="D57" s="910">
        <f>(D56/83.86)*10</f>
        <v>21.464345337467208</v>
      </c>
      <c r="E57" s="910">
        <f>(E56/83.86)*10</f>
        <v>315998.80753637012</v>
      </c>
      <c r="F57" s="910">
        <f>(F56/83.86)*10</f>
        <v>230072.02480324352</v>
      </c>
      <c r="G57" s="910"/>
      <c r="H57" s="910">
        <f>(H56/83.86)*10</f>
        <v>72357.858335320765</v>
      </c>
      <c r="I57" s="910">
        <f>(I56/83.86)*10</f>
        <v>85926.782733126631</v>
      </c>
      <c r="J57" s="910"/>
      <c r="K57" s="910">
        <f>(K56/83.86)*10</f>
        <v>95460.648700214646</v>
      </c>
      <c r="L57" s="911"/>
      <c r="M57" s="911"/>
      <c r="N57" s="911"/>
      <c r="O57" s="911"/>
      <c r="P57" s="911"/>
      <c r="Q57" s="911"/>
      <c r="R57" s="911"/>
      <c r="S57" s="910">
        <f>(S56/83.86)</f>
        <v>1826.8185070355355</v>
      </c>
      <c r="T57" s="911"/>
      <c r="U57" s="911"/>
      <c r="V57" s="910">
        <f>(V56/83.86)</f>
        <v>1908.6572859527785</v>
      </c>
      <c r="W57" s="911"/>
      <c r="X57" s="124"/>
    </row>
    <row r="58" spans="1:24" ht="10.5" customHeight="1">
      <c r="A58" s="2088" t="s">
        <v>2236</v>
      </c>
      <c r="B58" s="2088"/>
      <c r="C58" s="2088"/>
      <c r="D58" s="2088"/>
      <c r="E58" s="2088"/>
      <c r="F58" s="2088"/>
      <c r="G58" s="11"/>
      <c r="I58" s="68"/>
      <c r="J58" s="68"/>
      <c r="K58" s="68"/>
      <c r="L58" s="2089" t="s">
        <v>2132</v>
      </c>
      <c r="M58" s="2089"/>
      <c r="N58" s="2089"/>
      <c r="O58" s="2089"/>
      <c r="P58" s="1150"/>
      <c r="Q58" s="2073" t="s">
        <v>2255</v>
      </c>
      <c r="R58" s="2073"/>
      <c r="S58" s="1150"/>
      <c r="T58" s="68"/>
      <c r="U58" s="44"/>
      <c r="V58" s="18"/>
      <c r="W58" s="68"/>
      <c r="X58" s="70"/>
    </row>
    <row r="59" spans="1:24" ht="9.75" customHeight="1">
      <c r="A59" s="2086" t="s">
        <v>2133</v>
      </c>
      <c r="B59" s="2086"/>
      <c r="C59" s="2086"/>
      <c r="D59" s="2086"/>
      <c r="E59" s="1637"/>
      <c r="F59" s="1637"/>
      <c r="G59" s="1637"/>
      <c r="H59" s="1637"/>
      <c r="I59" s="68"/>
      <c r="J59" s="68"/>
      <c r="K59" s="68"/>
      <c r="L59" s="2087"/>
      <c r="M59" s="2087"/>
      <c r="N59" s="2087"/>
      <c r="O59" s="68"/>
      <c r="P59" s="68"/>
      <c r="Q59" s="68"/>
      <c r="R59" s="68"/>
      <c r="S59" s="21"/>
      <c r="T59" s="68"/>
      <c r="U59" s="68"/>
      <c r="V59" s="68"/>
      <c r="W59" s="68"/>
      <c r="X59" s="70"/>
    </row>
    <row r="60" spans="1:24">
      <c r="N60" s="70"/>
    </row>
    <row r="61" spans="1:24">
      <c r="W61" s="1484"/>
    </row>
    <row r="62" spans="1:24">
      <c r="M62" s="70"/>
    </row>
    <row r="63" spans="1:24">
      <c r="M63" s="70"/>
      <c r="P63" s="70"/>
      <c r="Q63" s="70"/>
      <c r="R63" s="70"/>
    </row>
    <row r="64" spans="1:24">
      <c r="M64" s="70"/>
      <c r="N64" s="70"/>
    </row>
    <row r="65" spans="13:14">
      <c r="M65" s="70"/>
    </row>
    <row r="66" spans="13:14">
      <c r="M66" s="70"/>
      <c r="N66" s="70"/>
    </row>
    <row r="67" spans="13:14">
      <c r="M67" s="70"/>
    </row>
    <row r="68" spans="13:14">
      <c r="M68" s="70"/>
      <c r="N68" s="70"/>
    </row>
    <row r="69" spans="13:14">
      <c r="M69" s="70"/>
      <c r="N69" s="70"/>
    </row>
    <row r="70" spans="13:14">
      <c r="M70" s="70"/>
      <c r="N70" s="70"/>
    </row>
    <row r="71" spans="13:14">
      <c r="M71" s="70"/>
      <c r="N71" s="70"/>
    </row>
    <row r="72" spans="13:14">
      <c r="M72" s="70"/>
      <c r="N72" s="70"/>
    </row>
    <row r="73" spans="13:14">
      <c r="N73" s="70"/>
    </row>
    <row r="74" spans="13:14">
      <c r="N74" s="70"/>
    </row>
  </sheetData>
  <mergeCells count="45">
    <mergeCell ref="N3:N4"/>
    <mergeCell ref="U1:W1"/>
    <mergeCell ref="D2:E2"/>
    <mergeCell ref="J2:K2"/>
    <mergeCell ref="V2:W2"/>
    <mergeCell ref="B1:K1"/>
    <mergeCell ref="L1:O1"/>
    <mergeCell ref="L2:P2"/>
    <mergeCell ref="O3:O4"/>
    <mergeCell ref="M3:M4"/>
    <mergeCell ref="B3:B4"/>
    <mergeCell ref="E3:E4"/>
    <mergeCell ref="F3:F4"/>
    <mergeCell ref="G3:G4"/>
    <mergeCell ref="R3:R4"/>
    <mergeCell ref="K3:K4"/>
    <mergeCell ref="S6:T6"/>
    <mergeCell ref="Q58:R58"/>
    <mergeCell ref="A59:D59"/>
    <mergeCell ref="L59:N59"/>
    <mergeCell ref="A58:F58"/>
    <mergeCell ref="L58:O58"/>
    <mergeCell ref="S15:T15"/>
    <mergeCell ref="S16:T16"/>
    <mergeCell ref="S17:T17"/>
    <mergeCell ref="S12:T12"/>
    <mergeCell ref="S9:T9"/>
    <mergeCell ref="S13:T13"/>
    <mergeCell ref="S14:T14"/>
    <mergeCell ref="A3:A5"/>
    <mergeCell ref="S7:T7"/>
    <mergeCell ref="S8:T8"/>
    <mergeCell ref="S11:T11"/>
    <mergeCell ref="S10:T10"/>
    <mergeCell ref="S3:W3"/>
    <mergeCell ref="S4:T4"/>
    <mergeCell ref="S5:T5"/>
    <mergeCell ref="Q3:Q4"/>
    <mergeCell ref="C3:C4"/>
    <mergeCell ref="D3:D4"/>
    <mergeCell ref="H3:H4"/>
    <mergeCell ref="I3:I4"/>
    <mergeCell ref="L3:L4"/>
    <mergeCell ref="J3:J4"/>
    <mergeCell ref="P3:P4"/>
  </mergeCells>
  <phoneticPr fontId="46" type="noConversion"/>
  <pageMargins left="0.47244094488188998" right="0.47244094488188998" top="0.511811023622047" bottom="0" header="0" footer="0"/>
  <pageSetup paperSize="448" firstPageNumber="50" orientation="portrait" useFirstPageNumber="1" r:id="rId1"/>
  <headerFooter>
    <oddFooter>&amp;C&amp;"Times New Roman,Regular"&amp;8&amp;P</oddFooter>
  </headerFooter>
  <ignoredErrors>
    <ignoredError sqref="N24 Q24 R22 B23:R23 B22:Q22 B25:R25 B24:M24 R24 O24:P24 B6:R21 G27 G26 U24 S6:V20 S25:V25 S24:T24 V24 W18:W25 J26 L26 J27 L27:M27 S22:V23 T21:V21 N27:R27 T26 N26:S26 U26:W26 S27:W27 M26 R28 T30 T28 P28:P29 O28:O29 N28:N29 N31:Q31 Q28:Q29 U28:U29 W28:W29 M40 O40:P40 R40 M42 O42:P42 R42 M44 O44:P44 R44 R46 N40:N44 W40:W45" numberStoredAsText="1"/>
  </ignoredErrors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23"/>
  <dimension ref="A1:J111"/>
  <sheetViews>
    <sheetView zoomScale="170" zoomScaleNormal="170" workbookViewId="0">
      <pane xSplit="1" ySplit="3" topLeftCell="B40" activePane="bottomRight" state="frozen"/>
      <selection pane="topRight" activeCell="B1" sqref="B1"/>
      <selection pane="bottomLeft" activeCell="A4" sqref="A4"/>
      <selection pane="bottomRight" activeCell="F27" sqref="F27"/>
    </sheetView>
  </sheetViews>
  <sheetFormatPr defaultColWidth="9.140625" defaultRowHeight="12.75"/>
  <cols>
    <col min="1" max="1" width="10.7109375" style="2" customWidth="1"/>
    <col min="2" max="2" width="15.7109375" style="137" customWidth="1"/>
    <col min="3" max="3" width="16.85546875" style="137" customWidth="1"/>
    <col min="4" max="5" width="17.140625" style="137" customWidth="1"/>
    <col min="6" max="6" width="13.28515625" style="2" customWidth="1"/>
    <col min="7" max="7" width="15.7109375" style="2" customWidth="1"/>
    <col min="8" max="8" width="15.42578125" style="2" customWidth="1"/>
    <col min="9" max="9" width="16.85546875" style="2" customWidth="1"/>
    <col min="10" max="10" width="13.7109375" style="2" customWidth="1"/>
    <col min="11" max="16384" width="9.140625" style="2"/>
  </cols>
  <sheetData>
    <row r="1" spans="1:10" s="5" customFormat="1" ht="15.75" customHeight="1">
      <c r="A1" s="2095" t="s">
        <v>2185</v>
      </c>
      <c r="B1" s="2095"/>
      <c r="C1" s="2095"/>
      <c r="D1" s="2095"/>
      <c r="E1" s="2095"/>
      <c r="F1" s="2096" t="s">
        <v>2311</v>
      </c>
      <c r="G1" s="2096"/>
      <c r="H1" s="2096"/>
      <c r="I1" s="2096"/>
      <c r="J1" s="140" t="s">
        <v>450</v>
      </c>
    </row>
    <row r="2" spans="1:10" s="5" customFormat="1" ht="11.1" customHeight="1">
      <c r="A2" s="121"/>
      <c r="B2" s="121"/>
      <c r="C2" s="121"/>
      <c r="D2" s="121"/>
      <c r="G2" s="96"/>
      <c r="H2" s="123"/>
      <c r="I2" s="123"/>
      <c r="J2" s="139"/>
    </row>
    <row r="3" spans="1:10" s="152" customFormat="1" ht="26.45" customHeight="1">
      <c r="A3" s="79" t="s">
        <v>1495</v>
      </c>
      <c r="B3" s="1261" t="s">
        <v>2294</v>
      </c>
      <c r="C3" s="1253" t="s">
        <v>2350</v>
      </c>
      <c r="D3" s="1198" t="s">
        <v>2295</v>
      </c>
      <c r="E3" s="1198" t="s">
        <v>2297</v>
      </c>
      <c r="F3" s="79" t="s">
        <v>1496</v>
      </c>
      <c r="G3" s="79" t="s">
        <v>1672</v>
      </c>
      <c r="H3" s="79" t="s">
        <v>2296</v>
      </c>
      <c r="I3" s="79" t="s">
        <v>2295</v>
      </c>
      <c r="J3" s="1257" t="s">
        <v>2298</v>
      </c>
    </row>
    <row r="4" spans="1:10" s="16" customFormat="1" ht="12.2" customHeight="1">
      <c r="A4" s="456" t="s">
        <v>549</v>
      </c>
      <c r="B4" s="440">
        <v>3000.5</v>
      </c>
      <c r="C4" s="440">
        <v>54323.95</v>
      </c>
      <c r="D4" s="440">
        <v>10883.6</v>
      </c>
      <c r="E4" s="437">
        <v>286</v>
      </c>
      <c r="F4" s="753">
        <v>43556</v>
      </c>
      <c r="G4" s="1072">
        <v>5503.08</v>
      </c>
      <c r="H4" s="572">
        <v>423.97500000000002</v>
      </c>
      <c r="I4" s="440">
        <v>70697.399999999994</v>
      </c>
      <c r="J4" s="441">
        <v>353</v>
      </c>
    </row>
    <row r="5" spans="1:10" s="253" customFormat="1" ht="12.2" customHeight="1">
      <c r="A5" s="212" t="s">
        <v>102</v>
      </c>
      <c r="B5" s="39">
        <v>3010.26</v>
      </c>
      <c r="C5" s="40">
        <v>89378.94</v>
      </c>
      <c r="D5" s="40">
        <v>14704</v>
      </c>
      <c r="E5" s="39">
        <v>300</v>
      </c>
      <c r="F5" s="754">
        <v>43557</v>
      </c>
      <c r="G5" s="507">
        <v>5522.17</v>
      </c>
      <c r="H5" s="316">
        <v>412.52499999999998</v>
      </c>
      <c r="I5" s="40">
        <v>70697.399999999994</v>
      </c>
      <c r="J5" s="39">
        <v>353</v>
      </c>
    </row>
    <row r="6" spans="1:10" s="16" customFormat="1" ht="12.2" customHeight="1">
      <c r="A6" s="456" t="s">
        <v>98</v>
      </c>
      <c r="B6" s="437">
        <v>6153.68</v>
      </c>
      <c r="C6" s="440">
        <v>256353.55100000001</v>
      </c>
      <c r="D6" s="440">
        <v>21744.6</v>
      </c>
      <c r="E6" s="437">
        <v>273</v>
      </c>
      <c r="F6" s="753">
        <v>43558</v>
      </c>
      <c r="G6" s="1072">
        <v>5452.2</v>
      </c>
      <c r="H6" s="572">
        <v>451.36599999999999</v>
      </c>
      <c r="I6" s="440">
        <v>70697.399999999994</v>
      </c>
      <c r="J6" s="437">
        <v>353</v>
      </c>
    </row>
    <row r="7" spans="1:10" s="287" customFormat="1" ht="12.2" customHeight="1">
      <c r="A7" s="212" t="s">
        <v>241</v>
      </c>
      <c r="B7" s="39">
        <v>6117.23</v>
      </c>
      <c r="C7" s="40">
        <v>325879.77</v>
      </c>
      <c r="D7" s="40">
        <v>30104.5</v>
      </c>
      <c r="E7" s="39">
        <v>267</v>
      </c>
      <c r="F7" s="754">
        <v>43559</v>
      </c>
      <c r="G7" s="507">
        <v>5459.91</v>
      </c>
      <c r="H7" s="316">
        <v>363.26400000000001</v>
      </c>
      <c r="I7" s="40">
        <v>70697.399999999994</v>
      </c>
      <c r="J7" s="39">
        <v>353</v>
      </c>
    </row>
    <row r="8" spans="1:10" s="838" customFormat="1" ht="12.2" customHeight="1">
      <c r="A8" s="593" t="s">
        <v>1142</v>
      </c>
      <c r="B8" s="434">
        <v>4572.88</v>
      </c>
      <c r="C8" s="434">
        <v>117145.07</v>
      </c>
      <c r="D8" s="434">
        <v>38410.899999999994</v>
      </c>
      <c r="E8" s="433">
        <v>279</v>
      </c>
      <c r="F8" s="753">
        <v>43562</v>
      </c>
      <c r="G8" s="1072">
        <v>5433.89</v>
      </c>
      <c r="H8" s="572">
        <v>330.541</v>
      </c>
      <c r="I8" s="440">
        <v>70697.399999999994</v>
      </c>
      <c r="J8" s="437">
        <v>353</v>
      </c>
    </row>
    <row r="9" spans="1:10" s="1127" customFormat="1" ht="12.2" customHeight="1">
      <c r="A9" s="579" t="s">
        <v>1333</v>
      </c>
      <c r="B9" s="389">
        <v>4385.7700000000004</v>
      </c>
      <c r="C9" s="389">
        <v>85716.56</v>
      </c>
      <c r="D9" s="389">
        <v>43407.3</v>
      </c>
      <c r="E9" s="388">
        <v>296</v>
      </c>
      <c r="F9" s="754">
        <v>43563</v>
      </c>
      <c r="G9" s="507">
        <v>5372.23</v>
      </c>
      <c r="H9" s="812">
        <v>418.005</v>
      </c>
      <c r="I9" s="40">
        <v>70697.399999999994</v>
      </c>
      <c r="J9" s="39">
        <v>353</v>
      </c>
    </row>
    <row r="10" spans="1:10" s="100" customFormat="1" ht="12.2" customHeight="1">
      <c r="A10" s="456" t="s">
        <v>1664</v>
      </c>
      <c r="B10" s="440">
        <v>4480.5200000000004</v>
      </c>
      <c r="C10" s="440">
        <v>112539.85800000001</v>
      </c>
      <c r="D10" s="440">
        <v>48255.5</v>
      </c>
      <c r="E10" s="437">
        <v>307</v>
      </c>
      <c r="F10" s="753">
        <v>43564</v>
      </c>
      <c r="G10" s="1072">
        <v>5318.75</v>
      </c>
      <c r="H10" s="1034">
        <v>365.92</v>
      </c>
      <c r="I10" s="440">
        <v>70697.399999999994</v>
      </c>
      <c r="J10" s="437">
        <v>353</v>
      </c>
    </row>
    <row r="11" spans="1:10" s="710" customFormat="1" ht="12.2" customHeight="1">
      <c r="A11" s="579" t="s">
        <v>1754</v>
      </c>
      <c r="B11" s="389">
        <v>4583.1099999999997</v>
      </c>
      <c r="C11" s="389">
        <v>112351.91100000001</v>
      </c>
      <c r="D11" s="389">
        <v>54300.800000000003</v>
      </c>
      <c r="E11" s="388">
        <v>326</v>
      </c>
      <c r="F11" s="754">
        <v>43565</v>
      </c>
      <c r="G11" s="40">
        <v>5261.6</v>
      </c>
      <c r="H11" s="316">
        <v>274.839</v>
      </c>
      <c r="I11" s="40">
        <v>70697.399999999994</v>
      </c>
      <c r="J11" s="39">
        <v>353</v>
      </c>
    </row>
    <row r="12" spans="1:10" s="100" customFormat="1" ht="12.2" customHeight="1">
      <c r="A12" s="811" t="s">
        <v>1954</v>
      </c>
      <c r="B12" s="510">
        <v>4507.58</v>
      </c>
      <c r="C12" s="510">
        <v>107246.07099999998</v>
      </c>
      <c r="D12" s="510">
        <v>57846.400000000001</v>
      </c>
      <c r="E12" s="798">
        <v>330</v>
      </c>
      <c r="F12" s="753">
        <v>43566</v>
      </c>
      <c r="G12" s="1072">
        <v>5326.39</v>
      </c>
      <c r="H12" s="1072">
        <v>284.18700000000001</v>
      </c>
      <c r="I12" s="440">
        <v>70697.399999999994</v>
      </c>
      <c r="J12" s="437">
        <v>353</v>
      </c>
    </row>
    <row r="13" spans="1:10" s="710" customFormat="1" ht="12.2" customHeight="1">
      <c r="A13" s="738" t="s">
        <v>2046</v>
      </c>
      <c r="B13" s="523">
        <f>B25</f>
        <v>5656.05</v>
      </c>
      <c r="C13" s="523">
        <f>SUM(C14:C25)</f>
        <v>180522.2</v>
      </c>
      <c r="D13" s="523">
        <f>D25</f>
        <v>61656.5</v>
      </c>
      <c r="E13" s="728">
        <f>E25</f>
        <v>334</v>
      </c>
      <c r="F13" s="754">
        <v>43570</v>
      </c>
      <c r="G13" s="507">
        <v>5309.47</v>
      </c>
      <c r="H13" s="507">
        <v>296.02300000000002</v>
      </c>
      <c r="I13" s="40">
        <v>70697.399999999994</v>
      </c>
      <c r="J13" s="39">
        <v>353</v>
      </c>
    </row>
    <row r="14" spans="1:10" s="100" customFormat="1" ht="12.2" customHeight="1">
      <c r="A14" s="593" t="s">
        <v>818</v>
      </c>
      <c r="B14" s="434">
        <v>4525.3500000000004</v>
      </c>
      <c r="C14" s="434">
        <v>6573.6170000000002</v>
      </c>
      <c r="D14" s="434">
        <f>57510.714+595.1</f>
        <v>58105.813999999998</v>
      </c>
      <c r="E14" s="433">
        <f>328+2</f>
        <v>330</v>
      </c>
      <c r="F14" s="753">
        <v>43571</v>
      </c>
      <c r="G14" s="1072">
        <v>5248.92</v>
      </c>
      <c r="H14" s="1072">
        <v>269.91399999999999</v>
      </c>
      <c r="I14" s="440">
        <v>70697.399999999994</v>
      </c>
      <c r="J14" s="437">
        <v>353</v>
      </c>
    </row>
    <row r="15" spans="1:10" s="710" customFormat="1" ht="12.2" customHeight="1">
      <c r="A15" s="579" t="s">
        <v>819</v>
      </c>
      <c r="B15" s="389">
        <v>4526.58</v>
      </c>
      <c r="C15" s="389">
        <v>9629.2900000000009</v>
      </c>
      <c r="D15" s="389">
        <f>57549.5+595.1</f>
        <v>58144.6</v>
      </c>
      <c r="E15" s="388">
        <f>327+2</f>
        <v>329</v>
      </c>
      <c r="F15" s="754">
        <v>43572</v>
      </c>
      <c r="G15" s="507">
        <v>5259.41</v>
      </c>
      <c r="H15" s="507">
        <v>314.55</v>
      </c>
      <c r="I15" s="40">
        <v>70697.399999999994</v>
      </c>
      <c r="J15" s="39">
        <v>353</v>
      </c>
    </row>
    <row r="16" spans="1:10" s="100" customFormat="1" ht="12.2" customHeight="1">
      <c r="A16" s="593" t="s">
        <v>813</v>
      </c>
      <c r="B16" s="434">
        <v>4695.1899999999996</v>
      </c>
      <c r="C16" s="434">
        <v>8689.3819999999996</v>
      </c>
      <c r="D16" s="434">
        <f>57649.1+595.1</f>
        <v>58244.2</v>
      </c>
      <c r="E16" s="433">
        <f>328+2</f>
        <v>330</v>
      </c>
      <c r="F16" s="753">
        <v>43573</v>
      </c>
      <c r="G16" s="1072">
        <v>5321.41</v>
      </c>
      <c r="H16" s="1072">
        <v>352.13299999999998</v>
      </c>
      <c r="I16" s="440">
        <v>70697.399999999994</v>
      </c>
      <c r="J16" s="437">
        <v>353</v>
      </c>
    </row>
    <row r="17" spans="1:10" s="710" customFormat="1" ht="12.2" customHeight="1">
      <c r="A17" s="579" t="s">
        <v>820</v>
      </c>
      <c r="B17" s="389">
        <v>4592.18</v>
      </c>
      <c r="C17" s="389">
        <v>10560.499</v>
      </c>
      <c r="D17" s="389">
        <f>57959.3+595.1</f>
        <v>58554.400000000001</v>
      </c>
      <c r="E17" s="388">
        <f>328+2</f>
        <v>330</v>
      </c>
      <c r="F17" s="754">
        <v>43576</v>
      </c>
      <c r="G17" s="507">
        <v>5323.74</v>
      </c>
      <c r="H17" s="507">
        <v>351.84100000000001</v>
      </c>
      <c r="I17" s="40">
        <v>70697.399999999994</v>
      </c>
      <c r="J17" s="39">
        <v>353</v>
      </c>
    </row>
    <row r="18" spans="1:10" s="100" customFormat="1" ht="12.2" customHeight="1">
      <c r="A18" s="593" t="s">
        <v>821</v>
      </c>
      <c r="B18" s="434">
        <v>4801.24</v>
      </c>
      <c r="C18" s="434">
        <v>14149.828</v>
      </c>
      <c r="D18" s="434">
        <f>58410.7+595.1</f>
        <v>59005.799999999996</v>
      </c>
      <c r="E18" s="433">
        <f>328+2</f>
        <v>330</v>
      </c>
      <c r="F18" s="753">
        <v>43578</v>
      </c>
      <c r="G18" s="1072">
        <v>5260.86</v>
      </c>
      <c r="H18" s="1072">
        <v>298.62900000000002</v>
      </c>
      <c r="I18" s="440">
        <v>70697.399999999994</v>
      </c>
      <c r="J18" s="437">
        <v>353</v>
      </c>
    </row>
    <row r="19" spans="1:10" s="710" customFormat="1" ht="12.2" customHeight="1">
      <c r="A19" s="579" t="s">
        <v>814</v>
      </c>
      <c r="B19" s="389">
        <v>5036.05</v>
      </c>
      <c r="C19" s="389">
        <v>17780.206999999999</v>
      </c>
      <c r="D19" s="389">
        <f>59040.3+595.1</f>
        <v>59635.4</v>
      </c>
      <c r="E19" s="388">
        <f>329+2</f>
        <v>331</v>
      </c>
      <c r="F19" s="754">
        <v>43579</v>
      </c>
      <c r="G19" s="507">
        <v>5240.37</v>
      </c>
      <c r="H19" s="507">
        <v>332.84199999999998</v>
      </c>
      <c r="I19" s="40">
        <v>70697.399999999994</v>
      </c>
      <c r="J19" s="39">
        <v>353</v>
      </c>
    </row>
    <row r="20" spans="1:10" s="100" customFormat="1" ht="12.2" customHeight="1">
      <c r="A20" s="593" t="s">
        <v>822</v>
      </c>
      <c r="B20" s="434">
        <v>5468.34</v>
      </c>
      <c r="C20" s="434">
        <v>34232.014999999999</v>
      </c>
      <c r="D20" s="434">
        <f>59213.4+585</f>
        <v>59798.400000000001</v>
      </c>
      <c r="E20" s="433">
        <f>329+2</f>
        <v>331</v>
      </c>
      <c r="F20" s="753">
        <v>43580</v>
      </c>
      <c r="G20" s="1072">
        <v>5266.18</v>
      </c>
      <c r="H20" s="1072">
        <v>382.97399999999999</v>
      </c>
      <c r="I20" s="440">
        <v>70697.399999999994</v>
      </c>
      <c r="J20" s="437">
        <v>353</v>
      </c>
    </row>
    <row r="21" spans="1:10" s="710" customFormat="1" ht="12.2" customHeight="1">
      <c r="A21" s="579" t="s">
        <v>823</v>
      </c>
      <c r="B21" s="389">
        <v>5612.7</v>
      </c>
      <c r="C21" s="389">
        <v>19404.841</v>
      </c>
      <c r="D21" s="389">
        <f>59430.5+585</f>
        <v>60015.5</v>
      </c>
      <c r="E21" s="388">
        <f>331+2</f>
        <v>333</v>
      </c>
      <c r="F21" s="754">
        <v>43583</v>
      </c>
      <c r="G21" s="507">
        <v>5238.2</v>
      </c>
      <c r="H21" s="316">
        <v>344.25900000000001</v>
      </c>
      <c r="I21" s="40">
        <v>70697.399999999994</v>
      </c>
      <c r="J21" s="39">
        <v>353</v>
      </c>
    </row>
    <row r="22" spans="1:10" s="100" customFormat="1" ht="12.2" customHeight="1">
      <c r="A22" s="593" t="s">
        <v>815</v>
      </c>
      <c r="B22" s="434">
        <v>5719.61</v>
      </c>
      <c r="C22" s="434">
        <v>21770.14</v>
      </c>
      <c r="D22" s="434">
        <f>60360.6+585</f>
        <v>60945.599999999999</v>
      </c>
      <c r="E22" s="433">
        <f>333+2</f>
        <v>335</v>
      </c>
      <c r="F22" s="753">
        <v>43584</v>
      </c>
      <c r="G22" s="1072">
        <v>5175.47</v>
      </c>
      <c r="H22" s="572">
        <v>298.61099999999999</v>
      </c>
      <c r="I22" s="440">
        <v>70697.399999999994</v>
      </c>
      <c r="J22" s="437">
        <v>353</v>
      </c>
    </row>
    <row r="23" spans="1:10" s="710" customFormat="1" ht="12.2" customHeight="1" thickBot="1">
      <c r="A23" s="579" t="s">
        <v>824</v>
      </c>
      <c r="B23" s="389">
        <v>5475.55</v>
      </c>
      <c r="C23" s="389">
        <v>15317.778</v>
      </c>
      <c r="D23" s="389">
        <f>60127.4+585</f>
        <v>60712.4</v>
      </c>
      <c r="E23" s="388">
        <f>331+2</f>
        <v>333</v>
      </c>
      <c r="F23" s="1679">
        <v>43585</v>
      </c>
      <c r="G23" s="1680">
        <v>5202.8500000000004</v>
      </c>
      <c r="H23" s="1681">
        <v>415.17399999999998</v>
      </c>
      <c r="I23" s="1682">
        <v>70697.399999999994</v>
      </c>
      <c r="J23" s="1384">
        <v>353</v>
      </c>
    </row>
    <row r="24" spans="1:10" s="710" customFormat="1" ht="12.2" customHeight="1">
      <c r="A24" s="593" t="s">
        <v>825</v>
      </c>
      <c r="B24" s="434">
        <v>5403.12</v>
      </c>
      <c r="C24" s="434">
        <v>12258.223</v>
      </c>
      <c r="D24" s="434">
        <f>60311.4+585</f>
        <v>60896.4</v>
      </c>
      <c r="E24" s="433">
        <f>331+2</f>
        <v>333</v>
      </c>
      <c r="F24" s="754"/>
      <c r="G24" s="507"/>
      <c r="H24" s="316"/>
      <c r="I24" s="40"/>
      <c r="J24" s="39"/>
    </row>
    <row r="25" spans="1:10" s="710" customFormat="1" ht="12.2" customHeight="1">
      <c r="A25" s="579" t="s">
        <v>816</v>
      </c>
      <c r="B25" s="389">
        <v>5656.05</v>
      </c>
      <c r="C25" s="389">
        <v>10156.379999999999</v>
      </c>
      <c r="D25" s="389">
        <f>61071.5+585</f>
        <v>61656.5</v>
      </c>
      <c r="E25" s="388">
        <f>332+2</f>
        <v>334</v>
      </c>
      <c r="F25" s="754"/>
      <c r="G25" s="507"/>
      <c r="H25" s="316"/>
      <c r="I25" s="40"/>
      <c r="J25" s="39"/>
    </row>
    <row r="26" spans="1:10" s="710" customFormat="1" ht="12.2" customHeight="1">
      <c r="A26" s="811" t="s">
        <v>2268</v>
      </c>
      <c r="B26" s="510">
        <f>B38</f>
        <v>5405.46</v>
      </c>
      <c r="C26" s="510">
        <f>SUM(C27:C38)</f>
        <v>159085.19200000001</v>
      </c>
      <c r="D26" s="510">
        <f>D38</f>
        <v>67071.899999999994</v>
      </c>
      <c r="E26" s="798">
        <f>E38</f>
        <v>343</v>
      </c>
      <c r="F26" s="754"/>
      <c r="G26" s="507"/>
      <c r="H26" s="316"/>
      <c r="I26" s="40"/>
      <c r="J26" s="39"/>
    </row>
    <row r="27" spans="1:10" s="710" customFormat="1" ht="12.2" customHeight="1">
      <c r="A27" s="579" t="s">
        <v>818</v>
      </c>
      <c r="B27" s="389">
        <v>5860.65</v>
      </c>
      <c r="C27" s="389">
        <v>20929.46</v>
      </c>
      <c r="D27" s="389">
        <f>61539+585</f>
        <v>62124</v>
      </c>
      <c r="E27" s="388">
        <f>333+2</f>
        <v>335</v>
      </c>
      <c r="F27" s="754"/>
      <c r="G27" s="507"/>
      <c r="H27" s="316"/>
      <c r="I27" s="40"/>
      <c r="J27" s="39"/>
    </row>
    <row r="28" spans="1:10" s="710" customFormat="1" ht="12.2" customHeight="1">
      <c r="A28" s="593" t="s">
        <v>819</v>
      </c>
      <c r="B28" s="434">
        <v>6006.43</v>
      </c>
      <c r="C28" s="434">
        <v>19589.243999999999</v>
      </c>
      <c r="D28" s="434">
        <f>62074.9+585</f>
        <v>62659.9</v>
      </c>
      <c r="E28" s="433">
        <f>333+2</f>
        <v>335</v>
      </c>
      <c r="F28" s="754"/>
      <c r="G28" s="507"/>
      <c r="H28" s="316"/>
      <c r="I28" s="40"/>
      <c r="J28" s="39"/>
    </row>
    <row r="29" spans="1:10" s="710" customFormat="1" ht="12.2" customHeight="1">
      <c r="A29" s="579" t="s">
        <v>813</v>
      </c>
      <c r="B29" s="389">
        <v>6092.84</v>
      </c>
      <c r="C29" s="389">
        <v>19944.120999999999</v>
      </c>
      <c r="D29" s="389">
        <f>62325.8+585</f>
        <v>62910.8</v>
      </c>
      <c r="E29" s="388">
        <f>333+2</f>
        <v>335</v>
      </c>
      <c r="F29" s="754"/>
      <c r="G29" s="507"/>
      <c r="H29" s="316"/>
      <c r="I29" s="40"/>
      <c r="J29" s="39"/>
    </row>
    <row r="30" spans="1:10" s="710" customFormat="1" ht="12.2" customHeight="1">
      <c r="A30" s="593" t="s">
        <v>820</v>
      </c>
      <c r="B30" s="434">
        <v>6019.59</v>
      </c>
      <c r="C30" s="434">
        <v>15697.432000000001</v>
      </c>
      <c r="D30" s="434">
        <f>62672.3+585</f>
        <v>63257.3</v>
      </c>
      <c r="E30" s="433">
        <f>335+2</f>
        <v>337</v>
      </c>
      <c r="F30" s="754"/>
      <c r="G30" s="507"/>
      <c r="H30" s="316"/>
      <c r="I30" s="40"/>
      <c r="J30" s="39"/>
    </row>
    <row r="31" spans="1:10" s="710" customFormat="1" ht="12.2" customHeight="1">
      <c r="A31" s="579" t="s">
        <v>821</v>
      </c>
      <c r="B31" s="389">
        <v>6306.86</v>
      </c>
      <c r="C31" s="389">
        <v>18421.802</v>
      </c>
      <c r="D31" s="389">
        <f>62768.883+585</f>
        <v>63353.883000000002</v>
      </c>
      <c r="E31" s="388">
        <f>336+2</f>
        <v>338</v>
      </c>
      <c r="F31" s="754"/>
      <c r="G31" s="507"/>
      <c r="H31" s="316"/>
      <c r="I31" s="40"/>
      <c r="J31" s="39"/>
    </row>
    <row r="32" spans="1:10" s="710" customFormat="1" ht="12.2" customHeight="1">
      <c r="A32" s="593" t="s">
        <v>814</v>
      </c>
      <c r="B32" s="434">
        <v>6244.52</v>
      </c>
      <c r="C32" s="434">
        <v>9238.2749999999996</v>
      </c>
      <c r="D32" s="434">
        <f>63936.603+585</f>
        <v>64521.603000000003</v>
      </c>
      <c r="E32" s="433">
        <f>338+2</f>
        <v>340</v>
      </c>
      <c r="F32" s="754"/>
      <c r="G32" s="507"/>
      <c r="H32" s="316"/>
      <c r="I32" s="40"/>
      <c r="J32" s="39"/>
    </row>
    <row r="33" spans="1:10" s="710" customFormat="1" ht="12.2" customHeight="1">
      <c r="A33" s="579" t="s">
        <v>822</v>
      </c>
      <c r="B33" s="389">
        <v>6039.78</v>
      </c>
      <c r="C33" s="389">
        <v>10072.161</v>
      </c>
      <c r="D33" s="389">
        <f>64267.2+300</f>
        <v>64567.199999999997</v>
      </c>
      <c r="E33" s="388">
        <f>338+1</f>
        <v>339</v>
      </c>
      <c r="F33" s="754"/>
      <c r="G33" s="507"/>
      <c r="H33" s="316"/>
      <c r="I33" s="40"/>
      <c r="J33" s="39"/>
    </row>
    <row r="34" spans="1:10" s="710" customFormat="1" ht="12.2" customHeight="1">
      <c r="A34" s="593" t="s">
        <v>823</v>
      </c>
      <c r="B34" s="434">
        <v>5804.94</v>
      </c>
      <c r="C34" s="434">
        <v>7679.69</v>
      </c>
      <c r="D34" s="434">
        <f>64276.649+300</f>
        <v>64576.648999999998</v>
      </c>
      <c r="E34" s="433">
        <f>338+1</f>
        <v>339</v>
      </c>
      <c r="F34" s="754"/>
      <c r="G34" s="507"/>
      <c r="H34" s="316"/>
      <c r="I34" s="40"/>
      <c r="J34" s="39"/>
    </row>
    <row r="35" spans="1:10" s="710" customFormat="1" ht="12.2" customHeight="1">
      <c r="A35" s="579" t="s">
        <v>815</v>
      </c>
      <c r="B35" s="389">
        <v>5597.44</v>
      </c>
      <c r="C35" s="389">
        <v>6714.9409999999998</v>
      </c>
      <c r="D35" s="389">
        <f>64549.1+300</f>
        <v>64849.1</v>
      </c>
      <c r="E35" s="388">
        <f>340+1</f>
        <v>341</v>
      </c>
      <c r="F35" s="754"/>
      <c r="G35" s="507"/>
      <c r="H35" s="316"/>
      <c r="I35" s="40"/>
      <c r="J35" s="39"/>
    </row>
    <row r="36" spans="1:10" s="710" customFormat="1" ht="12.2" customHeight="1">
      <c r="A36" s="593" t="s">
        <v>824</v>
      </c>
      <c r="B36" s="434">
        <v>5739.23</v>
      </c>
      <c r="C36" s="434">
        <v>11494.731</v>
      </c>
      <c r="D36" s="434">
        <f>64915.3+300</f>
        <v>65215.3</v>
      </c>
      <c r="E36" s="433">
        <f>341+1</f>
        <v>342</v>
      </c>
      <c r="F36" s="754"/>
      <c r="G36" s="507"/>
      <c r="H36" s="316"/>
      <c r="I36" s="40"/>
      <c r="J36" s="39"/>
    </row>
    <row r="37" spans="1:10" s="710" customFormat="1" ht="12.2" customHeight="1">
      <c r="A37" s="579" t="s">
        <v>825</v>
      </c>
      <c r="B37" s="389">
        <v>5343.88</v>
      </c>
      <c r="C37" s="389">
        <v>9667.634</v>
      </c>
      <c r="D37" s="389">
        <f>65621.8+300</f>
        <v>65921.8</v>
      </c>
      <c r="E37" s="388">
        <f>342+1</f>
        <v>343</v>
      </c>
      <c r="F37" s="754"/>
      <c r="G37" s="507"/>
      <c r="H37" s="316"/>
      <c r="I37" s="40"/>
      <c r="J37" s="39"/>
    </row>
    <row r="38" spans="1:10" s="710" customFormat="1" ht="12.2" customHeight="1">
      <c r="A38" s="593" t="s">
        <v>816</v>
      </c>
      <c r="B38" s="434">
        <v>5405.46</v>
      </c>
      <c r="C38" s="434">
        <v>9635.7009999999991</v>
      </c>
      <c r="D38" s="434">
        <f>66771.9+300</f>
        <v>67071.899999999994</v>
      </c>
      <c r="E38" s="433">
        <f>342+1</f>
        <v>343</v>
      </c>
      <c r="F38" s="754"/>
      <c r="G38" s="507"/>
      <c r="H38" s="316"/>
      <c r="I38" s="40"/>
      <c r="J38" s="39"/>
    </row>
    <row r="39" spans="1:10" s="710" customFormat="1" ht="12.2" customHeight="1">
      <c r="A39" s="738" t="s">
        <v>2524</v>
      </c>
      <c r="B39" s="389"/>
      <c r="C39" s="389"/>
      <c r="D39" s="389"/>
      <c r="E39" s="388"/>
      <c r="F39" s="754"/>
      <c r="G39" s="507"/>
      <c r="H39" s="316"/>
      <c r="I39" s="40"/>
      <c r="J39" s="39"/>
    </row>
    <row r="40" spans="1:10" s="710" customFormat="1" ht="12.2" customHeight="1">
      <c r="A40" s="593" t="s">
        <v>818</v>
      </c>
      <c r="B40" s="434">
        <v>5302.64</v>
      </c>
      <c r="C40" s="434">
        <v>18676.947</v>
      </c>
      <c r="D40" s="434">
        <f>67113.716+300</f>
        <v>67413.716</v>
      </c>
      <c r="E40" s="433">
        <f>342+1</f>
        <v>343</v>
      </c>
      <c r="F40" s="754"/>
      <c r="G40" s="507"/>
      <c r="H40" s="316"/>
      <c r="I40" s="40"/>
      <c r="J40" s="39"/>
    </row>
    <row r="41" spans="1:10" s="710" customFormat="1" ht="12.2" customHeight="1">
      <c r="A41" s="579" t="s">
        <v>819</v>
      </c>
      <c r="B41" s="389">
        <v>5600.64</v>
      </c>
      <c r="C41" s="389">
        <v>11495.259</v>
      </c>
      <c r="D41" s="389">
        <f>67214.5+300</f>
        <v>67514.5</v>
      </c>
      <c r="E41" s="388">
        <f>343+1</f>
        <v>344</v>
      </c>
      <c r="F41" s="754"/>
      <c r="G41" s="507"/>
      <c r="H41" s="316"/>
      <c r="I41" s="40"/>
      <c r="J41" s="39"/>
    </row>
    <row r="42" spans="1:10" s="710" customFormat="1" ht="12.2" customHeight="1">
      <c r="A42" s="593" t="s">
        <v>813</v>
      </c>
      <c r="B42" s="434">
        <v>5368.96</v>
      </c>
      <c r="C42" s="434">
        <v>14810.267</v>
      </c>
      <c r="D42" s="434">
        <f>67655.4+300</f>
        <v>67955.399999999994</v>
      </c>
      <c r="E42" s="433">
        <f>345+1</f>
        <v>346</v>
      </c>
      <c r="F42" s="754"/>
      <c r="G42" s="507"/>
      <c r="H42" s="316"/>
      <c r="I42" s="40"/>
      <c r="J42" s="39"/>
    </row>
    <row r="43" spans="1:10" s="710" customFormat="1" ht="12.2" customHeight="1">
      <c r="A43" s="579" t="s">
        <v>820</v>
      </c>
      <c r="B43" s="389">
        <v>5284.13</v>
      </c>
      <c r="C43" s="389">
        <v>12737.053</v>
      </c>
      <c r="D43" s="389">
        <f>67997.9+300</f>
        <v>68297.899999999994</v>
      </c>
      <c r="E43" s="388">
        <f>347+1</f>
        <v>348</v>
      </c>
      <c r="F43" s="754"/>
      <c r="G43" s="507"/>
      <c r="H43" s="316"/>
      <c r="I43" s="40"/>
      <c r="J43" s="39"/>
    </row>
    <row r="44" spans="1:10" s="710" customFormat="1" ht="12.2" customHeight="1">
      <c r="A44" s="593" t="s">
        <v>821</v>
      </c>
      <c r="B44" s="434">
        <v>5281.25</v>
      </c>
      <c r="C44" s="434">
        <v>11673.793</v>
      </c>
      <c r="D44" s="434">
        <f>68183+300</f>
        <v>68483</v>
      </c>
      <c r="E44" s="433">
        <f>348+1</f>
        <v>349</v>
      </c>
      <c r="F44" s="754"/>
      <c r="G44" s="507"/>
      <c r="H44" s="316"/>
      <c r="I44" s="40"/>
      <c r="J44" s="39"/>
    </row>
    <row r="45" spans="1:10" s="710" customFormat="1" ht="12.2" customHeight="1">
      <c r="A45" s="579" t="s">
        <v>814</v>
      </c>
      <c r="B45" s="389">
        <v>5385.64</v>
      </c>
      <c r="C45" s="389">
        <v>8705.6419999999998</v>
      </c>
      <c r="D45" s="389">
        <f>69106.1+300</f>
        <v>69406.100000000006</v>
      </c>
      <c r="E45" s="388">
        <f>348+1</f>
        <v>349</v>
      </c>
      <c r="F45" s="754"/>
      <c r="G45" s="507"/>
      <c r="H45" s="316"/>
      <c r="I45" s="40"/>
      <c r="J45" s="39"/>
    </row>
    <row r="46" spans="1:10" s="710" customFormat="1" ht="12.2" customHeight="1">
      <c r="A46" s="593" t="s">
        <v>822</v>
      </c>
      <c r="B46" s="434">
        <v>5821.01</v>
      </c>
      <c r="C46" s="434">
        <v>22347.945</v>
      </c>
      <c r="D46" s="434">
        <f>69358.3+300</f>
        <v>69658.3</v>
      </c>
      <c r="E46" s="433">
        <f>349+1</f>
        <v>350</v>
      </c>
      <c r="F46" s="754"/>
      <c r="G46" s="507"/>
      <c r="H46" s="316"/>
      <c r="I46" s="40"/>
      <c r="J46" s="39"/>
    </row>
    <row r="47" spans="1:10" s="710" customFormat="1" ht="12.2" customHeight="1">
      <c r="A47" s="579" t="s">
        <v>823</v>
      </c>
      <c r="B47" s="389">
        <v>5711.83</v>
      </c>
      <c r="C47" s="389">
        <v>13779.138000000001</v>
      </c>
      <c r="D47" s="389">
        <f>69439.9+300</f>
        <v>69739.899999999994</v>
      </c>
      <c r="E47" s="388">
        <f>350+1</f>
        <v>351</v>
      </c>
      <c r="F47" s="754"/>
      <c r="G47" s="507"/>
      <c r="H47" s="316"/>
      <c r="I47" s="40"/>
      <c r="J47" s="39"/>
    </row>
    <row r="48" spans="1:10" s="710" customFormat="1" ht="12.2" customHeight="1">
      <c r="A48" s="593" t="s">
        <v>815</v>
      </c>
      <c r="B48" s="434">
        <v>5491.91</v>
      </c>
      <c r="C48" s="434">
        <v>9391.7849999999999</v>
      </c>
      <c r="D48" s="434">
        <f>69560.2+300</f>
        <v>69860.2</v>
      </c>
      <c r="E48" s="433">
        <f>351+1</f>
        <v>352</v>
      </c>
      <c r="F48" s="754"/>
      <c r="G48" s="507"/>
      <c r="H48" s="316"/>
      <c r="I48" s="40"/>
      <c r="J48" s="39"/>
    </row>
    <row r="49" spans="1:10" s="710" customFormat="1" ht="12.2" customHeight="1" thickBot="1">
      <c r="A49" s="1664" t="s">
        <v>824</v>
      </c>
      <c r="B49" s="1405">
        <v>5202.8500000000004</v>
      </c>
      <c r="C49" s="1405">
        <v>6981.5720000000001</v>
      </c>
      <c r="D49" s="1405">
        <f>70397.4+300</f>
        <v>70697.399999999994</v>
      </c>
      <c r="E49" s="675">
        <f>352+1</f>
        <v>353</v>
      </c>
      <c r="F49" s="754"/>
      <c r="G49" s="507"/>
      <c r="H49" s="316"/>
      <c r="I49" s="40"/>
      <c r="J49" s="39"/>
    </row>
    <row r="50" spans="1:10" s="710" customFormat="1" ht="12" customHeight="1">
      <c r="A50" s="356" t="s">
        <v>2352</v>
      </c>
      <c r="B50" s="38"/>
      <c r="C50" s="38"/>
      <c r="D50" s="38"/>
      <c r="E50" s="38"/>
      <c r="F50" s="754"/>
      <c r="G50" s="507"/>
      <c r="H50" s="316"/>
      <c r="I50" s="40"/>
      <c r="J50" s="39"/>
    </row>
    <row r="51" spans="1:10" s="100" customFormat="1" ht="11.25" customHeight="1">
      <c r="A51" s="150" t="s">
        <v>2351</v>
      </c>
      <c r="B51" s="38"/>
      <c r="C51" s="40"/>
      <c r="D51" s="329"/>
      <c r="E51" s="329"/>
      <c r="F51" s="754"/>
      <c r="G51" s="507"/>
      <c r="H51" s="316"/>
      <c r="I51" s="40"/>
      <c r="J51" s="39"/>
    </row>
    <row r="52" spans="1:10" s="100" customFormat="1" ht="10.5" customHeight="1">
      <c r="F52" s="754"/>
      <c r="G52" s="507"/>
      <c r="H52" s="316"/>
      <c r="I52" s="40"/>
      <c r="J52" s="39"/>
    </row>
    <row r="53" spans="1:10" s="100" customFormat="1" ht="8.85" customHeight="1">
      <c r="F53" s="754"/>
      <c r="G53" s="507"/>
      <c r="H53" s="316"/>
      <c r="I53" s="40"/>
      <c r="J53" s="39"/>
    </row>
    <row r="54" spans="1:10" s="100" customFormat="1" ht="8.85" customHeight="1">
      <c r="F54" s="754"/>
      <c r="G54" s="507"/>
      <c r="H54" s="316"/>
      <c r="I54" s="40"/>
      <c r="J54" s="39"/>
    </row>
    <row r="55" spans="1:10" s="100" customFormat="1" ht="9" customHeight="1">
      <c r="F55" s="754"/>
      <c r="G55" s="507"/>
      <c r="H55" s="316"/>
      <c r="I55" s="40"/>
      <c r="J55" s="39"/>
    </row>
    <row r="56" spans="1:10" s="100" customFormat="1" ht="8.85" customHeight="1">
      <c r="F56" s="754"/>
      <c r="G56" s="507"/>
      <c r="H56" s="316"/>
      <c r="I56" s="40"/>
      <c r="J56" s="39"/>
    </row>
    <row r="57" spans="1:10" s="100" customFormat="1" ht="8.85" customHeight="1">
      <c r="F57" s="754"/>
      <c r="G57" s="507"/>
      <c r="H57" s="812"/>
      <c r="I57" s="40"/>
      <c r="J57" s="39"/>
    </row>
    <row r="58" spans="1:10" s="100" customFormat="1" ht="8.85" customHeight="1">
      <c r="F58" s="754"/>
      <c r="G58" s="507"/>
      <c r="H58" s="812"/>
      <c r="I58" s="40"/>
      <c r="J58" s="39"/>
    </row>
    <row r="59" spans="1:10" s="100" customFormat="1" ht="8.85" customHeight="1">
      <c r="F59" s="754"/>
      <c r="G59" s="507"/>
      <c r="H59" s="316"/>
      <c r="I59" s="40"/>
      <c r="J59" s="39"/>
    </row>
    <row r="60" spans="1:10" s="100" customFormat="1" ht="8.85" customHeight="1">
      <c r="F60" s="754"/>
      <c r="G60" s="507"/>
      <c r="H60" s="316"/>
      <c r="I60" s="40"/>
      <c r="J60" s="39"/>
    </row>
    <row r="61" spans="1:10" s="100" customFormat="1" ht="8.85" customHeight="1">
      <c r="F61" s="754"/>
      <c r="G61" s="507"/>
      <c r="H61" s="316"/>
      <c r="I61" s="40"/>
      <c r="J61" s="39"/>
    </row>
    <row r="62" spans="1:10" s="100" customFormat="1" ht="9.9499999999999993" customHeight="1">
      <c r="F62" s="754"/>
      <c r="G62" s="507"/>
      <c r="H62" s="316"/>
      <c r="I62" s="40"/>
      <c r="J62" s="39"/>
    </row>
    <row r="63" spans="1:10" s="100" customFormat="1" ht="9.9499999999999993" customHeight="1">
      <c r="F63" s="754"/>
      <c r="G63" s="507"/>
      <c r="H63" s="316"/>
      <c r="I63" s="40"/>
      <c r="J63" s="39"/>
    </row>
    <row r="64" spans="1:10" s="100" customFormat="1" ht="9.9499999999999993" customHeight="1">
      <c r="F64" s="754"/>
      <c r="G64" s="507"/>
      <c r="H64" s="316"/>
      <c r="I64" s="40"/>
      <c r="J64" s="39"/>
    </row>
    <row r="65" spans="1:10" s="100" customFormat="1" ht="11.1" customHeight="1">
      <c r="F65" s="754"/>
      <c r="G65" s="39"/>
      <c r="H65" s="316"/>
      <c r="I65" s="40"/>
      <c r="J65" s="39"/>
    </row>
    <row r="66" spans="1:10" s="100" customFormat="1" ht="11.1" customHeight="1">
      <c r="F66" s="754"/>
      <c r="G66" s="39"/>
      <c r="H66" s="316"/>
      <c r="I66" s="40"/>
      <c r="J66" s="39"/>
    </row>
    <row r="67" spans="1:10" s="100" customFormat="1" ht="11.1" customHeight="1">
      <c r="F67" s="754"/>
      <c r="G67" s="39"/>
      <c r="H67" s="316"/>
      <c r="I67" s="40"/>
      <c r="J67" s="39"/>
    </row>
    <row r="68" spans="1:10" s="100" customFormat="1" ht="11.1" customHeight="1">
      <c r="A68" s="710"/>
      <c r="B68" s="710"/>
      <c r="C68" s="710"/>
      <c r="D68" s="710"/>
      <c r="E68" s="710"/>
      <c r="F68" s="754"/>
      <c r="G68" s="39"/>
      <c r="H68" s="316"/>
      <c r="I68" s="40"/>
      <c r="J68" s="39"/>
    </row>
    <row r="69" spans="1:10" s="710" customFormat="1" ht="11.1" customHeight="1">
      <c r="A69" s="2"/>
      <c r="B69" s="2"/>
      <c r="C69" s="2"/>
      <c r="D69" s="2"/>
      <c r="E69" s="2"/>
      <c r="F69" s="754"/>
      <c r="G69" s="507"/>
      <c r="H69" s="507"/>
      <c r="I69" s="40"/>
      <c r="J69" s="39"/>
    </row>
    <row r="70" spans="1:10" ht="11.1" customHeight="1">
      <c r="B70" s="2"/>
      <c r="C70" s="2"/>
      <c r="D70" s="2"/>
      <c r="E70" s="2"/>
      <c r="F70" s="754"/>
      <c r="G70" s="507"/>
      <c r="H70" s="507"/>
      <c r="I70" s="40"/>
      <c r="J70" s="39"/>
    </row>
    <row r="71" spans="1:10" ht="11.1" customHeight="1">
      <c r="A71" s="143"/>
      <c r="B71" s="144"/>
      <c r="C71" s="144"/>
      <c r="D71" s="149"/>
      <c r="E71" s="72"/>
      <c r="F71" s="754"/>
      <c r="G71" s="507"/>
      <c r="H71" s="507"/>
      <c r="I71" s="40"/>
      <c r="J71" s="39"/>
    </row>
    <row r="72" spans="1:10">
      <c r="A72" s="147"/>
      <c r="B72" s="148"/>
      <c r="C72" s="148"/>
      <c r="D72" s="149"/>
      <c r="E72" s="116"/>
      <c r="F72" s="754"/>
      <c r="G72" s="507"/>
      <c r="H72" s="507"/>
      <c r="I72" s="40"/>
      <c r="J72" s="39"/>
    </row>
    <row r="73" spans="1:10">
      <c r="A73" s="147"/>
      <c r="B73" s="148"/>
      <c r="C73" s="148"/>
      <c r="D73" s="149"/>
      <c r="E73" s="116"/>
      <c r="F73" s="754"/>
      <c r="G73" s="507"/>
      <c r="H73" s="507"/>
      <c r="I73" s="40"/>
      <c r="J73" s="39"/>
    </row>
    <row r="74" spans="1:10">
      <c r="A74" s="147"/>
      <c r="B74" s="148"/>
      <c r="C74" s="148"/>
      <c r="D74" s="149"/>
      <c r="E74" s="116"/>
      <c r="F74" s="754"/>
      <c r="G74" s="507"/>
      <c r="H74" s="507"/>
      <c r="I74" s="40"/>
      <c r="J74" s="39"/>
    </row>
    <row r="75" spans="1:10">
      <c r="A75" s="147"/>
      <c r="B75" s="148"/>
      <c r="C75" s="148"/>
      <c r="D75" s="149"/>
      <c r="E75" s="116"/>
      <c r="F75" s="754"/>
      <c r="G75" s="507"/>
      <c r="H75" s="507"/>
      <c r="I75" s="40"/>
      <c r="J75" s="39"/>
    </row>
    <row r="76" spans="1:10">
      <c r="A76" s="147"/>
      <c r="B76" s="148"/>
      <c r="C76" s="148"/>
      <c r="D76" s="149"/>
      <c r="E76" s="116"/>
      <c r="F76" s="754"/>
      <c r="G76" s="507"/>
      <c r="H76" s="507"/>
      <c r="I76" s="40"/>
      <c r="J76" s="39"/>
    </row>
    <row r="77" spans="1:10">
      <c r="A77" s="147"/>
      <c r="B77" s="148"/>
      <c r="C77" s="148"/>
      <c r="D77" s="149"/>
      <c r="E77" s="116"/>
      <c r="F77" s="754"/>
      <c r="G77" s="507"/>
      <c r="H77" s="507"/>
      <c r="I77" s="40"/>
      <c r="J77" s="39"/>
    </row>
    <row r="78" spans="1:10">
      <c r="A78" s="147"/>
      <c r="B78" s="148"/>
      <c r="C78" s="148"/>
      <c r="D78" s="149"/>
      <c r="E78" s="116"/>
      <c r="F78" s="642"/>
      <c r="G78" s="710"/>
      <c r="H78" s="710"/>
      <c r="I78" s="710"/>
      <c r="J78" s="710"/>
    </row>
    <row r="79" spans="1:10">
      <c r="A79" s="147"/>
      <c r="B79" s="148"/>
      <c r="C79" s="148"/>
      <c r="D79" s="149"/>
      <c r="E79" s="116"/>
      <c r="F79" s="642"/>
      <c r="G79" s="710"/>
      <c r="H79" s="710"/>
      <c r="I79" s="710"/>
      <c r="J79" s="710"/>
    </row>
    <row r="80" spans="1:10">
      <c r="A80" s="147"/>
      <c r="B80" s="148"/>
      <c r="C80" s="148"/>
      <c r="D80" s="149"/>
      <c r="E80" s="116"/>
      <c r="F80" s="642"/>
      <c r="G80" s="710"/>
      <c r="H80" s="710"/>
      <c r="I80" s="710"/>
      <c r="J80" s="710"/>
    </row>
    <row r="81" spans="1:10">
      <c r="A81" s="147"/>
      <c r="B81" s="148"/>
      <c r="C81" s="148"/>
      <c r="D81" s="149"/>
      <c r="E81" s="116"/>
      <c r="F81" s="642"/>
      <c r="G81" s="710"/>
      <c r="H81" s="710"/>
      <c r="I81" s="710"/>
      <c r="J81" s="710"/>
    </row>
    <row r="82" spans="1:10">
      <c r="A82" s="147"/>
      <c r="B82" s="148"/>
      <c r="C82" s="148"/>
      <c r="D82" s="149"/>
      <c r="E82" s="116"/>
      <c r="F82" s="642"/>
      <c r="G82" s="710"/>
      <c r="H82" s="710"/>
      <c r="I82" s="710"/>
      <c r="J82" s="710"/>
    </row>
    <row r="83" spans="1:10">
      <c r="F83" s="642"/>
      <c r="G83" s="710"/>
      <c r="H83" s="710"/>
      <c r="I83" s="710"/>
      <c r="J83" s="710"/>
    </row>
    <row r="84" spans="1:10">
      <c r="F84" s="642"/>
      <c r="G84" s="710"/>
      <c r="H84" s="710"/>
      <c r="I84" s="710"/>
      <c r="J84" s="710"/>
    </row>
    <row r="85" spans="1:10">
      <c r="F85" s="642"/>
      <c r="G85" s="710"/>
      <c r="H85" s="710"/>
      <c r="I85" s="710"/>
      <c r="J85" s="710"/>
    </row>
    <row r="86" spans="1:10">
      <c r="F86" s="642"/>
      <c r="G86" s="710"/>
      <c r="H86" s="710"/>
      <c r="I86" s="710"/>
      <c r="J86" s="710"/>
    </row>
    <row r="87" spans="1:10">
      <c r="A87" s="147"/>
      <c r="B87" s="144"/>
      <c r="C87" s="148"/>
      <c r="D87" s="149"/>
      <c r="E87" s="116"/>
      <c r="F87" s="642"/>
      <c r="G87" s="710"/>
      <c r="H87" s="710"/>
      <c r="I87" s="710"/>
      <c r="J87" s="710"/>
    </row>
    <row r="88" spans="1:10">
      <c r="A88" s="147"/>
      <c r="B88" s="144"/>
      <c r="C88" s="148"/>
      <c r="D88" s="149"/>
      <c r="E88" s="116"/>
      <c r="F88" s="642"/>
      <c r="G88" s="710"/>
      <c r="H88" s="710"/>
      <c r="I88" s="710"/>
      <c r="J88" s="710"/>
    </row>
    <row r="89" spans="1:10">
      <c r="A89" s="147"/>
      <c r="B89" s="148"/>
      <c r="C89" s="144"/>
      <c r="D89" s="149"/>
      <c r="E89" s="116"/>
      <c r="F89" s="642"/>
      <c r="G89" s="710"/>
      <c r="H89" s="710"/>
      <c r="I89" s="710"/>
      <c r="J89" s="710"/>
    </row>
    <row r="90" spans="1:10">
      <c r="A90" s="147"/>
      <c r="B90" s="148"/>
      <c r="C90" s="148"/>
      <c r="D90" s="149"/>
      <c r="E90" s="116"/>
      <c r="F90" s="642"/>
      <c r="G90" s="710"/>
      <c r="H90" s="710"/>
      <c r="I90" s="710"/>
      <c r="J90" s="710"/>
    </row>
    <row r="91" spans="1:10">
      <c r="A91" s="147"/>
      <c r="B91" s="144"/>
      <c r="C91" s="148"/>
      <c r="D91" s="149"/>
      <c r="E91" s="116"/>
      <c r="G91" s="710"/>
      <c r="H91" s="710"/>
      <c r="I91" s="710"/>
      <c r="J91" s="710"/>
    </row>
    <row r="92" spans="1:10">
      <c r="A92" s="147"/>
      <c r="B92" s="116"/>
      <c r="C92" s="148"/>
      <c r="D92" s="149"/>
      <c r="E92" s="116"/>
      <c r="G92" s="710"/>
      <c r="H92" s="710"/>
      <c r="I92" s="710"/>
      <c r="J92" s="710"/>
    </row>
    <row r="93" spans="1:10">
      <c r="A93" s="147"/>
      <c r="B93" s="72"/>
      <c r="C93" s="144"/>
      <c r="D93" s="149"/>
      <c r="E93" s="116"/>
      <c r="G93" s="710"/>
      <c r="H93" s="710"/>
      <c r="I93" s="710"/>
      <c r="J93" s="710"/>
    </row>
    <row r="94" spans="1:10">
      <c r="G94" s="710"/>
      <c r="H94" s="710"/>
      <c r="I94" s="710"/>
      <c r="J94" s="710"/>
    </row>
    <row r="95" spans="1:10">
      <c r="A95" s="147"/>
      <c r="B95" s="149"/>
      <c r="C95" s="149"/>
      <c r="D95" s="149"/>
      <c r="E95" s="116"/>
      <c r="G95" s="710"/>
      <c r="H95" s="710"/>
      <c r="I95" s="710"/>
      <c r="J95" s="710"/>
    </row>
    <row r="96" spans="1:10">
      <c r="A96" s="147"/>
      <c r="B96" s="149"/>
      <c r="C96" s="149"/>
      <c r="D96" s="149"/>
      <c r="E96" s="116"/>
      <c r="G96" s="710"/>
      <c r="H96" s="710"/>
      <c r="I96" s="710"/>
      <c r="J96" s="710"/>
    </row>
    <row r="97" spans="1:10">
      <c r="G97" s="710"/>
      <c r="H97" s="710"/>
      <c r="I97" s="710"/>
      <c r="J97" s="710"/>
    </row>
    <row r="98" spans="1:10">
      <c r="A98" s="147"/>
      <c r="B98" s="2"/>
      <c r="C98" s="2"/>
      <c r="D98" s="149"/>
      <c r="E98" s="116"/>
      <c r="G98" s="710"/>
      <c r="H98" s="710"/>
      <c r="I98" s="710"/>
      <c r="J98" s="710"/>
    </row>
    <row r="99" spans="1:10">
      <c r="A99" s="147"/>
      <c r="B99" s="116"/>
      <c r="C99" s="116"/>
      <c r="D99" s="149"/>
      <c r="E99" s="116"/>
      <c r="G99" s="710"/>
      <c r="H99" s="710"/>
      <c r="I99" s="710"/>
      <c r="J99" s="710"/>
    </row>
    <row r="100" spans="1:10">
      <c r="G100" s="710"/>
      <c r="H100" s="710"/>
      <c r="I100" s="710"/>
      <c r="J100" s="710"/>
    </row>
    <row r="101" spans="1:10">
      <c r="A101" s="147"/>
      <c r="B101" s="116"/>
      <c r="C101" s="116"/>
      <c r="D101" s="149"/>
      <c r="E101" s="116"/>
      <c r="G101" s="710"/>
      <c r="H101" s="710"/>
      <c r="I101" s="710"/>
      <c r="J101" s="710"/>
    </row>
    <row r="102" spans="1:10">
      <c r="A102" s="147"/>
      <c r="B102" s="116"/>
      <c r="C102" s="116"/>
      <c r="D102" s="149"/>
      <c r="E102" s="116"/>
      <c r="G102" s="710"/>
      <c r="H102" s="710"/>
      <c r="I102" s="710"/>
      <c r="J102" s="710"/>
    </row>
    <row r="103" spans="1:10">
      <c r="G103" s="710"/>
      <c r="H103" s="710"/>
      <c r="I103" s="710"/>
      <c r="J103" s="710"/>
    </row>
    <row r="104" spans="1:10">
      <c r="A104" s="147"/>
      <c r="B104" s="116"/>
      <c r="C104" s="148"/>
      <c r="D104" s="149"/>
      <c r="E104" s="116"/>
      <c r="G104" s="710"/>
      <c r="H104" s="710"/>
      <c r="I104" s="710"/>
      <c r="J104" s="710"/>
    </row>
    <row r="105" spans="1:10">
      <c r="A105" s="147"/>
      <c r="B105" s="144"/>
      <c r="C105" s="72"/>
      <c r="D105" s="149"/>
      <c r="E105" s="116"/>
      <c r="G105" s="710"/>
      <c r="H105" s="710"/>
      <c r="I105" s="710"/>
      <c r="J105" s="710"/>
    </row>
    <row r="106" spans="1:10">
      <c r="A106" s="10"/>
      <c r="B106" s="38"/>
      <c r="C106" s="38"/>
      <c r="D106" s="38"/>
      <c r="E106" s="38"/>
      <c r="G106" s="710"/>
      <c r="H106" s="710"/>
      <c r="I106" s="710"/>
      <c r="J106" s="710"/>
    </row>
    <row r="107" spans="1:10">
      <c r="A107" s="10"/>
      <c r="B107" s="38"/>
      <c r="C107" s="38"/>
      <c r="D107" s="38"/>
      <c r="E107" s="38"/>
    </row>
    <row r="108" spans="1:10">
      <c r="C108" s="38"/>
      <c r="D108" s="38"/>
      <c r="E108" s="38"/>
    </row>
    <row r="109" spans="1:10">
      <c r="A109" s="10"/>
      <c r="B109" s="38"/>
      <c r="C109" s="38"/>
      <c r="D109" s="38"/>
      <c r="E109" s="38"/>
    </row>
    <row r="110" spans="1:10">
      <c r="A110" s="10"/>
      <c r="B110" s="38"/>
      <c r="C110" s="38"/>
      <c r="D110" s="38"/>
      <c r="E110" s="38"/>
    </row>
    <row r="111" spans="1:10">
      <c r="A111" s="10"/>
      <c r="B111" s="38"/>
      <c r="C111" s="38"/>
      <c r="D111" s="38"/>
      <c r="E111" s="38"/>
    </row>
  </sheetData>
  <mergeCells count="2">
    <mergeCell ref="A1:E1"/>
    <mergeCell ref="F1:I1"/>
  </mergeCells>
  <phoneticPr fontId="46" type="noConversion"/>
  <pageMargins left="0.59055118110236204" right="0.511811023622047" top="0.511811023622047" bottom="0.511811023622047" header="0.25" footer="0"/>
  <pageSetup paperSize="448" firstPageNumber="52" orientation="portrait" useFirstPageNumber="1" r:id="rId1"/>
  <headerFooter>
    <oddFooter>&amp;C&amp;"Times New Roman,Regular"&amp;8&amp;P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24"/>
  <dimension ref="A1:R66"/>
  <sheetViews>
    <sheetView zoomScale="160" zoomScaleNormal="160" workbookViewId="0">
      <pane xSplit="1" ySplit="4" topLeftCell="G47" activePane="bottomRight" state="frozen"/>
      <selection pane="topRight" activeCell="C1" sqref="C1"/>
      <selection pane="bottomLeft" activeCell="A5" sqref="A5"/>
      <selection pane="bottomRight" activeCell="Q55" sqref="Q55"/>
    </sheetView>
  </sheetViews>
  <sheetFormatPr defaultColWidth="9.140625" defaultRowHeight="11.25"/>
  <cols>
    <col min="1" max="1" width="8.28515625" style="23" customWidth="1"/>
    <col min="2" max="2" width="8.28515625" style="10" customWidth="1"/>
    <col min="3" max="3" width="9.28515625" style="10" customWidth="1"/>
    <col min="4" max="4" width="7.140625" style="10" customWidth="1"/>
    <col min="5" max="5" width="9.7109375" style="10" customWidth="1"/>
    <col min="6" max="6" width="8.5703125" style="10" customWidth="1"/>
    <col min="7" max="7" width="8.140625" style="10" customWidth="1"/>
    <col min="8" max="8" width="7.85546875" style="10" customWidth="1"/>
    <col min="9" max="9" width="8.42578125" style="10" customWidth="1"/>
    <col min="10" max="10" width="9.5703125" style="10" customWidth="1"/>
    <col min="11" max="11" width="7.140625" style="10" customWidth="1"/>
    <col min="12" max="14" width="7.7109375" style="10" customWidth="1"/>
    <col min="15" max="15" width="9.7109375" style="10" customWidth="1"/>
    <col min="16" max="16" width="7.85546875" style="10" customWidth="1"/>
    <col min="17" max="17" width="12.5703125" style="10" customWidth="1"/>
    <col min="18" max="18" width="9" style="10" customWidth="1"/>
    <col min="19" max="16384" width="9.140625" style="10"/>
  </cols>
  <sheetData>
    <row r="1" spans="1:18" s="151" customFormat="1" ht="12.75" customHeight="1">
      <c r="A1" s="2099" t="s">
        <v>913</v>
      </c>
      <c r="B1" s="2099"/>
      <c r="C1" s="2099"/>
      <c r="D1" s="2099"/>
      <c r="E1" s="2099"/>
      <c r="F1" s="2099"/>
      <c r="G1" s="2099"/>
      <c r="H1" s="2099"/>
      <c r="I1" s="2099"/>
      <c r="J1" s="2098" t="s">
        <v>2299</v>
      </c>
      <c r="K1" s="2098"/>
      <c r="L1" s="2098"/>
      <c r="M1" s="2098"/>
      <c r="N1" s="2098"/>
      <c r="O1" s="2098"/>
      <c r="P1" s="2098"/>
      <c r="Q1" s="2100" t="s">
        <v>1811</v>
      </c>
      <c r="R1" s="2100"/>
    </row>
    <row r="2" spans="1:18" s="29" customFormat="1" ht="10.5" customHeight="1">
      <c r="B2" s="154"/>
      <c r="C2" s="154"/>
      <c r="D2" s="154"/>
      <c r="E2" s="154"/>
      <c r="F2" s="154"/>
      <c r="G2" s="154"/>
      <c r="J2" s="154"/>
      <c r="K2" s="154"/>
      <c r="L2" s="154"/>
      <c r="M2" s="154"/>
      <c r="N2" s="154"/>
      <c r="O2" s="154"/>
      <c r="P2" s="154"/>
      <c r="Q2" s="2104" t="s">
        <v>66</v>
      </c>
      <c r="R2" s="2104"/>
    </row>
    <row r="3" spans="1:18" s="153" customFormat="1" ht="12.75" customHeight="1">
      <c r="A3" s="2105" t="s">
        <v>733</v>
      </c>
      <c r="B3" s="2101" t="s">
        <v>2072</v>
      </c>
      <c r="C3" s="2102"/>
      <c r="D3" s="2102"/>
      <c r="E3" s="2102"/>
      <c r="F3" s="2102"/>
      <c r="G3" s="2102"/>
      <c r="H3" s="2102"/>
      <c r="I3" s="2102"/>
      <c r="J3" s="2102"/>
      <c r="K3" s="2102"/>
      <c r="L3" s="2102"/>
      <c r="M3" s="2102"/>
      <c r="N3" s="2102"/>
      <c r="O3" s="2102"/>
      <c r="P3" s="2102"/>
      <c r="Q3" s="2103"/>
      <c r="R3" s="2105" t="s">
        <v>1494</v>
      </c>
    </row>
    <row r="4" spans="1:18" s="102" customFormat="1" ht="39.75" customHeight="1">
      <c r="A4" s="2105"/>
      <c r="B4" s="27" t="s">
        <v>734</v>
      </c>
      <c r="C4" s="27" t="s">
        <v>278</v>
      </c>
      <c r="D4" s="27" t="s">
        <v>279</v>
      </c>
      <c r="E4" s="27" t="s">
        <v>104</v>
      </c>
      <c r="F4" s="1098" t="s">
        <v>2154</v>
      </c>
      <c r="G4" s="1098" t="s">
        <v>2153</v>
      </c>
      <c r="H4" s="27" t="s">
        <v>105</v>
      </c>
      <c r="I4" s="27" t="s">
        <v>763</v>
      </c>
      <c r="J4" s="1098" t="s">
        <v>2152</v>
      </c>
      <c r="K4" s="1098" t="s">
        <v>2155</v>
      </c>
      <c r="L4" s="1098" t="s">
        <v>2156</v>
      </c>
      <c r="M4" s="27" t="s">
        <v>107</v>
      </c>
      <c r="N4" s="27" t="s">
        <v>764</v>
      </c>
      <c r="O4" s="27" t="s">
        <v>286</v>
      </c>
      <c r="P4" s="27" t="s">
        <v>459</v>
      </c>
      <c r="Q4" s="27" t="s">
        <v>108</v>
      </c>
      <c r="R4" s="2105"/>
    </row>
    <row r="5" spans="1:18" ht="12.2" customHeight="1">
      <c r="A5" s="487" t="s">
        <v>549</v>
      </c>
      <c r="B5" s="440">
        <v>41640.400000000001</v>
      </c>
      <c r="C5" s="486" t="s">
        <v>481</v>
      </c>
      <c r="D5" s="440">
        <v>2827.4</v>
      </c>
      <c r="E5" s="440">
        <v>1963.5</v>
      </c>
      <c r="F5" s="440">
        <v>1288.8</v>
      </c>
      <c r="G5" s="440">
        <v>7310.3</v>
      </c>
      <c r="H5" s="440">
        <v>24.6</v>
      </c>
      <c r="I5" s="440">
        <v>1443.4</v>
      </c>
      <c r="J5" s="440">
        <v>8494.4</v>
      </c>
      <c r="K5" s="440">
        <v>52.6</v>
      </c>
      <c r="L5" s="440">
        <v>697.9</v>
      </c>
      <c r="M5" s="440">
        <v>4116.8999999999996</v>
      </c>
      <c r="N5" s="440">
        <v>5192.1000000000004</v>
      </c>
      <c r="O5" s="440" t="s">
        <v>481</v>
      </c>
      <c r="P5" s="440">
        <v>3829.9</v>
      </c>
      <c r="Q5" s="440">
        <f t="shared" ref="Q5" si="0">SUM(B5:P5)</f>
        <v>78882.2</v>
      </c>
      <c r="R5" s="488" t="s">
        <v>549</v>
      </c>
    </row>
    <row r="6" spans="1:18" s="253" customFormat="1" ht="12.2" customHeight="1">
      <c r="A6" s="769" t="s">
        <v>102</v>
      </c>
      <c r="B6" s="40">
        <v>38682.199999999997</v>
      </c>
      <c r="C6" s="1128" t="s">
        <v>481</v>
      </c>
      <c r="D6" s="40">
        <v>4090.1</v>
      </c>
      <c r="E6" s="40">
        <v>3948</v>
      </c>
      <c r="F6" s="40">
        <v>2124.8000000000002</v>
      </c>
      <c r="G6" s="40">
        <v>16645.400000000001</v>
      </c>
      <c r="H6" s="40">
        <v>33.9</v>
      </c>
      <c r="I6" s="40">
        <v>3225.2</v>
      </c>
      <c r="J6" s="40">
        <v>11548.9</v>
      </c>
      <c r="K6" s="40">
        <v>108.8</v>
      </c>
      <c r="L6" s="40">
        <v>2849.6</v>
      </c>
      <c r="M6" s="40">
        <v>4337.5</v>
      </c>
      <c r="N6" s="40">
        <v>5548.6</v>
      </c>
      <c r="O6" s="40" t="s">
        <v>481</v>
      </c>
      <c r="P6" s="40">
        <v>7000.3</v>
      </c>
      <c r="Q6" s="40">
        <v>100143.30000000002</v>
      </c>
      <c r="R6" s="1129" t="s">
        <v>102</v>
      </c>
    </row>
    <row r="7" spans="1:18" s="142" customFormat="1" ht="12.2" customHeight="1">
      <c r="A7" s="645" t="s">
        <v>98</v>
      </c>
      <c r="B7" s="434">
        <v>64408.3</v>
      </c>
      <c r="C7" s="646">
        <v>28352.9</v>
      </c>
      <c r="D7" s="434">
        <v>2723.1</v>
      </c>
      <c r="E7" s="434">
        <v>9507.7999999999993</v>
      </c>
      <c r="F7" s="434">
        <v>4335.1000000000004</v>
      </c>
      <c r="G7" s="434">
        <v>30142.7</v>
      </c>
      <c r="H7" s="434">
        <v>61.1</v>
      </c>
      <c r="I7" s="434">
        <v>6098</v>
      </c>
      <c r="J7" s="434">
        <v>16282.4</v>
      </c>
      <c r="K7" s="434">
        <v>85.9</v>
      </c>
      <c r="L7" s="434">
        <v>2684.7</v>
      </c>
      <c r="M7" s="434">
        <v>5476.9</v>
      </c>
      <c r="N7" s="434">
        <v>10591.1</v>
      </c>
      <c r="O7" s="434">
        <v>31826.6</v>
      </c>
      <c r="P7" s="434">
        <v>15064.2</v>
      </c>
      <c r="Q7" s="434">
        <v>227640.80000000005</v>
      </c>
      <c r="R7" s="647" t="s">
        <v>98</v>
      </c>
    </row>
    <row r="8" spans="1:18" s="382" customFormat="1" ht="12.2" customHeight="1">
      <c r="A8" s="875" t="s">
        <v>241</v>
      </c>
      <c r="B8" s="389">
        <v>68061.899999999994</v>
      </c>
      <c r="C8" s="876">
        <v>28715.5</v>
      </c>
      <c r="D8" s="389">
        <v>3595.5</v>
      </c>
      <c r="E8" s="389">
        <v>12054.8</v>
      </c>
      <c r="F8" s="389">
        <v>5342</v>
      </c>
      <c r="G8" s="389">
        <v>28931.4</v>
      </c>
      <c r="H8" s="389">
        <v>79</v>
      </c>
      <c r="I8" s="389">
        <v>8229.2000000000007</v>
      </c>
      <c r="J8" s="389">
        <v>18080.8</v>
      </c>
      <c r="K8" s="389">
        <v>90.6</v>
      </c>
      <c r="L8" s="389">
        <v>1871.8</v>
      </c>
      <c r="M8" s="389">
        <v>7703</v>
      </c>
      <c r="N8" s="389">
        <v>14010.4</v>
      </c>
      <c r="O8" s="389">
        <v>22131.4</v>
      </c>
      <c r="P8" s="389">
        <v>13804.3</v>
      </c>
      <c r="Q8" s="389">
        <v>232701.59999999998</v>
      </c>
      <c r="R8" s="877" t="s">
        <v>241</v>
      </c>
    </row>
    <row r="9" spans="1:18" s="142" customFormat="1" ht="12.2" customHeight="1">
      <c r="A9" s="645" t="s">
        <v>1142</v>
      </c>
      <c r="B9" s="434">
        <v>51238.6</v>
      </c>
      <c r="C9" s="646">
        <v>18987.8</v>
      </c>
      <c r="D9" s="434">
        <v>3588.1</v>
      </c>
      <c r="E9" s="434">
        <v>8631.4</v>
      </c>
      <c r="F9" s="434">
        <v>5117.6000000000004</v>
      </c>
      <c r="G9" s="434">
        <v>24813</v>
      </c>
      <c r="H9" s="434">
        <v>49.8</v>
      </c>
      <c r="I9" s="434">
        <v>4585</v>
      </c>
      <c r="J9" s="434">
        <v>16465.8</v>
      </c>
      <c r="K9" s="434">
        <v>48.8</v>
      </c>
      <c r="L9" s="434">
        <v>1187.3</v>
      </c>
      <c r="M9" s="434">
        <v>8386.2999999999993</v>
      </c>
      <c r="N9" s="434">
        <v>10716.9</v>
      </c>
      <c r="O9" s="434">
        <v>28924.3</v>
      </c>
      <c r="P9" s="434">
        <v>10503.380000000001</v>
      </c>
      <c r="Q9" s="434">
        <v>193244.07999999996</v>
      </c>
      <c r="R9" s="647" t="s">
        <v>1142</v>
      </c>
    </row>
    <row r="10" spans="1:18" s="382" customFormat="1" ht="12.2" customHeight="1">
      <c r="A10" s="875" t="s">
        <v>1333</v>
      </c>
      <c r="B10" s="389">
        <v>41710.1</v>
      </c>
      <c r="C10" s="876">
        <v>16994.599999999999</v>
      </c>
      <c r="D10" s="389">
        <v>4130.8</v>
      </c>
      <c r="E10" s="389">
        <v>9567</v>
      </c>
      <c r="F10" s="389">
        <v>8581.6</v>
      </c>
      <c r="G10" s="389">
        <v>29036.7</v>
      </c>
      <c r="H10" s="389">
        <v>49.5</v>
      </c>
      <c r="I10" s="389">
        <v>6418.5</v>
      </c>
      <c r="J10" s="389">
        <v>19754.099999999999</v>
      </c>
      <c r="K10" s="389">
        <v>32.9</v>
      </c>
      <c r="L10" s="389">
        <v>954.1</v>
      </c>
      <c r="M10" s="389">
        <v>9156.1</v>
      </c>
      <c r="N10" s="389">
        <v>10675.2</v>
      </c>
      <c r="O10" s="389">
        <v>27168.2</v>
      </c>
      <c r="P10" s="389">
        <v>13513.613000000001</v>
      </c>
      <c r="Q10" s="389">
        <v>197743.01300000004</v>
      </c>
      <c r="R10" s="877" t="s">
        <v>1333</v>
      </c>
    </row>
    <row r="11" spans="1:18" s="251" customFormat="1" ht="12.2" customHeight="1">
      <c r="A11" s="1167" t="s">
        <v>1664</v>
      </c>
      <c r="B11" s="440">
        <v>39281.1</v>
      </c>
      <c r="C11" s="440">
        <v>15318.1</v>
      </c>
      <c r="D11" s="440">
        <v>3431.1</v>
      </c>
      <c r="E11" s="440">
        <v>9860.7000000000007</v>
      </c>
      <c r="F11" s="440">
        <v>18418.5</v>
      </c>
      <c r="G11" s="440">
        <v>29365.5</v>
      </c>
      <c r="H11" s="440">
        <v>66.900000000000006</v>
      </c>
      <c r="I11" s="440">
        <v>8245.7999999999993</v>
      </c>
      <c r="J11" s="440">
        <v>30676.799999999999</v>
      </c>
      <c r="K11" s="440">
        <v>50.9</v>
      </c>
      <c r="L11" s="440">
        <v>1002.3</v>
      </c>
      <c r="M11" s="440">
        <v>15672.4</v>
      </c>
      <c r="N11" s="440">
        <v>9972.4</v>
      </c>
      <c r="O11" s="440">
        <v>43364.9</v>
      </c>
      <c r="P11" s="440">
        <v>13898.900999999998</v>
      </c>
      <c r="Q11" s="440">
        <v>238626.30099999998</v>
      </c>
      <c r="R11" s="1168" t="s">
        <v>1664</v>
      </c>
    </row>
    <row r="12" spans="1:18" s="251" customFormat="1" ht="12.2" customHeight="1">
      <c r="A12" s="813" t="s">
        <v>1754</v>
      </c>
      <c r="B12" s="389">
        <v>36607.300000000003</v>
      </c>
      <c r="C12" s="389">
        <v>15119.2</v>
      </c>
      <c r="D12" s="389">
        <v>2884.8</v>
      </c>
      <c r="E12" s="389">
        <v>13566.4</v>
      </c>
      <c r="F12" s="389">
        <v>23673.8</v>
      </c>
      <c r="G12" s="389">
        <v>38616.1</v>
      </c>
      <c r="H12" s="389">
        <v>71.099999999999994</v>
      </c>
      <c r="I12" s="389">
        <v>9181.1</v>
      </c>
      <c r="J12" s="389">
        <v>38646.1</v>
      </c>
      <c r="K12" s="389">
        <v>256.60000000000002</v>
      </c>
      <c r="L12" s="389">
        <v>2095.3000000000002</v>
      </c>
      <c r="M12" s="389">
        <v>19413.8</v>
      </c>
      <c r="N12" s="389">
        <v>7528.3</v>
      </c>
      <c r="O12" s="389">
        <v>46505.8</v>
      </c>
      <c r="P12" s="389">
        <v>16021.86</v>
      </c>
      <c r="Q12" s="389">
        <v>270187.56</v>
      </c>
      <c r="R12" s="800" t="s">
        <v>1754</v>
      </c>
    </row>
    <row r="13" spans="1:18" s="671" customFormat="1" ht="12.2" customHeight="1">
      <c r="A13" s="814" t="s">
        <v>1954</v>
      </c>
      <c r="B13" s="510">
        <v>39555.603000000003</v>
      </c>
      <c r="C13" s="510">
        <v>14567.243</v>
      </c>
      <c r="D13" s="510">
        <v>3028.4430000000002</v>
      </c>
      <c r="E13" s="510">
        <v>15529.823</v>
      </c>
      <c r="F13" s="510">
        <v>24410.638999999999</v>
      </c>
      <c r="G13" s="510">
        <v>35133.678</v>
      </c>
      <c r="H13" s="510">
        <v>79.346999999999994</v>
      </c>
      <c r="I13" s="510">
        <v>8184.8909999999996</v>
      </c>
      <c r="J13" s="510">
        <v>43424.767999999996</v>
      </c>
      <c r="K13" s="510">
        <v>150.286</v>
      </c>
      <c r="L13" s="510">
        <v>1834.0039999999999</v>
      </c>
      <c r="M13" s="510">
        <v>14872.710999999999</v>
      </c>
      <c r="N13" s="510">
        <v>7141.9579999999996</v>
      </c>
      <c r="O13" s="510">
        <v>36209.4</v>
      </c>
      <c r="P13" s="510">
        <v>17324.168000000005</v>
      </c>
      <c r="Q13" s="510">
        <v>261446.962</v>
      </c>
      <c r="R13" s="815" t="s">
        <v>1954</v>
      </c>
    </row>
    <row r="14" spans="1:18" s="251" customFormat="1" ht="12.2" customHeight="1">
      <c r="A14" s="936" t="s">
        <v>2046</v>
      </c>
      <c r="B14" s="523">
        <f>B26</f>
        <v>56058.838000000003</v>
      </c>
      <c r="C14" s="523">
        <f t="shared" ref="C14:Q14" si="1">C26</f>
        <v>23379.762999999999</v>
      </c>
      <c r="D14" s="523">
        <f t="shared" si="1"/>
        <v>4250.0659999999998</v>
      </c>
      <c r="E14" s="523">
        <f t="shared" si="1"/>
        <v>19062.416000000001</v>
      </c>
      <c r="F14" s="523">
        <f t="shared" si="1"/>
        <v>24719.441999999999</v>
      </c>
      <c r="G14" s="523">
        <f t="shared" si="1"/>
        <v>40486.985999999997</v>
      </c>
      <c r="H14" s="523">
        <f t="shared" si="1"/>
        <v>154.69</v>
      </c>
      <c r="I14" s="523">
        <f t="shared" si="1"/>
        <v>12634.067999999999</v>
      </c>
      <c r="J14" s="523">
        <f t="shared" si="1"/>
        <v>50185.283000000003</v>
      </c>
      <c r="K14" s="523">
        <f t="shared" si="1"/>
        <v>192.57</v>
      </c>
      <c r="L14" s="523">
        <f t="shared" si="1"/>
        <v>2533.12</v>
      </c>
      <c r="M14" s="523">
        <f t="shared" si="1"/>
        <v>13144.56</v>
      </c>
      <c r="N14" s="523">
        <f t="shared" si="1"/>
        <v>8648.9599999999991</v>
      </c>
      <c r="O14" s="523">
        <f t="shared" si="1"/>
        <v>48484.847999999998</v>
      </c>
      <c r="P14" s="523">
        <f t="shared" si="1"/>
        <v>20005.729999999996</v>
      </c>
      <c r="Q14" s="523">
        <f t="shared" si="1"/>
        <v>323941.33999999997</v>
      </c>
      <c r="R14" s="845" t="s">
        <v>2046</v>
      </c>
    </row>
    <row r="15" spans="1:18" s="671" customFormat="1" ht="12.2" customHeight="1">
      <c r="A15" s="826" t="s">
        <v>818</v>
      </c>
      <c r="B15" s="969">
        <v>41602.769999999997</v>
      </c>
      <c r="C15" s="969">
        <v>14249.442999999999</v>
      </c>
      <c r="D15" s="969">
        <v>3085.6770000000001</v>
      </c>
      <c r="E15" s="969">
        <v>15887.865</v>
      </c>
      <c r="F15" s="969">
        <v>23983.731</v>
      </c>
      <c r="G15" s="969">
        <v>34968.375</v>
      </c>
      <c r="H15" s="969">
        <v>99.575000000000003</v>
      </c>
      <c r="I15" s="969">
        <v>8135.4930000000004</v>
      </c>
      <c r="J15" s="969">
        <v>42977.13</v>
      </c>
      <c r="K15" s="969">
        <v>168.39500000000001</v>
      </c>
      <c r="L15" s="969">
        <v>1719.5119999999999</v>
      </c>
      <c r="M15" s="969">
        <v>13980.825000000001</v>
      </c>
      <c r="N15" s="969">
        <v>6993.1030000000001</v>
      </c>
      <c r="O15" s="969">
        <v>39113.165999999997</v>
      </c>
      <c r="P15" s="969">
        <f>2333.974+2295.216+883.892+1886.303+8791.286+591.386</f>
        <v>16782.057000000001</v>
      </c>
      <c r="Q15" s="969">
        <f t="shared" ref="Q15:Q39" si="2">SUM(B15:P15)</f>
        <v>263747.11699999997</v>
      </c>
      <c r="R15" s="827" t="s">
        <v>818</v>
      </c>
    </row>
    <row r="16" spans="1:18" s="251" customFormat="1" ht="12.2" customHeight="1">
      <c r="A16" s="813" t="s">
        <v>819</v>
      </c>
      <c r="B16" s="990">
        <v>41731.088000000003</v>
      </c>
      <c r="C16" s="990">
        <v>14394.69</v>
      </c>
      <c r="D16" s="990">
        <v>2976.152</v>
      </c>
      <c r="E16" s="990">
        <v>16608.080999999998</v>
      </c>
      <c r="F16" s="990">
        <v>22158.175999999999</v>
      </c>
      <c r="G16" s="990">
        <v>35403.733</v>
      </c>
      <c r="H16" s="990">
        <v>105.68899999999999</v>
      </c>
      <c r="I16" s="990">
        <v>8311.2559999999994</v>
      </c>
      <c r="J16" s="990">
        <v>42183.438999999998</v>
      </c>
      <c r="K16" s="990">
        <v>165.23699999999999</v>
      </c>
      <c r="L16" s="990">
        <v>1840.33</v>
      </c>
      <c r="M16" s="990">
        <v>14711.217000000001</v>
      </c>
      <c r="N16" s="990">
        <v>7018.442</v>
      </c>
      <c r="O16" s="990">
        <v>37451.675999999999</v>
      </c>
      <c r="P16" s="990">
        <f>2326.452+2280.291+908.36+1872.769+588.029+8857.847</f>
        <v>16833.748</v>
      </c>
      <c r="Q16" s="990">
        <f t="shared" si="2"/>
        <v>261892.954</v>
      </c>
      <c r="R16" s="800" t="s">
        <v>819</v>
      </c>
    </row>
    <row r="17" spans="1:18" s="671" customFormat="1" ht="12.2" customHeight="1">
      <c r="A17" s="826" t="s">
        <v>813</v>
      </c>
      <c r="B17" s="969">
        <v>44183.584000000003</v>
      </c>
      <c r="C17" s="969">
        <v>15320.971</v>
      </c>
      <c r="D17" s="969">
        <v>3118.1860000000001</v>
      </c>
      <c r="E17" s="969">
        <v>17231.553</v>
      </c>
      <c r="F17" s="969">
        <v>22626.963</v>
      </c>
      <c r="G17" s="969">
        <v>36188.5</v>
      </c>
      <c r="H17" s="969">
        <v>105.461</v>
      </c>
      <c r="I17" s="969">
        <v>8698.6919999999991</v>
      </c>
      <c r="J17" s="969">
        <v>42683.767999999996</v>
      </c>
      <c r="K17" s="969">
        <v>162.547</v>
      </c>
      <c r="L17" s="969">
        <v>1879.2239999999999</v>
      </c>
      <c r="M17" s="969">
        <v>15129.206</v>
      </c>
      <c r="N17" s="969">
        <v>7481.7389999999996</v>
      </c>
      <c r="O17" s="969">
        <v>38475.923000000003</v>
      </c>
      <c r="P17" s="969">
        <f>2404.752+2264.627+966.719+1928.608+9358.207+598.635</f>
        <v>17521.547999999999</v>
      </c>
      <c r="Q17" s="969">
        <f t="shared" si="2"/>
        <v>270807.86499999999</v>
      </c>
      <c r="R17" s="827" t="s">
        <v>813</v>
      </c>
    </row>
    <row r="18" spans="1:18" s="251" customFormat="1" ht="12.2" customHeight="1">
      <c r="A18" s="813" t="s">
        <v>820</v>
      </c>
      <c r="B18" s="990">
        <v>43914.542000000001</v>
      </c>
      <c r="C18" s="990">
        <v>14233.71</v>
      </c>
      <c r="D18" s="990">
        <v>2996.2890000000002</v>
      </c>
      <c r="E18" s="990">
        <v>15596.311</v>
      </c>
      <c r="F18" s="990">
        <v>22860.149000000001</v>
      </c>
      <c r="G18" s="990">
        <v>36349.629999999997</v>
      </c>
      <c r="H18" s="990">
        <v>104.206</v>
      </c>
      <c r="I18" s="990">
        <v>8606.9130000000005</v>
      </c>
      <c r="J18" s="990">
        <v>41622.756999999998</v>
      </c>
      <c r="K18" s="990">
        <v>136.47999999999999</v>
      </c>
      <c r="L18" s="990">
        <v>1861.9590000000001</v>
      </c>
      <c r="M18" s="990">
        <v>14492.208000000001</v>
      </c>
      <c r="N18" s="990">
        <v>7461.826</v>
      </c>
      <c r="O18" s="990">
        <v>38834.432999999997</v>
      </c>
      <c r="P18" s="990">
        <f>2276.152+2678.19+1046.716+1831.425+9048.298+597.912</f>
        <v>17478.693000000003</v>
      </c>
      <c r="Q18" s="990">
        <f t="shared" si="2"/>
        <v>266550.10600000003</v>
      </c>
      <c r="R18" s="800" t="s">
        <v>820</v>
      </c>
    </row>
    <row r="19" spans="1:18" s="251" customFormat="1" ht="12.2" customHeight="1">
      <c r="A19" s="826" t="s">
        <v>821</v>
      </c>
      <c r="B19" s="969">
        <v>46169.417999999998</v>
      </c>
      <c r="C19" s="969">
        <v>15086.673000000001</v>
      </c>
      <c r="D19" s="969">
        <v>3118.3110000000001</v>
      </c>
      <c r="E19" s="969">
        <v>16150.496999999999</v>
      </c>
      <c r="F19" s="969">
        <v>22840.684000000001</v>
      </c>
      <c r="G19" s="969">
        <v>36050.911</v>
      </c>
      <c r="H19" s="969">
        <v>98.921000000000006</v>
      </c>
      <c r="I19" s="969">
        <v>8994.7129999999997</v>
      </c>
      <c r="J19" s="969">
        <v>42063.870999999999</v>
      </c>
      <c r="K19" s="969">
        <v>156.84</v>
      </c>
      <c r="L19" s="969">
        <v>1911.5329999999999</v>
      </c>
      <c r="M19" s="969">
        <v>14861.933999999999</v>
      </c>
      <c r="N19" s="969">
        <v>8166.741</v>
      </c>
      <c r="O19" s="969">
        <v>40208.44</v>
      </c>
      <c r="P19" s="969">
        <f>2531.071+2756.052+1121.209+1971.973+9693.453+597.811</f>
        <v>18671.569000000003</v>
      </c>
      <c r="Q19" s="969">
        <f t="shared" si="2"/>
        <v>274551.05600000004</v>
      </c>
      <c r="R19" s="827" t="s">
        <v>821</v>
      </c>
    </row>
    <row r="20" spans="1:18" s="251" customFormat="1" ht="12.2" customHeight="1">
      <c r="A20" s="813" t="s">
        <v>814</v>
      </c>
      <c r="B20" s="990">
        <v>48406.834000000003</v>
      </c>
      <c r="C20" s="990">
        <v>16099.031999999999</v>
      </c>
      <c r="D20" s="990">
        <v>3507.8879999999999</v>
      </c>
      <c r="E20" s="990">
        <v>17911.521000000001</v>
      </c>
      <c r="F20" s="990">
        <v>23407.384999999998</v>
      </c>
      <c r="G20" s="990">
        <v>36027.124000000003</v>
      </c>
      <c r="H20" s="990">
        <v>98.399000000000001</v>
      </c>
      <c r="I20" s="990">
        <v>10491.151</v>
      </c>
      <c r="J20" s="990">
        <v>43371.247000000003</v>
      </c>
      <c r="K20" s="990">
        <v>162.108</v>
      </c>
      <c r="L20" s="990">
        <v>2266.3649999999998</v>
      </c>
      <c r="M20" s="990">
        <v>15699.39</v>
      </c>
      <c r="N20" s="990">
        <v>8455.3150000000005</v>
      </c>
      <c r="O20" s="990">
        <v>40317.803</v>
      </c>
      <c r="P20" s="990">
        <f>2572.684+2689.548+1179.382+2504.057+9792.737+589.558</f>
        <v>19327.965999999997</v>
      </c>
      <c r="Q20" s="990">
        <f t="shared" si="2"/>
        <v>285549.52800000005</v>
      </c>
      <c r="R20" s="800" t="s">
        <v>814</v>
      </c>
    </row>
    <row r="21" spans="1:18" s="251" customFormat="1" ht="12.2" customHeight="1">
      <c r="A21" s="826" t="s">
        <v>822</v>
      </c>
      <c r="B21" s="969">
        <v>56937.194000000003</v>
      </c>
      <c r="C21" s="969">
        <v>21781.723000000002</v>
      </c>
      <c r="D21" s="969">
        <v>4016.1149999999998</v>
      </c>
      <c r="E21" s="969">
        <v>18825.409</v>
      </c>
      <c r="F21" s="969">
        <v>23313.752</v>
      </c>
      <c r="G21" s="969">
        <v>39023.131000000001</v>
      </c>
      <c r="H21" s="969">
        <v>112.499</v>
      </c>
      <c r="I21" s="969">
        <v>10967.084000000001</v>
      </c>
      <c r="J21" s="969">
        <v>46080.976000000002</v>
      </c>
      <c r="K21" s="969">
        <v>153.37299999999999</v>
      </c>
      <c r="L21" s="969">
        <v>2352.75</v>
      </c>
      <c r="M21" s="969">
        <v>15962.299000000001</v>
      </c>
      <c r="N21" s="969">
        <v>9116.2559999999994</v>
      </c>
      <c r="O21" s="969">
        <v>42758.334000000003</v>
      </c>
      <c r="P21" s="969">
        <f>2782.571+2735.402+1199.404+2573.456+10540.371+601.891</f>
        <v>20433.094999999998</v>
      </c>
      <c r="Q21" s="969">
        <f t="shared" si="2"/>
        <v>311833.99</v>
      </c>
      <c r="R21" s="827" t="s">
        <v>822</v>
      </c>
    </row>
    <row r="22" spans="1:18" s="251" customFormat="1" ht="12.2" customHeight="1">
      <c r="A22" s="813" t="s">
        <v>823</v>
      </c>
      <c r="B22" s="990">
        <v>56280.339</v>
      </c>
      <c r="C22" s="990">
        <v>23013.555</v>
      </c>
      <c r="D22" s="990">
        <v>3986.241</v>
      </c>
      <c r="E22" s="990">
        <v>19735.266</v>
      </c>
      <c r="F22" s="990">
        <v>23422.162</v>
      </c>
      <c r="G22" s="990">
        <v>40310.35</v>
      </c>
      <c r="H22" s="990">
        <v>113.357</v>
      </c>
      <c r="I22" s="990">
        <v>11847.234</v>
      </c>
      <c r="J22" s="990">
        <v>47640.362000000001</v>
      </c>
      <c r="K22" s="990">
        <v>159.26300000000001</v>
      </c>
      <c r="L22" s="990">
        <v>2285.9569999999999</v>
      </c>
      <c r="M22" s="990">
        <v>15917.878000000001</v>
      </c>
      <c r="N22" s="990">
        <v>9176.6869999999999</v>
      </c>
      <c r="O22" s="990">
        <v>43760.853999999999</v>
      </c>
      <c r="P22" s="990">
        <f>2693.904+2835.526+1225.452+2572.26+10724.666+616.216</f>
        <v>20668.023999999998</v>
      </c>
      <c r="Q22" s="990">
        <f t="shared" si="2"/>
        <v>318317.52899999998</v>
      </c>
      <c r="R22" s="800" t="s">
        <v>823</v>
      </c>
    </row>
    <row r="23" spans="1:18" s="251" customFormat="1" ht="12.2" customHeight="1">
      <c r="A23" s="826" t="s">
        <v>815</v>
      </c>
      <c r="B23" s="969">
        <v>59415.086000000003</v>
      </c>
      <c r="C23" s="969">
        <v>25158.741999999998</v>
      </c>
      <c r="D23" s="969">
        <v>4089.248</v>
      </c>
      <c r="E23" s="969">
        <v>19753.388999999999</v>
      </c>
      <c r="F23" s="969">
        <v>22483.541000000001</v>
      </c>
      <c r="G23" s="969">
        <v>38895.019999999997</v>
      </c>
      <c r="H23" s="969">
        <v>118.398</v>
      </c>
      <c r="I23" s="969">
        <v>12260.852000000001</v>
      </c>
      <c r="J23" s="969">
        <v>48594.22</v>
      </c>
      <c r="K23" s="969">
        <v>160.65199999999999</v>
      </c>
      <c r="L23" s="969">
        <v>2676.779</v>
      </c>
      <c r="M23" s="969">
        <v>14715.7</v>
      </c>
      <c r="N23" s="969">
        <v>9234.4249999999993</v>
      </c>
      <c r="O23" s="969">
        <v>46865.205000000002</v>
      </c>
      <c r="P23" s="969">
        <f>2687.152+2708.53+1168.121+2530.786+10468.361+598.29</f>
        <v>20161.240000000002</v>
      </c>
      <c r="Q23" s="969">
        <f t="shared" si="2"/>
        <v>324582.49700000003</v>
      </c>
      <c r="R23" s="827" t="s">
        <v>815</v>
      </c>
    </row>
    <row r="24" spans="1:18" s="251" customFormat="1" ht="12.2" customHeight="1">
      <c r="A24" s="813" t="s">
        <v>824</v>
      </c>
      <c r="B24" s="990">
        <v>53216.027999999998</v>
      </c>
      <c r="C24" s="990">
        <v>24170.851999999999</v>
      </c>
      <c r="D24" s="990">
        <v>4100.3190000000004</v>
      </c>
      <c r="E24" s="990">
        <v>18392.705000000002</v>
      </c>
      <c r="F24" s="990">
        <v>22882.133999999998</v>
      </c>
      <c r="G24" s="990">
        <v>38462.296000000002</v>
      </c>
      <c r="H24" s="990">
        <v>135.108</v>
      </c>
      <c r="I24" s="990">
        <v>11856.964</v>
      </c>
      <c r="J24" s="990">
        <v>48926.180999999997</v>
      </c>
      <c r="K24" s="990">
        <v>155.80099999999999</v>
      </c>
      <c r="L24" s="990">
        <v>2495.63</v>
      </c>
      <c r="M24" s="990">
        <v>13710.929</v>
      </c>
      <c r="N24" s="990">
        <v>8684.777</v>
      </c>
      <c r="O24" s="990">
        <v>47573.24</v>
      </c>
      <c r="P24" s="990">
        <f>2537.829+2714.361+1268.745+2390.251+10375.2+568.365</f>
        <v>19854.751000000004</v>
      </c>
      <c r="Q24" s="990">
        <f t="shared" si="2"/>
        <v>314617.71500000003</v>
      </c>
      <c r="R24" s="800" t="s">
        <v>824</v>
      </c>
    </row>
    <row r="25" spans="1:18" s="251" customFormat="1" ht="12.2" customHeight="1">
      <c r="A25" s="826" t="s">
        <v>825</v>
      </c>
      <c r="B25" s="969">
        <v>51905.248</v>
      </c>
      <c r="C25" s="969">
        <v>23073.736000000001</v>
      </c>
      <c r="D25" s="969">
        <v>4130.9309999999996</v>
      </c>
      <c r="E25" s="969">
        <v>18477.596000000001</v>
      </c>
      <c r="F25" s="969">
        <v>24138.337</v>
      </c>
      <c r="G25" s="969">
        <v>39436.394999999997</v>
      </c>
      <c r="H25" s="969">
        <v>164.06899999999999</v>
      </c>
      <c r="I25" s="969">
        <v>11762.769</v>
      </c>
      <c r="J25" s="969">
        <v>48703.023999999998</v>
      </c>
      <c r="K25" s="969">
        <v>161.834</v>
      </c>
      <c r="L25" s="969">
        <v>2442.5700000000002</v>
      </c>
      <c r="M25" s="969">
        <v>13272.418</v>
      </c>
      <c r="N25" s="969">
        <v>8238.0709999999999</v>
      </c>
      <c r="O25" s="969">
        <v>46305.510999999999</v>
      </c>
      <c r="P25" s="969">
        <f>2478.729+2725.754+1298.632+2318.398+10237.789+578.4</f>
        <v>19637.702000000001</v>
      </c>
      <c r="Q25" s="969">
        <f t="shared" si="2"/>
        <v>311850.21099999995</v>
      </c>
      <c r="R25" s="827" t="s">
        <v>825</v>
      </c>
    </row>
    <row r="26" spans="1:18" s="251" customFormat="1" ht="12.2" customHeight="1">
      <c r="A26" s="813" t="s">
        <v>816</v>
      </c>
      <c r="B26" s="990">
        <v>56058.838000000003</v>
      </c>
      <c r="C26" s="990">
        <v>23379.762999999999</v>
      </c>
      <c r="D26" s="990">
        <v>4250.0659999999998</v>
      </c>
      <c r="E26" s="990">
        <v>19062.416000000001</v>
      </c>
      <c r="F26" s="990">
        <v>24719.441999999999</v>
      </c>
      <c r="G26" s="990">
        <v>40486.985999999997</v>
      </c>
      <c r="H26" s="990">
        <v>154.69</v>
      </c>
      <c r="I26" s="990">
        <v>12634.067999999999</v>
      </c>
      <c r="J26" s="990">
        <v>50185.283000000003</v>
      </c>
      <c r="K26" s="990">
        <v>192.57</v>
      </c>
      <c r="L26" s="990">
        <v>2533.12</v>
      </c>
      <c r="M26" s="990">
        <v>13144.56</v>
      </c>
      <c r="N26" s="990">
        <v>8648.9599999999991</v>
      </c>
      <c r="O26" s="990">
        <v>48484.847999999998</v>
      </c>
      <c r="P26" s="990">
        <f>2621.299+2743.43+1359.394+2497.695+10193.346+590.566</f>
        <v>20005.729999999996</v>
      </c>
      <c r="Q26" s="990">
        <f t="shared" si="2"/>
        <v>323941.33999999997</v>
      </c>
      <c r="R26" s="800" t="s">
        <v>816</v>
      </c>
    </row>
    <row r="27" spans="1:18" s="251" customFormat="1" ht="12.2" customHeight="1">
      <c r="A27" s="814" t="s">
        <v>2268</v>
      </c>
      <c r="B27" s="510">
        <f>B39</f>
        <v>56693.462</v>
      </c>
      <c r="C27" s="510">
        <f t="shared" ref="C27:Q27" si="3">C39</f>
        <v>21015.174999999999</v>
      </c>
      <c r="D27" s="510">
        <f t="shared" si="3"/>
        <v>4080.9349999999999</v>
      </c>
      <c r="E27" s="510">
        <f t="shared" si="3"/>
        <v>19059.028999999999</v>
      </c>
      <c r="F27" s="510">
        <f t="shared" si="3"/>
        <v>27614.215</v>
      </c>
      <c r="G27" s="510">
        <f t="shared" si="3"/>
        <v>39752.845000000001</v>
      </c>
      <c r="H27" s="510">
        <f t="shared" si="3"/>
        <v>194.55099999999999</v>
      </c>
      <c r="I27" s="510">
        <f t="shared" si="3"/>
        <v>11658.181</v>
      </c>
      <c r="J27" s="510">
        <f t="shared" si="3"/>
        <v>52211.76</v>
      </c>
      <c r="K27" s="510">
        <f t="shared" si="3"/>
        <v>215.678</v>
      </c>
      <c r="L27" s="510">
        <f t="shared" si="3"/>
        <v>1912.181</v>
      </c>
      <c r="M27" s="510">
        <f t="shared" si="3"/>
        <v>11754.666999999999</v>
      </c>
      <c r="N27" s="510">
        <f t="shared" si="3"/>
        <v>8559.2569999999996</v>
      </c>
      <c r="O27" s="510">
        <f t="shared" si="3"/>
        <v>54210.046000000002</v>
      </c>
      <c r="P27" s="510">
        <f t="shared" si="3"/>
        <v>17379.812999999998</v>
      </c>
      <c r="Q27" s="510">
        <f t="shared" si="3"/>
        <v>326311.7950000001</v>
      </c>
      <c r="R27" s="815" t="s">
        <v>2268</v>
      </c>
    </row>
    <row r="28" spans="1:18" s="251" customFormat="1" ht="12.2" customHeight="1">
      <c r="A28" s="813" t="s">
        <v>818</v>
      </c>
      <c r="B28" s="990">
        <v>62267.713000000003</v>
      </c>
      <c r="C28" s="990">
        <v>25487.59</v>
      </c>
      <c r="D28" s="990">
        <v>4351.5110000000004</v>
      </c>
      <c r="E28" s="990">
        <v>20689.066999999999</v>
      </c>
      <c r="F28" s="990">
        <v>26176.550999999999</v>
      </c>
      <c r="G28" s="990">
        <v>40381.881000000001</v>
      </c>
      <c r="H28" s="990">
        <v>167.154</v>
      </c>
      <c r="I28" s="990">
        <v>12800.245000000001</v>
      </c>
      <c r="J28" s="990">
        <v>49694.307000000001</v>
      </c>
      <c r="K28" s="990">
        <v>227.834</v>
      </c>
      <c r="L28" s="990">
        <v>2594.4870000000001</v>
      </c>
      <c r="M28" s="990">
        <v>13091.636</v>
      </c>
      <c r="N28" s="990">
        <v>8863.33</v>
      </c>
      <c r="O28" s="990">
        <v>53267.275999999998</v>
      </c>
      <c r="P28" s="990">
        <f>2692.549+2920.929+1401.151+2537.557+10341.857+575.115</f>
        <v>20469.157999999999</v>
      </c>
      <c r="Q28" s="990">
        <f t="shared" si="2"/>
        <v>340529.74</v>
      </c>
      <c r="R28" s="800" t="s">
        <v>818</v>
      </c>
    </row>
    <row r="29" spans="1:18" s="251" customFormat="1" ht="12.2" customHeight="1">
      <c r="A29" s="826" t="s">
        <v>819</v>
      </c>
      <c r="B29" s="969">
        <v>67853.076000000001</v>
      </c>
      <c r="C29" s="969">
        <v>25205.355</v>
      </c>
      <c r="D29" s="969">
        <v>4326.7110000000002</v>
      </c>
      <c r="E29" s="969">
        <v>21500.99</v>
      </c>
      <c r="F29" s="969">
        <v>25829.133000000002</v>
      </c>
      <c r="G29" s="969">
        <v>39952.578999999998</v>
      </c>
      <c r="H29" s="969">
        <v>195.30199999999999</v>
      </c>
      <c r="I29" s="969">
        <v>12796.721</v>
      </c>
      <c r="J29" s="969">
        <v>49881.281000000003</v>
      </c>
      <c r="K29" s="969">
        <v>224.626</v>
      </c>
      <c r="L29" s="969">
        <v>2632.7530000000002</v>
      </c>
      <c r="M29" s="969">
        <v>12653.933000000001</v>
      </c>
      <c r="N29" s="969">
        <v>8776.973</v>
      </c>
      <c r="O29" s="969">
        <v>54548.627</v>
      </c>
      <c r="P29" s="969">
        <f>2846.087+2904.507+1397.87+2543.191+10046.746+589.516</f>
        <v>20327.916999999998</v>
      </c>
      <c r="Q29" s="969">
        <f t="shared" si="2"/>
        <v>346705.97699999996</v>
      </c>
      <c r="R29" s="827" t="s">
        <v>819</v>
      </c>
    </row>
    <row r="30" spans="1:18" s="251" customFormat="1" ht="12.2" customHeight="1">
      <c r="A30" s="813" t="s">
        <v>813</v>
      </c>
      <c r="B30" s="990">
        <v>72373.622000000003</v>
      </c>
      <c r="C30" s="990">
        <v>25223.624</v>
      </c>
      <c r="D30" s="990">
        <v>4318.875</v>
      </c>
      <c r="E30" s="990">
        <v>19987.23</v>
      </c>
      <c r="F30" s="990">
        <v>25565.919000000002</v>
      </c>
      <c r="G30" s="990">
        <v>38501.330999999998</v>
      </c>
      <c r="H30" s="990">
        <v>175.62799999999999</v>
      </c>
      <c r="I30" s="990">
        <v>11993.13</v>
      </c>
      <c r="J30" s="990">
        <v>51212.913</v>
      </c>
      <c r="K30" s="990">
        <v>243.38900000000001</v>
      </c>
      <c r="L30" s="990">
        <v>2432.2489999999998</v>
      </c>
      <c r="M30" s="990">
        <v>12806.898999999999</v>
      </c>
      <c r="N30" s="990">
        <v>9292.7389999999996</v>
      </c>
      <c r="O30" s="990">
        <v>57967.777000000002</v>
      </c>
      <c r="P30" s="990">
        <f>2750.362+2781.868+2348.86+9775.559+592.516+1338.404</f>
        <v>19587.568999999996</v>
      </c>
      <c r="Q30" s="990">
        <f t="shared" si="2"/>
        <v>351682.89400000003</v>
      </c>
      <c r="R30" s="800" t="s">
        <v>813</v>
      </c>
    </row>
    <row r="31" spans="1:18" s="251" customFormat="1" ht="12.2" customHeight="1">
      <c r="A31" s="826" t="s">
        <v>820</v>
      </c>
      <c r="B31" s="969">
        <v>71833.820000000007</v>
      </c>
      <c r="C31" s="969">
        <v>25721.976999999999</v>
      </c>
      <c r="D31" s="969">
        <v>4272.2749999999996</v>
      </c>
      <c r="E31" s="969">
        <v>19471.723999999998</v>
      </c>
      <c r="F31" s="969">
        <v>25917.118999999999</v>
      </c>
      <c r="G31" s="969">
        <v>38340.163</v>
      </c>
      <c r="H31" s="969">
        <v>159.364</v>
      </c>
      <c r="I31" s="969">
        <v>11765.066999999999</v>
      </c>
      <c r="J31" s="969">
        <v>50443.510999999999</v>
      </c>
      <c r="K31" s="969">
        <v>168.17099999999999</v>
      </c>
      <c r="L31" s="969">
        <v>2416.7260000000001</v>
      </c>
      <c r="M31" s="969">
        <v>12486.83</v>
      </c>
      <c r="N31" s="969">
        <v>9189.1610000000001</v>
      </c>
      <c r="O31" s="969">
        <v>60981.120000000003</v>
      </c>
      <c r="P31" s="969">
        <f>2713.364+2721.727+1853.605+2364.267+9545.89+594.173</f>
        <v>19793.025999999998</v>
      </c>
      <c r="Q31" s="969">
        <f t="shared" si="2"/>
        <v>352960.05400000006</v>
      </c>
      <c r="R31" s="827" t="s">
        <v>820</v>
      </c>
    </row>
    <row r="32" spans="1:18" s="251" customFormat="1" ht="12.2" customHeight="1">
      <c r="A32" s="813" t="s">
        <v>821</v>
      </c>
      <c r="B32" s="990">
        <v>75820.788</v>
      </c>
      <c r="C32" s="990">
        <v>24566.877</v>
      </c>
      <c r="D32" s="990">
        <v>4190.2950000000001</v>
      </c>
      <c r="E32" s="990">
        <v>19882.311000000002</v>
      </c>
      <c r="F32" s="990">
        <v>27786.025000000001</v>
      </c>
      <c r="G32" s="990">
        <v>38030.500999999997</v>
      </c>
      <c r="H32" s="990">
        <v>201.23699999999999</v>
      </c>
      <c r="I32" s="990">
        <v>11594.377</v>
      </c>
      <c r="J32" s="990">
        <v>49791.300999999999</v>
      </c>
      <c r="K32" s="990">
        <v>194.065</v>
      </c>
      <c r="L32" s="990">
        <v>2193.1280000000002</v>
      </c>
      <c r="M32" s="990">
        <v>12125.634</v>
      </c>
      <c r="N32" s="990">
        <v>9502.8580000000002</v>
      </c>
      <c r="O32" s="990">
        <v>65374.756999999998</v>
      </c>
      <c r="P32" s="990">
        <f>2861.641+2681.72+1617.972+2495.775+9592.119+590.656</f>
        <v>19839.882999999998</v>
      </c>
      <c r="Q32" s="990">
        <f t="shared" si="2"/>
        <v>361094.03699999995</v>
      </c>
      <c r="R32" s="800" t="s">
        <v>821</v>
      </c>
    </row>
    <row r="33" spans="1:18" s="251" customFormat="1" ht="12.2" customHeight="1">
      <c r="A33" s="826" t="s">
        <v>814</v>
      </c>
      <c r="B33" s="969">
        <v>75255.335000000006</v>
      </c>
      <c r="C33" s="969">
        <v>24402.904999999999</v>
      </c>
      <c r="D33" s="969">
        <v>4231.1859999999997</v>
      </c>
      <c r="E33" s="969">
        <v>20819.072</v>
      </c>
      <c r="F33" s="969">
        <v>28560.402999999998</v>
      </c>
      <c r="G33" s="969">
        <v>37284.269</v>
      </c>
      <c r="H33" s="969">
        <v>195.96899999999999</v>
      </c>
      <c r="I33" s="969">
        <v>12171.325999999999</v>
      </c>
      <c r="J33" s="969">
        <v>53078.665000000001</v>
      </c>
      <c r="K33" s="969">
        <v>193.875</v>
      </c>
      <c r="L33" s="969">
        <v>2358.6329999999998</v>
      </c>
      <c r="M33" s="969">
        <v>13856.296</v>
      </c>
      <c r="N33" s="969">
        <v>9437.6790000000001</v>
      </c>
      <c r="O33" s="969">
        <v>65272.300999999999</v>
      </c>
      <c r="P33" s="969">
        <f>1641.183+2759.598+2869.172+2466.205+602.716+9501.925</f>
        <v>19840.798999999999</v>
      </c>
      <c r="Q33" s="969">
        <f t="shared" si="2"/>
        <v>366958.71299999999</v>
      </c>
      <c r="R33" s="827" t="s">
        <v>814</v>
      </c>
    </row>
    <row r="34" spans="1:18" s="251" customFormat="1" ht="12.2" customHeight="1">
      <c r="A34" s="813" t="s">
        <v>822</v>
      </c>
      <c r="B34" s="990">
        <v>68078.377999999997</v>
      </c>
      <c r="C34" s="990">
        <v>23661.263999999999</v>
      </c>
      <c r="D34" s="990">
        <v>4168.8969999999999</v>
      </c>
      <c r="E34" s="990">
        <v>20053.226999999999</v>
      </c>
      <c r="F34" s="990">
        <v>30724.526999999998</v>
      </c>
      <c r="G34" s="990">
        <v>36773.896000000001</v>
      </c>
      <c r="H34" s="990">
        <v>178.69800000000001</v>
      </c>
      <c r="I34" s="990">
        <v>11566.106</v>
      </c>
      <c r="J34" s="990">
        <v>55701.084999999999</v>
      </c>
      <c r="K34" s="990">
        <v>183.995</v>
      </c>
      <c r="L34" s="990">
        <v>2217.13</v>
      </c>
      <c r="M34" s="990">
        <v>12494.237999999999</v>
      </c>
      <c r="N34" s="990">
        <v>9061.1219999999994</v>
      </c>
      <c r="O34" s="990">
        <v>69408.974000000002</v>
      </c>
      <c r="P34" s="990">
        <f>2821.107+2702.127+1562.389+2340.429+9463.783+294</f>
        <v>19183.834999999999</v>
      </c>
      <c r="Q34" s="990">
        <f t="shared" si="2"/>
        <v>363455.37199999997</v>
      </c>
      <c r="R34" s="800" t="s">
        <v>822</v>
      </c>
    </row>
    <row r="35" spans="1:18" s="251" customFormat="1" ht="12.2" customHeight="1">
      <c r="A35" s="826" t="s">
        <v>823</v>
      </c>
      <c r="B35" s="969">
        <v>64252.786</v>
      </c>
      <c r="C35" s="969">
        <v>21512.795999999998</v>
      </c>
      <c r="D35" s="969">
        <v>4090.2750000000001</v>
      </c>
      <c r="E35" s="969">
        <v>19110.331999999999</v>
      </c>
      <c r="F35" s="969">
        <v>29282.2</v>
      </c>
      <c r="G35" s="969">
        <v>35970.021000000001</v>
      </c>
      <c r="H35" s="969">
        <v>182.42099999999999</v>
      </c>
      <c r="I35" s="969">
        <v>11227.832</v>
      </c>
      <c r="J35" s="969">
        <v>54536.385999999999</v>
      </c>
      <c r="K35" s="969">
        <v>201.69</v>
      </c>
      <c r="L35" s="969">
        <v>2061.797</v>
      </c>
      <c r="M35" s="969">
        <v>12407.575999999999</v>
      </c>
      <c r="N35" s="969">
        <v>8931.8490000000002</v>
      </c>
      <c r="O35" s="969">
        <v>66249.989000000001</v>
      </c>
      <c r="P35" s="969">
        <f>2587.789+2673.083+1528.339+2427.452+9620.237+293.7</f>
        <v>19130.600000000002</v>
      </c>
      <c r="Q35" s="969">
        <f t="shared" si="2"/>
        <v>349148.55</v>
      </c>
      <c r="R35" s="827" t="s">
        <v>823</v>
      </c>
    </row>
    <row r="36" spans="1:18" s="251" customFormat="1" ht="12.2" customHeight="1">
      <c r="A36" s="813" t="s">
        <v>815</v>
      </c>
      <c r="B36" s="990">
        <v>60953.909</v>
      </c>
      <c r="C36" s="990">
        <v>20035.465</v>
      </c>
      <c r="D36" s="990">
        <v>4181.018</v>
      </c>
      <c r="E36" s="990">
        <v>18339.164000000001</v>
      </c>
      <c r="F36" s="990">
        <v>28443.488000000001</v>
      </c>
      <c r="G36" s="990">
        <v>34605.1</v>
      </c>
      <c r="H36" s="990">
        <v>176.07900000000001</v>
      </c>
      <c r="I36" s="990">
        <v>10798.206</v>
      </c>
      <c r="J36" s="990">
        <v>53637.432000000001</v>
      </c>
      <c r="K36" s="990">
        <v>187.86699999999999</v>
      </c>
      <c r="L36" s="990">
        <v>1966.893</v>
      </c>
      <c r="M36" s="990">
        <v>11887.282999999999</v>
      </c>
      <c r="N36" s="990">
        <v>8932.74</v>
      </c>
      <c r="O36" s="990">
        <v>63897.694000000003</v>
      </c>
      <c r="P36" s="990">
        <f>1489.491+2653.296+2490.414+2424.994+293.85+9223.21</f>
        <v>18575.255000000001</v>
      </c>
      <c r="Q36" s="990">
        <f t="shared" si="2"/>
        <v>336617.59299999999</v>
      </c>
      <c r="R36" s="800" t="s">
        <v>815</v>
      </c>
    </row>
    <row r="37" spans="1:18" s="251" customFormat="1" ht="12.2" customHeight="1">
      <c r="A37" s="826" t="s">
        <v>824</v>
      </c>
      <c r="B37" s="969">
        <v>62562.124000000003</v>
      </c>
      <c r="C37" s="969">
        <v>20358.260999999999</v>
      </c>
      <c r="D37" s="969">
        <v>4216.5550000000003</v>
      </c>
      <c r="E37" s="969">
        <v>19175.243999999999</v>
      </c>
      <c r="F37" s="969">
        <v>28144.541000000001</v>
      </c>
      <c r="G37" s="969">
        <v>37373.750999999997</v>
      </c>
      <c r="H37" s="969">
        <v>181.67</v>
      </c>
      <c r="I37" s="969">
        <v>11394.708000000001</v>
      </c>
      <c r="J37" s="969">
        <v>54009.991000000002</v>
      </c>
      <c r="K37" s="969">
        <v>189.1</v>
      </c>
      <c r="L37" s="969">
        <v>2007.665</v>
      </c>
      <c r="M37" s="969">
        <v>12136.8</v>
      </c>
      <c r="N37" s="969">
        <v>9036.4699999999993</v>
      </c>
      <c r="O37" s="969">
        <v>64956.902999999998</v>
      </c>
      <c r="P37" s="969">
        <f>9740.318+1532.263+2603.877+2617.265+2339.786+294.3</f>
        <v>19127.808999999997</v>
      </c>
      <c r="Q37" s="969">
        <f t="shared" si="2"/>
        <v>344871.59200000006</v>
      </c>
      <c r="R37" s="827" t="s">
        <v>824</v>
      </c>
    </row>
    <row r="38" spans="1:18" s="251" customFormat="1" ht="12.2" customHeight="1">
      <c r="A38" s="813" t="s">
        <v>825</v>
      </c>
      <c r="B38" s="990">
        <v>55549.300999999999</v>
      </c>
      <c r="C38" s="990">
        <v>18942.845000000001</v>
      </c>
      <c r="D38" s="990">
        <v>4106.8190000000004</v>
      </c>
      <c r="E38" s="990">
        <v>18380.924999999999</v>
      </c>
      <c r="F38" s="990">
        <v>27430.873</v>
      </c>
      <c r="G38" s="990">
        <v>37689.89</v>
      </c>
      <c r="H38" s="990">
        <v>169.803</v>
      </c>
      <c r="I38" s="990">
        <v>11313.933999999999</v>
      </c>
      <c r="J38" s="990">
        <v>50580.612999999998</v>
      </c>
      <c r="K38" s="990">
        <v>169.066</v>
      </c>
      <c r="L38" s="990">
        <v>1915.915</v>
      </c>
      <c r="M38" s="990">
        <v>11333.18</v>
      </c>
      <c r="N38" s="990">
        <v>8616.2849999999999</v>
      </c>
      <c r="O38" s="990">
        <v>57441.824999999997</v>
      </c>
      <c r="P38" s="990">
        <f>10309.954+1481.28+2589.071+2571.294+2267.819+277.5</f>
        <v>19496.918000000001</v>
      </c>
      <c r="Q38" s="990">
        <f t="shared" si="2"/>
        <v>323138.19200000004</v>
      </c>
      <c r="R38" s="800" t="s">
        <v>825</v>
      </c>
    </row>
    <row r="39" spans="1:18" s="251" customFormat="1" ht="12.2" customHeight="1">
      <c r="A39" s="826" t="s">
        <v>816</v>
      </c>
      <c r="B39" s="969">
        <v>56693.462</v>
      </c>
      <c r="C39" s="969">
        <v>21015.174999999999</v>
      </c>
      <c r="D39" s="969">
        <v>4080.9349999999999</v>
      </c>
      <c r="E39" s="969">
        <v>19059.028999999999</v>
      </c>
      <c r="F39" s="969">
        <v>27614.215</v>
      </c>
      <c r="G39" s="969">
        <v>39752.845000000001</v>
      </c>
      <c r="H39" s="969">
        <v>194.55099999999999</v>
      </c>
      <c r="I39" s="969">
        <v>11658.181</v>
      </c>
      <c r="J39" s="969">
        <v>52211.76</v>
      </c>
      <c r="K39" s="969">
        <v>215.678</v>
      </c>
      <c r="L39" s="969">
        <v>1912.181</v>
      </c>
      <c r="M39" s="969">
        <v>11754.666999999999</v>
      </c>
      <c r="N39" s="969">
        <v>8559.2569999999996</v>
      </c>
      <c r="O39" s="969">
        <v>54210.046000000002</v>
      </c>
      <c r="P39" s="969">
        <f>7744.573+1524.382+2650.9+2988.448+2182.91+288.6</f>
        <v>17379.812999999998</v>
      </c>
      <c r="Q39" s="969">
        <f t="shared" si="2"/>
        <v>326311.7950000001</v>
      </c>
      <c r="R39" s="827" t="s">
        <v>816</v>
      </c>
    </row>
    <row r="40" spans="1:18" s="251" customFormat="1" ht="12.2" customHeight="1">
      <c r="A40" s="936" t="s">
        <v>2524</v>
      </c>
      <c r="B40" s="990"/>
      <c r="C40" s="990"/>
      <c r="D40" s="990"/>
      <c r="E40" s="990"/>
      <c r="F40" s="990"/>
      <c r="G40" s="990"/>
      <c r="H40" s="990"/>
      <c r="I40" s="990"/>
      <c r="J40" s="990"/>
      <c r="K40" s="990"/>
      <c r="L40" s="990"/>
      <c r="M40" s="990"/>
      <c r="N40" s="990"/>
      <c r="O40" s="990"/>
      <c r="P40" s="990"/>
      <c r="Q40" s="990"/>
      <c r="R40" s="845" t="s">
        <v>2524</v>
      </c>
    </row>
    <row r="41" spans="1:18" s="251" customFormat="1" ht="12.2" customHeight="1">
      <c r="A41" s="826" t="s">
        <v>818</v>
      </c>
      <c r="B41" s="969">
        <v>53392.250999999997</v>
      </c>
      <c r="C41" s="969">
        <v>19614.664000000001</v>
      </c>
      <c r="D41" s="969">
        <v>3956.8539999999998</v>
      </c>
      <c r="E41" s="969">
        <v>20589.111000000001</v>
      </c>
      <c r="F41" s="969">
        <v>25829.75</v>
      </c>
      <c r="G41" s="969">
        <v>43107.095999999998</v>
      </c>
      <c r="H41" s="969">
        <v>150.63800000000001</v>
      </c>
      <c r="I41" s="969">
        <v>12889.477999999999</v>
      </c>
      <c r="J41" s="969">
        <v>49592.851999999999</v>
      </c>
      <c r="K41" s="969">
        <v>2509.288</v>
      </c>
      <c r="L41" s="969">
        <v>2023.194</v>
      </c>
      <c r="M41" s="969">
        <v>11563.64</v>
      </c>
      <c r="N41" s="969">
        <v>8559.86</v>
      </c>
      <c r="O41" s="969">
        <v>54179.453000000001</v>
      </c>
      <c r="P41" s="969">
        <f>3056.718+2854.463+1807.439+2311.787+10816.378+277.35</f>
        <v>21124.135000000002</v>
      </c>
      <c r="Q41" s="969">
        <f t="shared" ref="Q41:Q50" si="4">SUM(B41:P41)</f>
        <v>329082.26399999997</v>
      </c>
      <c r="R41" s="827" t="s">
        <v>818</v>
      </c>
    </row>
    <row r="42" spans="1:18" s="251" customFormat="1" ht="12.2" customHeight="1">
      <c r="A42" s="813" t="s">
        <v>819</v>
      </c>
      <c r="B42" s="990">
        <v>61993.131000000001</v>
      </c>
      <c r="C42" s="990">
        <v>21545.883000000002</v>
      </c>
      <c r="D42" s="990">
        <v>4004.1060000000002</v>
      </c>
      <c r="E42" s="990">
        <v>20392.899000000001</v>
      </c>
      <c r="F42" s="990">
        <v>25961.773000000001</v>
      </c>
      <c r="G42" s="990">
        <v>44897.800999999999</v>
      </c>
      <c r="H42" s="990">
        <v>164.89</v>
      </c>
      <c r="I42" s="990">
        <v>13296.155000000001</v>
      </c>
      <c r="J42" s="990">
        <v>49859.192999999999</v>
      </c>
      <c r="K42" s="990">
        <v>2306.6750000000002</v>
      </c>
      <c r="L42" s="990">
        <v>2058.2109999999998</v>
      </c>
      <c r="M42" s="990">
        <v>11360.031999999999</v>
      </c>
      <c r="N42" s="990">
        <v>8602.7559999999994</v>
      </c>
      <c r="O42" s="990">
        <v>53683.45</v>
      </c>
      <c r="P42" s="990">
        <f>2844.833+2814.682+1775.567+2294.907+10806.46+279</f>
        <v>20815.449000000001</v>
      </c>
      <c r="Q42" s="990">
        <f t="shared" si="4"/>
        <v>340942.4040000001</v>
      </c>
      <c r="R42" s="800" t="s">
        <v>819</v>
      </c>
    </row>
    <row r="43" spans="1:18" ht="12.2" customHeight="1">
      <c r="A43" s="826" t="s">
        <v>813</v>
      </c>
      <c r="B43" s="969">
        <v>56161.610999999997</v>
      </c>
      <c r="C43" s="969">
        <v>19325.010999999999</v>
      </c>
      <c r="D43" s="969">
        <v>3485.058</v>
      </c>
      <c r="E43" s="969">
        <v>20138.661</v>
      </c>
      <c r="F43" s="969">
        <v>26230.337</v>
      </c>
      <c r="G43" s="969">
        <v>45061.057000000001</v>
      </c>
      <c r="H43" s="969">
        <v>153.02000000000001</v>
      </c>
      <c r="I43" s="969">
        <v>12971.733</v>
      </c>
      <c r="J43" s="969">
        <v>48987.517</v>
      </c>
      <c r="K43" s="969">
        <v>2229.605</v>
      </c>
      <c r="L43" s="969">
        <v>1920.8689999999999</v>
      </c>
      <c r="M43" s="969">
        <v>11444.366</v>
      </c>
      <c r="N43" s="969">
        <v>10083.384</v>
      </c>
      <c r="O43" s="969">
        <v>51304.673999999999</v>
      </c>
      <c r="P43" s="969">
        <f>2983.497+2740.358+1609.217+2228.985+10518.742+278.25</f>
        <v>20359.048999999999</v>
      </c>
      <c r="Q43" s="969">
        <f t="shared" si="4"/>
        <v>329855.95200000005</v>
      </c>
      <c r="R43" s="827" t="s">
        <v>813</v>
      </c>
    </row>
    <row r="44" spans="1:18" ht="12.2" customHeight="1">
      <c r="A44" s="813" t="s">
        <v>820</v>
      </c>
      <c r="B44" s="990">
        <v>56818.947999999997</v>
      </c>
      <c r="C44" s="990">
        <v>19362.335999999999</v>
      </c>
      <c r="D44" s="990">
        <v>3373.4870000000001</v>
      </c>
      <c r="E44" s="990">
        <v>18019.897000000001</v>
      </c>
      <c r="F44" s="990">
        <v>26112.379000000001</v>
      </c>
      <c r="G44" s="990">
        <v>46446.75</v>
      </c>
      <c r="H44" s="990">
        <v>237.054</v>
      </c>
      <c r="I44" s="990">
        <v>13213.707</v>
      </c>
      <c r="J44" s="990">
        <v>49075.300999999999</v>
      </c>
      <c r="K44" s="990">
        <v>1885.7760000000001</v>
      </c>
      <c r="L44" s="990">
        <v>1763.078</v>
      </c>
      <c r="M44" s="990">
        <v>10322.630999999999</v>
      </c>
      <c r="N44" s="990">
        <v>9358.2469999999994</v>
      </c>
      <c r="O44" s="990">
        <v>52666.303</v>
      </c>
      <c r="P44" s="990">
        <f>2801.381+2626.576+1512.689+2215.736+10129.291+273.15</f>
        <v>19558.823000000004</v>
      </c>
      <c r="Q44" s="990">
        <f t="shared" si="4"/>
        <v>328214.71700000006</v>
      </c>
      <c r="R44" s="800" t="s">
        <v>820</v>
      </c>
    </row>
    <row r="45" spans="1:18" ht="12.2" customHeight="1">
      <c r="A45" s="826" t="s">
        <v>821</v>
      </c>
      <c r="B45" s="969">
        <v>56036.211000000003</v>
      </c>
      <c r="C45" s="969">
        <v>18236.455000000002</v>
      </c>
      <c r="D45" s="969">
        <v>3365.16</v>
      </c>
      <c r="E45" s="969">
        <v>17181.404999999999</v>
      </c>
      <c r="F45" s="969">
        <v>26221.502</v>
      </c>
      <c r="G45" s="969">
        <v>42724.303999999996</v>
      </c>
      <c r="H45" s="969">
        <v>359.96699999999998</v>
      </c>
      <c r="I45" s="969">
        <v>13988.671</v>
      </c>
      <c r="J45" s="969">
        <v>48368.353000000003</v>
      </c>
      <c r="K45" s="969">
        <v>1849.9480000000001</v>
      </c>
      <c r="L45" s="969">
        <v>1771.4469999999999</v>
      </c>
      <c r="M45" s="969">
        <v>9594.0380000000005</v>
      </c>
      <c r="N45" s="969">
        <v>9059.5439999999999</v>
      </c>
      <c r="O45" s="969">
        <v>50418.305</v>
      </c>
      <c r="P45" s="969">
        <f>2682.833+2688.327+1707+2167.121+10651.875+273.45</f>
        <v>20170.606</v>
      </c>
      <c r="Q45" s="969">
        <f t="shared" si="4"/>
        <v>319345.91599999997</v>
      </c>
      <c r="R45" s="827" t="s">
        <v>821</v>
      </c>
    </row>
    <row r="46" spans="1:18" ht="12.2" customHeight="1">
      <c r="A46" s="813" t="s">
        <v>814</v>
      </c>
      <c r="B46" s="990">
        <v>58310.468000000001</v>
      </c>
      <c r="C46" s="990">
        <v>19152.706999999999</v>
      </c>
      <c r="D46" s="990">
        <v>3445.0720000000001</v>
      </c>
      <c r="E46" s="990">
        <v>19067.687999999998</v>
      </c>
      <c r="F46" s="990">
        <v>27668.464</v>
      </c>
      <c r="G46" s="990">
        <v>43216.315999999999</v>
      </c>
      <c r="H46" s="990">
        <v>473.34399999999999</v>
      </c>
      <c r="I46" s="990">
        <v>14170.918</v>
      </c>
      <c r="J46" s="990">
        <v>50875.101999999999</v>
      </c>
      <c r="K46" s="990">
        <v>1740.8309999999999</v>
      </c>
      <c r="L46" s="990">
        <v>1801.329</v>
      </c>
      <c r="M46" s="990">
        <v>10196.225</v>
      </c>
      <c r="N46" s="990">
        <v>10311.361000000001</v>
      </c>
      <c r="O46" s="990">
        <v>51138.385999999999</v>
      </c>
      <c r="P46" s="990">
        <f>2799.598+2757.1+1707.525+2187.191+10751.004+282.6</f>
        <v>20485.018</v>
      </c>
      <c r="Q46" s="990">
        <f t="shared" si="4"/>
        <v>332053.22899999999</v>
      </c>
      <c r="R46" s="800" t="s">
        <v>814</v>
      </c>
    </row>
    <row r="47" spans="1:18" ht="12.2" customHeight="1">
      <c r="A47" s="826" t="s">
        <v>822</v>
      </c>
      <c r="B47" s="969">
        <v>64250.616999999998</v>
      </c>
      <c r="C47" s="969">
        <v>20907.258999999998</v>
      </c>
      <c r="D47" s="969">
        <v>3764.4119999999998</v>
      </c>
      <c r="E47" s="969">
        <v>21063.213</v>
      </c>
      <c r="F47" s="969">
        <v>28530.592000000001</v>
      </c>
      <c r="G47" s="969">
        <v>50869.622000000003</v>
      </c>
      <c r="H47" s="969">
        <v>472.06099999999998</v>
      </c>
      <c r="I47" s="969">
        <v>14914.439</v>
      </c>
      <c r="J47" s="969">
        <v>52440.464</v>
      </c>
      <c r="K47" s="969">
        <v>1698.079</v>
      </c>
      <c r="L47" s="969">
        <v>2010.81</v>
      </c>
      <c r="M47" s="969">
        <v>10530.825000000001</v>
      </c>
      <c r="N47" s="969">
        <v>11888.781999999999</v>
      </c>
      <c r="O47" s="969">
        <v>56105.658000000003</v>
      </c>
      <c r="P47" s="969">
        <f>3163.79+2779.966+1792.29+2188.858+11726.64+279.9</f>
        <v>21931.444</v>
      </c>
      <c r="Q47" s="969">
        <f t="shared" si="4"/>
        <v>361378.277</v>
      </c>
      <c r="R47" s="827" t="s">
        <v>822</v>
      </c>
    </row>
    <row r="48" spans="1:18" ht="12.2" customHeight="1">
      <c r="A48" s="813" t="s">
        <v>823</v>
      </c>
      <c r="B48" s="990">
        <v>61639.017</v>
      </c>
      <c r="C48" s="990">
        <v>19752.848999999998</v>
      </c>
      <c r="D48" s="990">
        <v>3578.8910000000001</v>
      </c>
      <c r="E48" s="990">
        <v>20742.202000000001</v>
      </c>
      <c r="F48" s="990">
        <v>29076.822</v>
      </c>
      <c r="G48" s="990">
        <v>51329.31</v>
      </c>
      <c r="H48" s="990">
        <v>452.81700000000001</v>
      </c>
      <c r="I48" s="990">
        <v>14542.608</v>
      </c>
      <c r="J48" s="990">
        <v>53783.497000000003</v>
      </c>
      <c r="K48" s="990">
        <v>1654.6289999999999</v>
      </c>
      <c r="L48" s="990">
        <v>1950.0119999999999</v>
      </c>
      <c r="M48" s="990">
        <v>10083.43</v>
      </c>
      <c r="N48" s="990">
        <v>11393.962</v>
      </c>
      <c r="O48" s="990">
        <v>56006.96</v>
      </c>
      <c r="P48" s="990">
        <f>13220.628+2098.605+2846.594+3468.968+2191.853+281.7</f>
        <v>24108.348000000002</v>
      </c>
      <c r="Q48" s="990">
        <f t="shared" si="4"/>
        <v>360095.35400000005</v>
      </c>
      <c r="R48" s="800" t="s">
        <v>823</v>
      </c>
    </row>
    <row r="49" spans="1:18" ht="12.2" customHeight="1">
      <c r="A49" s="826" t="s">
        <v>815</v>
      </c>
      <c r="B49" s="969">
        <v>59659.813000000002</v>
      </c>
      <c r="C49" s="969">
        <v>18994.921999999999</v>
      </c>
      <c r="D49" s="969">
        <v>3487.9059999999999</v>
      </c>
      <c r="E49" s="969">
        <v>19034.505000000001</v>
      </c>
      <c r="F49" s="969">
        <v>34005.775000000001</v>
      </c>
      <c r="G49" s="969">
        <v>50009.034</v>
      </c>
      <c r="H49" s="969">
        <v>441.38299999999998</v>
      </c>
      <c r="I49" s="969">
        <v>13354.243</v>
      </c>
      <c r="J49" s="969">
        <v>53074.152000000002</v>
      </c>
      <c r="K49" s="969">
        <v>1454.5909999999999</v>
      </c>
      <c r="L49" s="969">
        <v>1807.0170000000001</v>
      </c>
      <c r="M49" s="969">
        <v>10085.368</v>
      </c>
      <c r="N49" s="969">
        <v>10311.566999999999</v>
      </c>
      <c r="O49" s="969">
        <v>57841.644</v>
      </c>
      <c r="P49" s="969">
        <f>12782.065+1945.396+2760.494+2968.895+2102.12+290.4</f>
        <v>22849.370000000003</v>
      </c>
      <c r="Q49" s="969">
        <f t="shared" si="4"/>
        <v>356411.28999999992</v>
      </c>
      <c r="R49" s="827" t="s">
        <v>815</v>
      </c>
    </row>
    <row r="50" spans="1:18" s="253" customFormat="1" ht="12.2" customHeight="1" thickBot="1">
      <c r="A50" s="1683" t="s">
        <v>824</v>
      </c>
      <c r="B50" s="1684">
        <v>57445.828999999998</v>
      </c>
      <c r="C50" s="1684">
        <v>17186.218000000001</v>
      </c>
      <c r="D50" s="1684">
        <v>3468.81</v>
      </c>
      <c r="E50" s="1684">
        <v>18428.579000000002</v>
      </c>
      <c r="F50" s="1684">
        <v>31199.321</v>
      </c>
      <c r="G50" s="1684">
        <v>43311.646999999997</v>
      </c>
      <c r="H50" s="1684">
        <v>381.173</v>
      </c>
      <c r="I50" s="1684">
        <v>13028.358</v>
      </c>
      <c r="J50" s="1684">
        <v>51155.08</v>
      </c>
      <c r="K50" s="1684">
        <v>1337.3050000000001</v>
      </c>
      <c r="L50" s="1684">
        <v>1731.288</v>
      </c>
      <c r="M50" s="1684">
        <v>9008.8080000000009</v>
      </c>
      <c r="N50" s="1684">
        <v>9692.2469999999994</v>
      </c>
      <c r="O50" s="1684">
        <v>50864.32</v>
      </c>
      <c r="P50" s="1684">
        <f>11169.018+1931.105+2524.828+2615.527+1994.288+286.65</f>
        <v>20521.416000000001</v>
      </c>
      <c r="Q50" s="1684">
        <f t="shared" si="4"/>
        <v>328760.39900000003</v>
      </c>
      <c r="R50" s="1685" t="s">
        <v>824</v>
      </c>
    </row>
    <row r="51" spans="1:18" ht="9.75" customHeight="1">
      <c r="A51" s="76" t="s">
        <v>2328</v>
      </c>
      <c r="B51" s="1148" t="s">
        <v>2253</v>
      </c>
      <c r="C51" s="1147"/>
      <c r="D51" s="1147"/>
      <c r="E51" s="1147"/>
      <c r="F51" s="1147"/>
      <c r="G51" s="1147"/>
      <c r="H51" s="144"/>
      <c r="I51" s="44"/>
      <c r="J51" s="2097" t="s">
        <v>2254</v>
      </c>
      <c r="K51" s="2097"/>
      <c r="L51" s="2097"/>
      <c r="M51" s="2097"/>
      <c r="N51" s="2097"/>
      <c r="O51" s="2097"/>
      <c r="P51" s="2097"/>
      <c r="Q51" s="2097"/>
      <c r="R51" s="2097"/>
    </row>
    <row r="52" spans="1:18" ht="9.75" customHeight="1">
      <c r="A52" s="62"/>
      <c r="B52" s="1875" t="s">
        <v>916</v>
      </c>
      <c r="C52" s="1875"/>
      <c r="D52" s="271"/>
      <c r="E52" s="271"/>
      <c r="F52" s="271"/>
      <c r="G52" s="271"/>
      <c r="H52" s="21"/>
      <c r="I52" s="21"/>
      <c r="J52" s="788" t="s">
        <v>22</v>
      </c>
      <c r="K52" s="1149" t="s">
        <v>2237</v>
      </c>
      <c r="L52" s="216"/>
      <c r="M52" s="216"/>
      <c r="O52" s="21"/>
      <c r="P52" s="21"/>
      <c r="Q52" s="21"/>
      <c r="R52" s="98"/>
    </row>
    <row r="53" spans="1:18">
      <c r="D53" s="119"/>
      <c r="E53" s="119"/>
      <c r="F53" s="119"/>
      <c r="G53" s="119"/>
      <c r="H53" s="119"/>
      <c r="I53" s="119"/>
      <c r="J53" s="119"/>
      <c r="K53" s="119"/>
      <c r="L53" s="119"/>
      <c r="M53" s="119"/>
      <c r="N53" s="119"/>
      <c r="O53" s="119"/>
      <c r="P53" s="119"/>
      <c r="Q53" s="119"/>
      <c r="R53" s="23"/>
    </row>
    <row r="54" spans="1:18">
      <c r="R54" s="23"/>
    </row>
    <row r="55" spans="1:18">
      <c r="Q55" s="1053"/>
      <c r="R55" s="23"/>
    </row>
    <row r="56" spans="1:18">
      <c r="R56" s="23"/>
    </row>
    <row r="57" spans="1:18">
      <c r="E57" s="119"/>
      <c r="R57" s="23"/>
    </row>
    <row r="58" spans="1:18">
      <c r="R58" s="23"/>
    </row>
    <row r="59" spans="1:18">
      <c r="R59" s="23"/>
    </row>
    <row r="60" spans="1:18">
      <c r="R60" s="23"/>
    </row>
    <row r="61" spans="1:18">
      <c r="R61" s="23"/>
    </row>
    <row r="62" spans="1:18">
      <c r="R62" s="23"/>
    </row>
    <row r="63" spans="1:18">
      <c r="R63" s="23"/>
    </row>
    <row r="64" spans="1:18">
      <c r="R64" s="23"/>
    </row>
    <row r="65" spans="18:18">
      <c r="R65" s="23"/>
    </row>
    <row r="66" spans="18:18">
      <c r="R66" s="23"/>
    </row>
  </sheetData>
  <mergeCells count="9">
    <mergeCell ref="J51:R51"/>
    <mergeCell ref="B52:C52"/>
    <mergeCell ref="J1:P1"/>
    <mergeCell ref="A1:I1"/>
    <mergeCell ref="Q1:R1"/>
    <mergeCell ref="B3:Q3"/>
    <mergeCell ref="Q2:R2"/>
    <mergeCell ref="R3:R4"/>
    <mergeCell ref="A3:A4"/>
  </mergeCells>
  <phoneticPr fontId="46" type="noConversion"/>
  <pageMargins left="0.62992125984252001" right="0.55118110236220497" top="0.511811023622047" bottom="0.31496062992126" header="0.25" footer="0"/>
  <pageSetup paperSize="448" firstPageNumber="54" orientation="portrait" useFirstPageNumber="1" r:id="rId1"/>
  <headerFooter>
    <oddFooter>&amp;C&amp;"Times New Roman,Regular"&amp;8&amp;P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25"/>
  <dimension ref="A1:BL209"/>
  <sheetViews>
    <sheetView zoomScale="130" zoomScaleNormal="130" workbookViewId="0">
      <pane xSplit="3" ySplit="3" topLeftCell="AV49" activePane="bottomRight" state="frozen"/>
      <selection pane="topRight" activeCell="D1" sqref="D1"/>
      <selection pane="bottomLeft" activeCell="A4" sqref="A4"/>
      <selection pane="bottomRight" activeCell="AZ60" sqref="AZ60"/>
    </sheetView>
  </sheetViews>
  <sheetFormatPr defaultColWidth="9.140625" defaultRowHeight="11.25"/>
  <cols>
    <col min="1" max="1" width="2.85546875" style="10" customWidth="1"/>
    <col min="2" max="2" width="4.5703125" style="52" customWidth="1"/>
    <col min="3" max="3" width="23.7109375" style="10" customWidth="1"/>
    <col min="4" max="5" width="8.85546875" style="10" customWidth="1"/>
    <col min="6" max="6" width="9.140625" style="10" customWidth="1"/>
    <col min="7" max="7" width="10.42578125" style="52" customWidth="1"/>
    <col min="8" max="8" width="9.7109375" style="10" customWidth="1"/>
    <col min="9" max="9" width="2.85546875" style="253" customWidth="1"/>
    <col min="10" max="10" width="6" style="398" customWidth="1"/>
    <col min="11" max="11" width="23.28515625" style="253" customWidth="1"/>
    <col min="12" max="12" width="9.28515625" style="253" customWidth="1"/>
    <col min="13" max="13" width="9.85546875" style="253" customWidth="1"/>
    <col min="14" max="14" width="8.5703125" style="253" customWidth="1"/>
    <col min="15" max="15" width="9.140625" style="399" customWidth="1"/>
    <col min="16" max="16" width="9.140625" style="253" customWidth="1"/>
    <col min="17" max="17" width="3" style="253" customWidth="1"/>
    <col min="18" max="18" width="6.5703125" style="398" customWidth="1"/>
    <col min="19" max="19" width="21.5703125" style="253" customWidth="1"/>
    <col min="20" max="20" width="8.5703125" style="253" customWidth="1"/>
    <col min="21" max="21" width="9" style="253" customWidth="1"/>
    <col min="22" max="22" width="8.7109375" style="253" customWidth="1"/>
    <col min="23" max="23" width="10.28515625" style="399" customWidth="1"/>
    <col min="24" max="24" width="10.28515625" style="253" customWidth="1"/>
    <col min="25" max="25" width="2.7109375" style="253" customWidth="1"/>
    <col min="26" max="26" width="7.28515625" style="400" customWidth="1"/>
    <col min="27" max="27" width="23.5703125" style="253" customWidth="1"/>
    <col min="28" max="28" width="9.140625" style="253"/>
    <col min="29" max="29" width="8.42578125" style="253" customWidth="1"/>
    <col min="30" max="30" width="8.7109375" style="253" customWidth="1"/>
    <col min="31" max="32" width="9.140625" style="253"/>
    <col min="33" max="33" width="2.28515625" style="253" customWidth="1"/>
    <col min="34" max="34" width="6.7109375" style="400" customWidth="1"/>
    <col min="35" max="35" width="26.140625" style="253" customWidth="1"/>
    <col min="36" max="36" width="8" style="253" customWidth="1"/>
    <col min="37" max="37" width="8.7109375" style="253" customWidth="1"/>
    <col min="38" max="38" width="8.5703125" style="253" customWidth="1"/>
    <col min="39" max="40" width="9.140625" style="253"/>
    <col min="41" max="41" width="2.7109375" style="253" customWidth="1"/>
    <col min="42" max="42" width="6" style="400" customWidth="1"/>
    <col min="43" max="43" width="24.5703125" style="253" customWidth="1"/>
    <col min="44" max="44" width="7.85546875" style="253" customWidth="1"/>
    <col min="45" max="45" width="9" style="253" customWidth="1"/>
    <col min="46" max="46" width="8.7109375" style="253" customWidth="1"/>
    <col min="47" max="47" width="10.140625" style="253" customWidth="1"/>
    <col min="48" max="48" width="9.5703125" style="253" customWidth="1"/>
    <col min="49" max="49" width="2.5703125" style="253" customWidth="1"/>
    <col min="50" max="50" width="5.85546875" style="400" customWidth="1"/>
    <col min="51" max="51" width="25.140625" style="253" customWidth="1"/>
    <col min="52" max="53" width="8.7109375" style="253" customWidth="1"/>
    <col min="54" max="56" width="9.140625" style="253"/>
    <col min="57" max="57" width="2.7109375" style="253" customWidth="1"/>
    <col min="58" max="58" width="6.7109375" style="400" customWidth="1"/>
    <col min="59" max="59" width="23.7109375" style="253" customWidth="1"/>
    <col min="60" max="61" width="9" style="253" customWidth="1"/>
    <col min="62" max="62" width="8.7109375" style="253" customWidth="1"/>
    <col min="63" max="63" width="9.5703125" style="253" customWidth="1"/>
    <col min="64" max="64" width="8.85546875" style="253" customWidth="1"/>
    <col min="65" max="16384" width="9.140625" style="10"/>
  </cols>
  <sheetData>
    <row r="1" spans="1:64" s="153" customFormat="1" ht="15.75" customHeight="1">
      <c r="A1" s="2111" t="s">
        <v>1423</v>
      </c>
      <c r="B1" s="2111"/>
      <c r="C1" s="2111"/>
      <c r="D1" s="2111"/>
      <c r="E1" s="2111"/>
      <c r="F1" s="2111"/>
      <c r="G1" s="2111"/>
      <c r="H1" s="2111"/>
      <c r="I1" s="2109" t="s">
        <v>1424</v>
      </c>
      <c r="J1" s="2109"/>
      <c r="K1" s="2109"/>
      <c r="L1" s="2109"/>
      <c r="M1" s="2109"/>
      <c r="N1" s="2108" t="s">
        <v>1812</v>
      </c>
      <c r="O1" s="2108"/>
      <c r="P1" s="2108"/>
      <c r="Q1" s="379"/>
      <c r="R1" s="380"/>
      <c r="S1" s="2108" t="s">
        <v>1425</v>
      </c>
      <c r="T1" s="2108"/>
      <c r="U1" s="2108"/>
      <c r="V1" s="2108"/>
      <c r="W1" s="2108"/>
      <c r="X1" s="2108"/>
      <c r="Y1" s="2109" t="s">
        <v>1426</v>
      </c>
      <c r="Z1" s="2109"/>
      <c r="AA1" s="2109"/>
      <c r="AB1" s="2109"/>
      <c r="AC1" s="2109"/>
      <c r="AD1" s="2108" t="s">
        <v>1812</v>
      </c>
      <c r="AE1" s="2108"/>
      <c r="AF1" s="2108"/>
      <c r="AG1" s="379"/>
      <c r="AH1" s="380"/>
      <c r="AI1" s="2108" t="s">
        <v>1423</v>
      </c>
      <c r="AJ1" s="2108"/>
      <c r="AK1" s="2108"/>
      <c r="AL1" s="2108"/>
      <c r="AM1" s="2108"/>
      <c r="AN1" s="2108"/>
      <c r="AO1" s="2109" t="s">
        <v>1427</v>
      </c>
      <c r="AP1" s="2109"/>
      <c r="AQ1" s="2109"/>
      <c r="AR1" s="2109"/>
      <c r="AS1" s="2109"/>
      <c r="AT1" s="2108" t="s">
        <v>1812</v>
      </c>
      <c r="AU1" s="2108"/>
      <c r="AV1" s="2108"/>
      <c r="AW1" s="379"/>
      <c r="AX1" s="380"/>
      <c r="AY1" s="2108" t="s">
        <v>1423</v>
      </c>
      <c r="AZ1" s="2108"/>
      <c r="BA1" s="2108"/>
      <c r="BB1" s="2108"/>
      <c r="BC1" s="2108"/>
      <c r="BD1" s="2108"/>
      <c r="BE1" s="2109" t="s">
        <v>1428</v>
      </c>
      <c r="BF1" s="2109"/>
      <c r="BG1" s="2109"/>
      <c r="BH1" s="2109"/>
      <c r="BI1" s="2109"/>
      <c r="BJ1" s="2108" t="s">
        <v>1813</v>
      </c>
      <c r="BK1" s="2108"/>
      <c r="BL1" s="2108"/>
    </row>
    <row r="2" spans="1:64" s="326" customFormat="1" ht="17.25" customHeight="1">
      <c r="A2" s="1999" t="s">
        <v>1235</v>
      </c>
      <c r="B2" s="1999"/>
      <c r="C2" s="1999"/>
      <c r="D2" s="2112" t="s">
        <v>551</v>
      </c>
      <c r="E2" s="2112" t="s">
        <v>34</v>
      </c>
      <c r="F2" s="2112" t="s">
        <v>1234</v>
      </c>
      <c r="G2" s="2112" t="s">
        <v>482</v>
      </c>
      <c r="H2" s="2112"/>
      <c r="I2" s="2110" t="s">
        <v>1235</v>
      </c>
      <c r="J2" s="2110"/>
      <c r="K2" s="2110"/>
      <c r="L2" s="2107" t="s">
        <v>1283</v>
      </c>
      <c r="M2" s="2107" t="s">
        <v>32</v>
      </c>
      <c r="N2" s="2107" t="s">
        <v>1234</v>
      </c>
      <c r="O2" s="2107" t="s">
        <v>482</v>
      </c>
      <c r="P2" s="2107"/>
      <c r="Q2" s="2110" t="s">
        <v>1235</v>
      </c>
      <c r="R2" s="2110"/>
      <c r="S2" s="2110"/>
      <c r="T2" s="2107" t="s">
        <v>1236</v>
      </c>
      <c r="U2" s="2107" t="s">
        <v>32</v>
      </c>
      <c r="V2" s="2107" t="s">
        <v>1234</v>
      </c>
      <c r="W2" s="2107" t="s">
        <v>482</v>
      </c>
      <c r="X2" s="2107"/>
      <c r="Y2" s="2110" t="s">
        <v>1235</v>
      </c>
      <c r="Z2" s="2110"/>
      <c r="AA2" s="2110"/>
      <c r="AB2" s="2107" t="s">
        <v>1236</v>
      </c>
      <c r="AC2" s="2107" t="s">
        <v>32</v>
      </c>
      <c r="AD2" s="2107" t="s">
        <v>1234</v>
      </c>
      <c r="AE2" s="2107" t="s">
        <v>482</v>
      </c>
      <c r="AF2" s="2107"/>
      <c r="AG2" s="2110" t="s">
        <v>1235</v>
      </c>
      <c r="AH2" s="2110"/>
      <c r="AI2" s="2110"/>
      <c r="AJ2" s="2107" t="s">
        <v>1236</v>
      </c>
      <c r="AK2" s="2107" t="s">
        <v>32</v>
      </c>
      <c r="AL2" s="2107" t="s">
        <v>1234</v>
      </c>
      <c r="AM2" s="2107" t="s">
        <v>482</v>
      </c>
      <c r="AN2" s="2107"/>
      <c r="AO2" s="2110" t="s">
        <v>1235</v>
      </c>
      <c r="AP2" s="2110"/>
      <c r="AQ2" s="2110"/>
      <c r="AR2" s="2107" t="s">
        <v>1236</v>
      </c>
      <c r="AS2" s="2107" t="s">
        <v>32</v>
      </c>
      <c r="AT2" s="2107" t="s">
        <v>1234</v>
      </c>
      <c r="AU2" s="2107" t="s">
        <v>482</v>
      </c>
      <c r="AV2" s="2107"/>
      <c r="AW2" s="2110" t="s">
        <v>1235</v>
      </c>
      <c r="AX2" s="2110"/>
      <c r="AY2" s="2110"/>
      <c r="AZ2" s="2107" t="s">
        <v>1236</v>
      </c>
      <c r="BA2" s="2107" t="s">
        <v>32</v>
      </c>
      <c r="BB2" s="2107" t="s">
        <v>1234</v>
      </c>
      <c r="BC2" s="2107" t="s">
        <v>482</v>
      </c>
      <c r="BD2" s="2107"/>
      <c r="BE2" s="2110" t="s">
        <v>1235</v>
      </c>
      <c r="BF2" s="2110"/>
      <c r="BG2" s="2110"/>
      <c r="BH2" s="2107" t="s">
        <v>1236</v>
      </c>
      <c r="BI2" s="2107" t="s">
        <v>32</v>
      </c>
      <c r="BJ2" s="2107" t="s">
        <v>1234</v>
      </c>
      <c r="BK2" s="2107" t="s">
        <v>482</v>
      </c>
      <c r="BL2" s="2107"/>
    </row>
    <row r="3" spans="1:64" s="94" customFormat="1" ht="27.75" customHeight="1">
      <c r="A3" s="1999"/>
      <c r="B3" s="1999"/>
      <c r="C3" s="1999"/>
      <c r="D3" s="2112"/>
      <c r="E3" s="2112"/>
      <c r="F3" s="2112"/>
      <c r="G3" s="74" t="s">
        <v>483</v>
      </c>
      <c r="H3" s="74" t="s">
        <v>484</v>
      </c>
      <c r="I3" s="2110"/>
      <c r="J3" s="2110"/>
      <c r="K3" s="2110"/>
      <c r="L3" s="2107"/>
      <c r="M3" s="2107"/>
      <c r="N3" s="2107"/>
      <c r="O3" s="381" t="s">
        <v>483</v>
      </c>
      <c r="P3" s="1084" t="s">
        <v>484</v>
      </c>
      <c r="Q3" s="2110"/>
      <c r="R3" s="2110"/>
      <c r="S3" s="2110"/>
      <c r="T3" s="2107"/>
      <c r="U3" s="2107"/>
      <c r="V3" s="2107"/>
      <c r="W3" s="381" t="s">
        <v>483</v>
      </c>
      <c r="X3" s="1084" t="s">
        <v>484</v>
      </c>
      <c r="Y3" s="2110"/>
      <c r="Z3" s="2110"/>
      <c r="AA3" s="2110"/>
      <c r="AB3" s="2107"/>
      <c r="AC3" s="2107"/>
      <c r="AD3" s="2107"/>
      <c r="AE3" s="381" t="s">
        <v>483</v>
      </c>
      <c r="AF3" s="1084" t="s">
        <v>484</v>
      </c>
      <c r="AG3" s="2110"/>
      <c r="AH3" s="2110"/>
      <c r="AI3" s="2110"/>
      <c r="AJ3" s="2107"/>
      <c r="AK3" s="2107"/>
      <c r="AL3" s="2107"/>
      <c r="AM3" s="381" t="s">
        <v>483</v>
      </c>
      <c r="AN3" s="1084" t="s">
        <v>484</v>
      </c>
      <c r="AO3" s="2110"/>
      <c r="AP3" s="2110"/>
      <c r="AQ3" s="2110"/>
      <c r="AR3" s="2107"/>
      <c r="AS3" s="2107"/>
      <c r="AT3" s="2107"/>
      <c r="AU3" s="381" t="s">
        <v>483</v>
      </c>
      <c r="AV3" s="1084" t="s">
        <v>484</v>
      </c>
      <c r="AW3" s="2110"/>
      <c r="AX3" s="2110"/>
      <c r="AY3" s="2110"/>
      <c r="AZ3" s="2107"/>
      <c r="BA3" s="2107"/>
      <c r="BB3" s="2107"/>
      <c r="BC3" s="381" t="s">
        <v>483</v>
      </c>
      <c r="BD3" s="1084" t="s">
        <v>484</v>
      </c>
      <c r="BE3" s="2110"/>
      <c r="BF3" s="2110"/>
      <c r="BG3" s="2110"/>
      <c r="BH3" s="2107"/>
      <c r="BI3" s="2107"/>
      <c r="BJ3" s="2107"/>
      <c r="BK3" s="381" t="s">
        <v>483</v>
      </c>
      <c r="BL3" s="381" t="s">
        <v>484</v>
      </c>
    </row>
    <row r="4" spans="1:64" s="386" customFormat="1" ht="10.5" customHeight="1">
      <c r="A4" s="2113" t="s">
        <v>1212</v>
      </c>
      <c r="B4" s="2113"/>
      <c r="C4" s="2113"/>
      <c r="D4" s="982"/>
      <c r="E4" s="982"/>
      <c r="F4" s="2114"/>
      <c r="G4" s="2114"/>
      <c r="H4" s="2114"/>
      <c r="I4" s="982"/>
      <c r="J4" s="980" t="s">
        <v>1095</v>
      </c>
      <c r="K4" s="825" t="s">
        <v>1284</v>
      </c>
      <c r="L4" s="974" t="s">
        <v>2280</v>
      </c>
      <c r="M4" s="434">
        <v>5.84</v>
      </c>
      <c r="N4" s="974" t="s">
        <v>2281</v>
      </c>
      <c r="O4" s="973" t="s">
        <v>485</v>
      </c>
      <c r="P4" s="973" t="s">
        <v>486</v>
      </c>
      <c r="Q4" s="491"/>
      <c r="R4" s="980" t="s">
        <v>1090</v>
      </c>
      <c r="S4" s="977" t="s">
        <v>1285</v>
      </c>
      <c r="T4" s="1363" t="s">
        <v>1252</v>
      </c>
      <c r="U4" s="473">
        <v>9.5</v>
      </c>
      <c r="V4" s="1363" t="s">
        <v>1256</v>
      </c>
      <c r="W4" s="973" t="s">
        <v>485</v>
      </c>
      <c r="X4" s="973" t="s">
        <v>486</v>
      </c>
      <c r="Y4" s="490"/>
      <c r="Z4" s="977" t="s">
        <v>1731</v>
      </c>
      <c r="AA4" s="977" t="s">
        <v>1285</v>
      </c>
      <c r="AB4" s="987" t="s">
        <v>2440</v>
      </c>
      <c r="AC4" s="473">
        <v>7.39</v>
      </c>
      <c r="AD4" s="987" t="s">
        <v>2441</v>
      </c>
      <c r="AE4" s="973" t="s">
        <v>485</v>
      </c>
      <c r="AF4" s="973" t="s">
        <v>486</v>
      </c>
      <c r="AG4" s="491"/>
      <c r="AH4" s="985" t="s">
        <v>1091</v>
      </c>
      <c r="AI4" s="985" t="s">
        <v>1286</v>
      </c>
      <c r="AJ4" s="1487" t="s">
        <v>575</v>
      </c>
      <c r="AK4" s="473">
        <v>8.75</v>
      </c>
      <c r="AL4" s="430" t="s">
        <v>576</v>
      </c>
      <c r="AM4" s="1488" t="s">
        <v>485</v>
      </c>
      <c r="AN4" s="1488" t="s">
        <v>486</v>
      </c>
      <c r="AO4" s="490"/>
      <c r="AP4" s="976" t="s">
        <v>1258</v>
      </c>
      <c r="AQ4" s="979" t="s">
        <v>1397</v>
      </c>
      <c r="AR4" s="974" t="s">
        <v>1957</v>
      </c>
      <c r="AS4" s="434">
        <v>10.06</v>
      </c>
      <c r="AT4" s="974" t="s">
        <v>1036</v>
      </c>
      <c r="AU4" s="973" t="s">
        <v>485</v>
      </c>
      <c r="AV4" s="973" t="s">
        <v>486</v>
      </c>
      <c r="AW4" s="490"/>
      <c r="AX4" s="976" t="s">
        <v>1081</v>
      </c>
      <c r="AY4" s="825" t="s">
        <v>1287</v>
      </c>
      <c r="AZ4" s="1363" t="s">
        <v>6</v>
      </c>
      <c r="BA4" s="473">
        <v>13.07</v>
      </c>
      <c r="BB4" s="1363" t="s">
        <v>7</v>
      </c>
      <c r="BC4" s="973" t="s">
        <v>485</v>
      </c>
      <c r="BD4" s="973" t="s">
        <v>486</v>
      </c>
      <c r="BE4" s="491"/>
      <c r="BF4" s="976" t="s">
        <v>1134</v>
      </c>
      <c r="BG4" s="825" t="s">
        <v>1398</v>
      </c>
      <c r="BH4" s="981" t="s">
        <v>1705</v>
      </c>
      <c r="BI4" s="434">
        <v>12.33</v>
      </c>
      <c r="BJ4" s="981" t="s">
        <v>1706</v>
      </c>
      <c r="BK4" s="973" t="s">
        <v>485</v>
      </c>
      <c r="BL4" s="973" t="s">
        <v>486</v>
      </c>
    </row>
    <row r="5" spans="1:64" s="386" customFormat="1" ht="10.5" customHeight="1">
      <c r="A5" s="1364" t="s">
        <v>899</v>
      </c>
      <c r="B5" s="791" t="s">
        <v>1063</v>
      </c>
      <c r="C5" s="533" t="s">
        <v>1643</v>
      </c>
      <c r="D5" s="395" t="s">
        <v>2257</v>
      </c>
      <c r="E5" s="383">
        <v>5.0999999999999996</v>
      </c>
      <c r="F5" s="696" t="s">
        <v>2258</v>
      </c>
      <c r="G5" s="530" t="s">
        <v>485</v>
      </c>
      <c r="H5" s="530" t="s">
        <v>486</v>
      </c>
      <c r="J5" s="791" t="s">
        <v>1096</v>
      </c>
      <c r="K5" s="533" t="s">
        <v>1284</v>
      </c>
      <c r="L5" s="535" t="s">
        <v>2319</v>
      </c>
      <c r="M5" s="389">
        <v>5.73</v>
      </c>
      <c r="N5" s="535" t="s">
        <v>718</v>
      </c>
      <c r="O5" s="530" t="s">
        <v>485</v>
      </c>
      <c r="P5" s="530" t="s">
        <v>486</v>
      </c>
      <c r="R5" s="791" t="s">
        <v>1091</v>
      </c>
      <c r="S5" s="531" t="s">
        <v>1285</v>
      </c>
      <c r="T5" s="327" t="s">
        <v>1576</v>
      </c>
      <c r="U5" s="383">
        <v>9.5299999999999994</v>
      </c>
      <c r="V5" s="327" t="s">
        <v>1577</v>
      </c>
      <c r="W5" s="530" t="s">
        <v>485</v>
      </c>
      <c r="X5" s="530" t="s">
        <v>486</v>
      </c>
      <c r="Y5" s="391"/>
      <c r="Z5" s="531" t="s">
        <v>1257</v>
      </c>
      <c r="AA5" s="531" t="s">
        <v>1285</v>
      </c>
      <c r="AB5" s="535" t="s">
        <v>2461</v>
      </c>
      <c r="AC5" s="383">
        <v>7.35</v>
      </c>
      <c r="AD5" s="535" t="s">
        <v>2463</v>
      </c>
      <c r="AE5" s="530" t="s">
        <v>485</v>
      </c>
      <c r="AF5" s="530" t="s">
        <v>486</v>
      </c>
      <c r="AH5" s="529" t="s">
        <v>1092</v>
      </c>
      <c r="AI5" s="693" t="s">
        <v>1286</v>
      </c>
      <c r="AJ5" s="395" t="s">
        <v>1009</v>
      </c>
      <c r="AK5" s="383">
        <v>8.77</v>
      </c>
      <c r="AL5" s="696" t="s">
        <v>1010</v>
      </c>
      <c r="AM5" s="530" t="s">
        <v>485</v>
      </c>
      <c r="AN5" s="530" t="s">
        <v>486</v>
      </c>
      <c r="AO5" s="391"/>
      <c r="AP5" s="752" t="s">
        <v>1259</v>
      </c>
      <c r="AQ5" s="532" t="s">
        <v>1397</v>
      </c>
      <c r="AR5" s="535" t="s">
        <v>1964</v>
      </c>
      <c r="AS5" s="389">
        <v>8.57</v>
      </c>
      <c r="AT5" s="535" t="s">
        <v>1965</v>
      </c>
      <c r="AU5" s="530" t="s">
        <v>485</v>
      </c>
      <c r="AV5" s="530" t="s">
        <v>486</v>
      </c>
      <c r="AW5" s="391"/>
      <c r="AX5" s="752" t="s">
        <v>1082</v>
      </c>
      <c r="AY5" s="533" t="s">
        <v>1287</v>
      </c>
      <c r="AZ5" s="327" t="s">
        <v>10</v>
      </c>
      <c r="BA5" s="383">
        <v>13.07</v>
      </c>
      <c r="BB5" s="327" t="s">
        <v>11</v>
      </c>
      <c r="BC5" s="530" t="s">
        <v>485</v>
      </c>
      <c r="BD5" s="530" t="s">
        <v>486</v>
      </c>
      <c r="BF5" s="752" t="s">
        <v>1135</v>
      </c>
      <c r="BG5" s="533" t="s">
        <v>1398</v>
      </c>
      <c r="BH5" s="751" t="s">
        <v>1708</v>
      </c>
      <c r="BI5" s="389">
        <v>12.33</v>
      </c>
      <c r="BJ5" s="751" t="s">
        <v>1710</v>
      </c>
      <c r="BK5" s="530" t="s">
        <v>485</v>
      </c>
      <c r="BL5" s="530" t="s">
        <v>486</v>
      </c>
    </row>
    <row r="6" spans="1:64" s="386" customFormat="1" ht="10.5" customHeight="1">
      <c r="A6" s="491"/>
      <c r="B6" s="980" t="s">
        <v>1064</v>
      </c>
      <c r="C6" s="825" t="s">
        <v>1643</v>
      </c>
      <c r="D6" s="972" t="s">
        <v>2278</v>
      </c>
      <c r="E6" s="473">
        <v>4.9400000000000004</v>
      </c>
      <c r="F6" s="972" t="s">
        <v>2279</v>
      </c>
      <c r="G6" s="973" t="s">
        <v>485</v>
      </c>
      <c r="H6" s="973" t="s">
        <v>486</v>
      </c>
      <c r="I6" s="982"/>
      <c r="J6" s="980" t="s">
        <v>1097</v>
      </c>
      <c r="K6" s="825" t="s">
        <v>1284</v>
      </c>
      <c r="L6" s="974" t="s">
        <v>2396</v>
      </c>
      <c r="M6" s="434">
        <v>5.94</v>
      </c>
      <c r="N6" s="974" t="s">
        <v>2397</v>
      </c>
      <c r="O6" s="973" t="s">
        <v>485</v>
      </c>
      <c r="P6" s="973" t="s">
        <v>486</v>
      </c>
      <c r="Q6" s="491"/>
      <c r="R6" s="980" t="s">
        <v>1092</v>
      </c>
      <c r="S6" s="977" t="s">
        <v>1285</v>
      </c>
      <c r="T6" s="1363" t="s">
        <v>1578</v>
      </c>
      <c r="U6" s="473">
        <v>9.5500000000000007</v>
      </c>
      <c r="V6" s="1363" t="s">
        <v>1579</v>
      </c>
      <c r="W6" s="973" t="s">
        <v>485</v>
      </c>
      <c r="X6" s="973" t="s">
        <v>486</v>
      </c>
      <c r="Y6" s="490"/>
      <c r="Z6" s="977" t="s">
        <v>1258</v>
      </c>
      <c r="AA6" s="977" t="s">
        <v>1285</v>
      </c>
      <c r="AB6" s="974" t="s">
        <v>2462</v>
      </c>
      <c r="AC6" s="473">
        <v>7.11</v>
      </c>
      <c r="AD6" s="974" t="s">
        <v>2464</v>
      </c>
      <c r="AE6" s="973" t="s">
        <v>485</v>
      </c>
      <c r="AF6" s="973" t="s">
        <v>486</v>
      </c>
      <c r="AG6" s="491"/>
      <c r="AH6" s="975" t="s">
        <v>1093</v>
      </c>
      <c r="AI6" s="985" t="s">
        <v>1286</v>
      </c>
      <c r="AJ6" s="972" t="s">
        <v>1011</v>
      </c>
      <c r="AK6" s="473">
        <v>8.8000000000000007</v>
      </c>
      <c r="AL6" s="983" t="s">
        <v>1012</v>
      </c>
      <c r="AM6" s="973" t="s">
        <v>485</v>
      </c>
      <c r="AN6" s="973" t="s">
        <v>486</v>
      </c>
      <c r="AO6" s="490"/>
      <c r="AP6" s="976" t="s">
        <v>1260</v>
      </c>
      <c r="AQ6" s="979" t="s">
        <v>1397</v>
      </c>
      <c r="AR6" s="974" t="s">
        <v>1969</v>
      </c>
      <c r="AS6" s="434">
        <v>8.44</v>
      </c>
      <c r="AT6" s="974" t="s">
        <v>1971</v>
      </c>
      <c r="AU6" s="973" t="s">
        <v>485</v>
      </c>
      <c r="AV6" s="973" t="s">
        <v>486</v>
      </c>
      <c r="AW6" s="490"/>
      <c r="AX6" s="976" t="s">
        <v>1083</v>
      </c>
      <c r="AY6" s="825" t="s">
        <v>1287</v>
      </c>
      <c r="AZ6" s="1363" t="s">
        <v>14</v>
      </c>
      <c r="BA6" s="473">
        <v>11.09</v>
      </c>
      <c r="BB6" s="1363" t="s">
        <v>15</v>
      </c>
      <c r="BC6" s="973" t="s">
        <v>485</v>
      </c>
      <c r="BD6" s="973" t="s">
        <v>486</v>
      </c>
      <c r="BE6" s="491"/>
      <c r="BF6" s="976" t="s">
        <v>1136</v>
      </c>
      <c r="BG6" s="825" t="s">
        <v>1398</v>
      </c>
      <c r="BH6" s="981" t="s">
        <v>1712</v>
      </c>
      <c r="BI6" s="434">
        <v>12.26</v>
      </c>
      <c r="BJ6" s="981" t="s">
        <v>1713</v>
      </c>
      <c r="BK6" s="973" t="s">
        <v>485</v>
      </c>
      <c r="BL6" s="973" t="s">
        <v>486</v>
      </c>
    </row>
    <row r="7" spans="1:64" s="386" customFormat="1" ht="10.5" customHeight="1">
      <c r="B7" s="791" t="s">
        <v>1065</v>
      </c>
      <c r="C7" s="533" t="s">
        <v>1643</v>
      </c>
      <c r="D7" s="395" t="s">
        <v>2394</v>
      </c>
      <c r="E7" s="383">
        <v>5.14</v>
      </c>
      <c r="F7" s="395" t="s">
        <v>2395</v>
      </c>
      <c r="G7" s="530" t="s">
        <v>485</v>
      </c>
      <c r="H7" s="530" t="s">
        <v>486</v>
      </c>
      <c r="I7" s="390"/>
      <c r="J7" s="791" t="s">
        <v>1098</v>
      </c>
      <c r="K7" s="533" t="s">
        <v>1284</v>
      </c>
      <c r="L7" s="535" t="s">
        <v>2433</v>
      </c>
      <c r="M7" s="389">
        <v>5.99</v>
      </c>
      <c r="N7" s="535" t="s">
        <v>2434</v>
      </c>
      <c r="O7" s="530" t="s">
        <v>485</v>
      </c>
      <c r="P7" s="530" t="s">
        <v>486</v>
      </c>
      <c r="R7" s="791" t="s">
        <v>1093</v>
      </c>
      <c r="S7" s="531" t="s">
        <v>1285</v>
      </c>
      <c r="T7" s="327" t="s">
        <v>1580</v>
      </c>
      <c r="U7" s="383">
        <v>9.5500000000000007</v>
      </c>
      <c r="V7" s="327" t="s">
        <v>1581</v>
      </c>
      <c r="W7" s="530" t="s">
        <v>485</v>
      </c>
      <c r="X7" s="530" t="s">
        <v>486</v>
      </c>
      <c r="Y7" s="391"/>
      <c r="Z7" s="531" t="s">
        <v>1259</v>
      </c>
      <c r="AA7" s="531" t="s">
        <v>1285</v>
      </c>
      <c r="AB7" s="535" t="s">
        <v>2484</v>
      </c>
      <c r="AC7" s="383">
        <v>6.84</v>
      </c>
      <c r="AD7" s="535" t="s">
        <v>2485</v>
      </c>
      <c r="AE7" s="530" t="s">
        <v>485</v>
      </c>
      <c r="AF7" s="530" t="s">
        <v>486</v>
      </c>
      <c r="AH7" s="529" t="s">
        <v>1094</v>
      </c>
      <c r="AI7" s="693" t="s">
        <v>1286</v>
      </c>
      <c r="AJ7" s="395" t="s">
        <v>1013</v>
      </c>
      <c r="AK7" s="383">
        <v>8.8000000000000007</v>
      </c>
      <c r="AL7" s="696" t="s">
        <v>1014</v>
      </c>
      <c r="AM7" s="530" t="s">
        <v>485</v>
      </c>
      <c r="AN7" s="530" t="s">
        <v>486</v>
      </c>
      <c r="AO7" s="391"/>
      <c r="AP7" s="752" t="s">
        <v>1261</v>
      </c>
      <c r="AQ7" s="532" t="s">
        <v>1397</v>
      </c>
      <c r="AR7" s="535" t="s">
        <v>1979</v>
      </c>
      <c r="AS7" s="389">
        <v>7.8</v>
      </c>
      <c r="AT7" s="535" t="s">
        <v>1981</v>
      </c>
      <c r="AU7" s="530" t="s">
        <v>485</v>
      </c>
      <c r="AV7" s="530" t="s">
        <v>486</v>
      </c>
      <c r="AX7" s="752" t="s">
        <v>1084</v>
      </c>
      <c r="AY7" s="533" t="s">
        <v>1287</v>
      </c>
      <c r="AZ7" s="327" t="s">
        <v>16</v>
      </c>
      <c r="BA7" s="383">
        <v>10.07</v>
      </c>
      <c r="BB7" s="327" t="s">
        <v>17</v>
      </c>
      <c r="BC7" s="530" t="s">
        <v>485</v>
      </c>
      <c r="BD7" s="530" t="s">
        <v>486</v>
      </c>
      <c r="BF7" s="752" t="s">
        <v>1198</v>
      </c>
      <c r="BG7" s="533" t="s">
        <v>1398</v>
      </c>
      <c r="BH7" s="751" t="s">
        <v>1715</v>
      </c>
      <c r="BI7" s="389">
        <v>12.24</v>
      </c>
      <c r="BJ7" s="751" t="s">
        <v>1716</v>
      </c>
      <c r="BK7" s="530" t="s">
        <v>485</v>
      </c>
      <c r="BL7" s="530" t="s">
        <v>486</v>
      </c>
    </row>
    <row r="8" spans="1:64" s="386" customFormat="1" ht="10.5" customHeight="1">
      <c r="A8" s="491"/>
      <c r="B8" s="980" t="s">
        <v>1066</v>
      </c>
      <c r="C8" s="825" t="s">
        <v>1643</v>
      </c>
      <c r="D8" s="972" t="s">
        <v>2431</v>
      </c>
      <c r="E8" s="473">
        <v>5.2</v>
      </c>
      <c r="F8" s="972" t="s">
        <v>2432</v>
      </c>
      <c r="G8" s="973" t="s">
        <v>485</v>
      </c>
      <c r="H8" s="973" t="s">
        <v>486</v>
      </c>
      <c r="I8" s="982"/>
      <c r="J8" s="980" t="s">
        <v>1099</v>
      </c>
      <c r="K8" s="825" t="s">
        <v>1284</v>
      </c>
      <c r="L8" s="974" t="s">
        <v>2452</v>
      </c>
      <c r="M8" s="434">
        <v>5.89</v>
      </c>
      <c r="N8" s="974" t="s">
        <v>2453</v>
      </c>
      <c r="O8" s="973" t="s">
        <v>485</v>
      </c>
      <c r="P8" s="973" t="s">
        <v>486</v>
      </c>
      <c r="Q8" s="1363"/>
      <c r="R8" s="980" t="s">
        <v>1094</v>
      </c>
      <c r="S8" s="977" t="s">
        <v>1285</v>
      </c>
      <c r="T8" s="1363" t="s">
        <v>1582</v>
      </c>
      <c r="U8" s="473">
        <v>9.5500000000000007</v>
      </c>
      <c r="V8" s="1363" t="s">
        <v>1583</v>
      </c>
      <c r="W8" s="973" t="s">
        <v>485</v>
      </c>
      <c r="X8" s="973" t="s">
        <v>486</v>
      </c>
      <c r="Y8" s="490"/>
      <c r="Z8" s="977" t="s">
        <v>1260</v>
      </c>
      <c r="AA8" s="977" t="s">
        <v>1285</v>
      </c>
      <c r="AB8" s="974" t="s">
        <v>2506</v>
      </c>
      <c r="AC8" s="473">
        <v>7.5</v>
      </c>
      <c r="AD8" s="974" t="s">
        <v>2507</v>
      </c>
      <c r="AE8" s="973" t="s">
        <v>485</v>
      </c>
      <c r="AF8" s="973" t="s">
        <v>486</v>
      </c>
      <c r="AG8" s="982"/>
      <c r="AH8" s="976" t="s">
        <v>1096</v>
      </c>
      <c r="AI8" s="979" t="s">
        <v>1286</v>
      </c>
      <c r="AJ8" s="433" t="s">
        <v>1015</v>
      </c>
      <c r="AK8" s="434">
        <v>8.86</v>
      </c>
      <c r="AL8" s="433" t="s">
        <v>1016</v>
      </c>
      <c r="AM8" s="973" t="s">
        <v>485</v>
      </c>
      <c r="AN8" s="973" t="s">
        <v>486</v>
      </c>
      <c r="AO8" s="490"/>
      <c r="AP8" s="976" t="s">
        <v>1988</v>
      </c>
      <c r="AQ8" s="979" t="s">
        <v>1397</v>
      </c>
      <c r="AR8" s="974" t="s">
        <v>1987</v>
      </c>
      <c r="AS8" s="434">
        <v>8.3000000000000007</v>
      </c>
      <c r="AT8" s="974" t="s">
        <v>1991</v>
      </c>
      <c r="AU8" s="973" t="s">
        <v>485</v>
      </c>
      <c r="AV8" s="973" t="s">
        <v>486</v>
      </c>
      <c r="AW8" s="491"/>
      <c r="AX8" s="976" t="s">
        <v>1085</v>
      </c>
      <c r="AY8" s="825" t="s">
        <v>1287</v>
      </c>
      <c r="AZ8" s="1363" t="s">
        <v>18</v>
      </c>
      <c r="BA8" s="473">
        <v>8.9700000000000006</v>
      </c>
      <c r="BB8" s="1363" t="s">
        <v>19</v>
      </c>
      <c r="BC8" s="973" t="s">
        <v>485</v>
      </c>
      <c r="BD8" s="973" t="s">
        <v>486</v>
      </c>
      <c r="BE8" s="491"/>
      <c r="BF8" s="976" t="s">
        <v>1199</v>
      </c>
      <c r="BG8" s="825" t="s">
        <v>1398</v>
      </c>
      <c r="BH8" s="981" t="s">
        <v>1722</v>
      </c>
      <c r="BI8" s="434">
        <v>12.14</v>
      </c>
      <c r="BJ8" s="981" t="s">
        <v>1726</v>
      </c>
      <c r="BK8" s="973" t="s">
        <v>485</v>
      </c>
      <c r="BL8" s="973" t="s">
        <v>486</v>
      </c>
    </row>
    <row r="9" spans="1:64" s="386" customFormat="1" ht="10.5" customHeight="1">
      <c r="B9" s="791" t="s">
        <v>1067</v>
      </c>
      <c r="C9" s="533" t="s">
        <v>1643</v>
      </c>
      <c r="D9" s="395" t="s">
        <v>2455</v>
      </c>
      <c r="E9" s="383">
        <v>5.44</v>
      </c>
      <c r="F9" s="395" t="s">
        <v>2456</v>
      </c>
      <c r="G9" s="530" t="s">
        <v>485</v>
      </c>
      <c r="H9" s="530" t="s">
        <v>486</v>
      </c>
      <c r="I9" s="390"/>
      <c r="J9" s="791" t="s">
        <v>1100</v>
      </c>
      <c r="K9" s="533" t="s">
        <v>1284</v>
      </c>
      <c r="L9" s="535" t="s">
        <v>2459</v>
      </c>
      <c r="M9" s="389">
        <v>5.69</v>
      </c>
      <c r="N9" s="535" t="s">
        <v>2460</v>
      </c>
      <c r="O9" s="530" t="s">
        <v>485</v>
      </c>
      <c r="P9" s="530" t="s">
        <v>486</v>
      </c>
      <c r="R9" s="791" t="s">
        <v>1095</v>
      </c>
      <c r="S9" s="531" t="s">
        <v>1285</v>
      </c>
      <c r="T9" s="327" t="s">
        <v>1584</v>
      </c>
      <c r="U9" s="383">
        <v>11.25</v>
      </c>
      <c r="V9" s="327" t="s">
        <v>1585</v>
      </c>
      <c r="W9" s="530" t="s">
        <v>485</v>
      </c>
      <c r="X9" s="530" t="s">
        <v>486</v>
      </c>
      <c r="Y9" s="391"/>
      <c r="Z9" s="531" t="s">
        <v>1261</v>
      </c>
      <c r="AA9" s="531" t="s">
        <v>1285</v>
      </c>
      <c r="AB9" s="535" t="s">
        <v>2508</v>
      </c>
      <c r="AC9" s="383">
        <v>7</v>
      </c>
      <c r="AD9" s="535" t="s">
        <v>2509</v>
      </c>
      <c r="AE9" s="530" t="s">
        <v>485</v>
      </c>
      <c r="AF9" s="530" t="s">
        <v>486</v>
      </c>
      <c r="AH9" s="752" t="s">
        <v>1097</v>
      </c>
      <c r="AI9" s="532" t="s">
        <v>1286</v>
      </c>
      <c r="AJ9" s="388" t="s">
        <v>1017</v>
      </c>
      <c r="AK9" s="389">
        <v>8.92</v>
      </c>
      <c r="AL9" s="388" t="s">
        <v>1018</v>
      </c>
      <c r="AM9" s="530" t="s">
        <v>485</v>
      </c>
      <c r="AN9" s="530" t="s">
        <v>486</v>
      </c>
      <c r="AO9" s="391"/>
      <c r="AP9" s="752" t="s">
        <v>1989</v>
      </c>
      <c r="AQ9" s="532" t="s">
        <v>1397</v>
      </c>
      <c r="AR9" s="535" t="s">
        <v>2001</v>
      </c>
      <c r="AS9" s="389">
        <v>7.44</v>
      </c>
      <c r="AT9" s="535" t="s">
        <v>2002</v>
      </c>
      <c r="AU9" s="530" t="s">
        <v>485</v>
      </c>
      <c r="AV9" s="530" t="s">
        <v>486</v>
      </c>
      <c r="AX9" s="752" t="s">
        <v>1086</v>
      </c>
      <c r="AY9" s="533" t="s">
        <v>1287</v>
      </c>
      <c r="AZ9" s="327" t="s">
        <v>20</v>
      </c>
      <c r="BA9" s="383">
        <v>8.59</v>
      </c>
      <c r="BB9" s="327" t="s">
        <v>21</v>
      </c>
      <c r="BC9" s="530" t="s">
        <v>485</v>
      </c>
      <c r="BD9" s="530" t="s">
        <v>486</v>
      </c>
      <c r="BF9" s="752" t="s">
        <v>1200</v>
      </c>
      <c r="BG9" s="533" t="s">
        <v>1398</v>
      </c>
      <c r="BH9" s="751" t="s">
        <v>1724</v>
      </c>
      <c r="BI9" s="389">
        <v>12.14</v>
      </c>
      <c r="BJ9" s="751" t="s">
        <v>1727</v>
      </c>
      <c r="BK9" s="530" t="s">
        <v>485</v>
      </c>
      <c r="BL9" s="530" t="s">
        <v>486</v>
      </c>
    </row>
    <row r="10" spans="1:64" s="386" customFormat="1" ht="10.5" customHeight="1">
      <c r="A10" s="1362"/>
      <c r="B10" s="980" t="s">
        <v>1068</v>
      </c>
      <c r="C10" s="825" t="s">
        <v>1643</v>
      </c>
      <c r="D10" s="972" t="s">
        <v>2450</v>
      </c>
      <c r="E10" s="473">
        <v>5.4</v>
      </c>
      <c r="F10" s="972" t="s">
        <v>2451</v>
      </c>
      <c r="G10" s="973" t="s">
        <v>485</v>
      </c>
      <c r="H10" s="973" t="s">
        <v>486</v>
      </c>
      <c r="I10" s="982"/>
      <c r="J10" s="980" t="s">
        <v>1101</v>
      </c>
      <c r="K10" s="825" t="s">
        <v>1284</v>
      </c>
      <c r="L10" s="974" t="s">
        <v>2483</v>
      </c>
      <c r="M10" s="434">
        <v>6.1</v>
      </c>
      <c r="N10" s="974" t="s">
        <v>1626</v>
      </c>
      <c r="O10" s="973" t="s">
        <v>485</v>
      </c>
      <c r="P10" s="973" t="s">
        <v>486</v>
      </c>
      <c r="Q10" s="982"/>
      <c r="R10" s="980" t="s">
        <v>1096</v>
      </c>
      <c r="S10" s="977" t="s">
        <v>1285</v>
      </c>
      <c r="T10" s="1363" t="s">
        <v>1586</v>
      </c>
      <c r="U10" s="473">
        <v>11.25</v>
      </c>
      <c r="V10" s="1363" t="s">
        <v>1587</v>
      </c>
      <c r="W10" s="973" t="s">
        <v>485</v>
      </c>
      <c r="X10" s="973" t="s">
        <v>486</v>
      </c>
      <c r="Y10" s="490"/>
      <c r="Z10" s="977" t="s">
        <v>1262</v>
      </c>
      <c r="AA10" s="977" t="s">
        <v>1285</v>
      </c>
      <c r="AB10" s="974" t="s">
        <v>2610</v>
      </c>
      <c r="AC10" s="473">
        <v>6.95</v>
      </c>
      <c r="AD10" s="974" t="s">
        <v>2611</v>
      </c>
      <c r="AE10" s="973" t="s">
        <v>485</v>
      </c>
      <c r="AF10" s="973" t="s">
        <v>486</v>
      </c>
      <c r="AG10" s="982"/>
      <c r="AH10" s="976" t="s">
        <v>1098</v>
      </c>
      <c r="AI10" s="979" t="s">
        <v>1286</v>
      </c>
      <c r="AJ10" s="433" t="s">
        <v>1019</v>
      </c>
      <c r="AK10" s="434">
        <v>8.9499999999999993</v>
      </c>
      <c r="AL10" s="433" t="s">
        <v>1020</v>
      </c>
      <c r="AM10" s="973" t="s">
        <v>485</v>
      </c>
      <c r="AN10" s="973" t="s">
        <v>486</v>
      </c>
      <c r="AO10" s="490"/>
      <c r="AP10" s="976" t="s">
        <v>1264</v>
      </c>
      <c r="AQ10" s="979" t="s">
        <v>1397</v>
      </c>
      <c r="AR10" s="974" t="s">
        <v>2006</v>
      </c>
      <c r="AS10" s="434">
        <v>7.4</v>
      </c>
      <c r="AT10" s="974" t="s">
        <v>2007</v>
      </c>
      <c r="AU10" s="973" t="s">
        <v>485</v>
      </c>
      <c r="AV10" s="973" t="s">
        <v>486</v>
      </c>
      <c r="AW10" s="491"/>
      <c r="AX10" s="976" t="s">
        <v>1087</v>
      </c>
      <c r="AY10" s="825" t="s">
        <v>1287</v>
      </c>
      <c r="AZ10" s="1363" t="s">
        <v>577</v>
      </c>
      <c r="BA10" s="473">
        <v>9.1</v>
      </c>
      <c r="BB10" s="1363" t="s">
        <v>578</v>
      </c>
      <c r="BC10" s="973" t="s">
        <v>485</v>
      </c>
      <c r="BD10" s="973" t="s">
        <v>486</v>
      </c>
      <c r="BE10" s="491"/>
      <c r="BF10" s="976" t="s">
        <v>1201</v>
      </c>
      <c r="BG10" s="825" t="s">
        <v>1398</v>
      </c>
      <c r="BH10" s="981" t="s">
        <v>1732</v>
      </c>
      <c r="BI10" s="434">
        <v>12.14</v>
      </c>
      <c r="BJ10" s="981" t="s">
        <v>1733</v>
      </c>
      <c r="BK10" s="973" t="s">
        <v>485</v>
      </c>
      <c r="BL10" s="973" t="s">
        <v>486</v>
      </c>
    </row>
    <row r="11" spans="1:64" s="386" customFormat="1" ht="10.5" customHeight="1">
      <c r="A11" s="648"/>
      <c r="B11" s="791" t="s">
        <v>1069</v>
      </c>
      <c r="C11" s="533" t="s">
        <v>1643</v>
      </c>
      <c r="D11" s="395" t="s">
        <v>2457</v>
      </c>
      <c r="E11" s="383">
        <v>5.44</v>
      </c>
      <c r="F11" s="395" t="s">
        <v>2458</v>
      </c>
      <c r="G11" s="530" t="s">
        <v>485</v>
      </c>
      <c r="H11" s="530" t="s">
        <v>486</v>
      </c>
      <c r="J11" s="791" t="s">
        <v>1102</v>
      </c>
      <c r="K11" s="533" t="s">
        <v>1284</v>
      </c>
      <c r="L11" s="535" t="s">
        <v>2504</v>
      </c>
      <c r="M11" s="389">
        <v>5.74</v>
      </c>
      <c r="N11" s="535" t="s">
        <v>2505</v>
      </c>
      <c r="O11" s="530" t="s">
        <v>485</v>
      </c>
      <c r="P11" s="530" t="s">
        <v>486</v>
      </c>
      <c r="R11" s="791" t="s">
        <v>1097</v>
      </c>
      <c r="S11" s="531" t="s">
        <v>1285</v>
      </c>
      <c r="T11" s="327" t="s">
        <v>1588</v>
      </c>
      <c r="U11" s="383">
        <v>11.35</v>
      </c>
      <c r="V11" s="327" t="s">
        <v>1589</v>
      </c>
      <c r="W11" s="530" t="s">
        <v>485</v>
      </c>
      <c r="X11" s="530" t="s">
        <v>486</v>
      </c>
      <c r="Y11" s="391"/>
      <c r="Z11" s="531" t="s">
        <v>1263</v>
      </c>
      <c r="AA11" s="531" t="s">
        <v>1285</v>
      </c>
      <c r="AB11" s="535" t="s">
        <v>2736</v>
      </c>
      <c r="AC11" s="383">
        <v>7.15</v>
      </c>
      <c r="AD11" s="535" t="s">
        <v>2737</v>
      </c>
      <c r="AE11" s="530" t="s">
        <v>485</v>
      </c>
      <c r="AF11" s="530" t="s">
        <v>486</v>
      </c>
      <c r="AG11" s="390"/>
      <c r="AH11" s="752" t="s">
        <v>1099</v>
      </c>
      <c r="AI11" s="532" t="s">
        <v>1286</v>
      </c>
      <c r="AJ11" s="388" t="s">
        <v>1021</v>
      </c>
      <c r="AK11" s="389">
        <v>9.0500000000000007</v>
      </c>
      <c r="AL11" s="388" t="s">
        <v>1022</v>
      </c>
      <c r="AM11" s="530" t="s">
        <v>485</v>
      </c>
      <c r="AN11" s="530" t="s">
        <v>486</v>
      </c>
      <c r="AO11" s="391"/>
      <c r="AP11" s="752" t="s">
        <v>1432</v>
      </c>
      <c r="AQ11" s="532" t="s">
        <v>1397</v>
      </c>
      <c r="AR11" s="535" t="s">
        <v>2025</v>
      </c>
      <c r="AS11" s="389">
        <v>7.59</v>
      </c>
      <c r="AT11" s="535" t="s">
        <v>1051</v>
      </c>
      <c r="AU11" s="530" t="s">
        <v>485</v>
      </c>
      <c r="AV11" s="530" t="s">
        <v>486</v>
      </c>
      <c r="AX11" s="752" t="s">
        <v>1088</v>
      </c>
      <c r="AY11" s="533" t="s">
        <v>1287</v>
      </c>
      <c r="AZ11" s="327" t="s">
        <v>579</v>
      </c>
      <c r="BA11" s="383">
        <v>9.1</v>
      </c>
      <c r="BB11" s="327" t="s">
        <v>580</v>
      </c>
      <c r="BC11" s="530" t="s">
        <v>485</v>
      </c>
      <c r="BD11" s="530" t="s">
        <v>486</v>
      </c>
      <c r="BF11" s="752" t="s">
        <v>1202</v>
      </c>
      <c r="BG11" s="533" t="s">
        <v>1398</v>
      </c>
      <c r="BH11" s="751" t="s">
        <v>1735</v>
      </c>
      <c r="BI11" s="389">
        <v>12.12</v>
      </c>
      <c r="BJ11" s="751" t="s">
        <v>1734</v>
      </c>
      <c r="BK11" s="530" t="s">
        <v>485</v>
      </c>
      <c r="BL11" s="530" t="s">
        <v>486</v>
      </c>
    </row>
    <row r="12" spans="1:64" s="386" customFormat="1" ht="10.5" customHeight="1">
      <c r="A12" s="491"/>
      <c r="B12" s="980" t="s">
        <v>1070</v>
      </c>
      <c r="C12" s="825" t="s">
        <v>1643</v>
      </c>
      <c r="D12" s="972" t="s">
        <v>1617</v>
      </c>
      <c r="E12" s="473">
        <v>3.5</v>
      </c>
      <c r="F12" s="972" t="s">
        <v>2469</v>
      </c>
      <c r="G12" s="973" t="s">
        <v>485</v>
      </c>
      <c r="H12" s="973" t="s">
        <v>486</v>
      </c>
      <c r="I12" s="491"/>
      <c r="J12" s="980" t="s">
        <v>1103</v>
      </c>
      <c r="K12" s="825" t="s">
        <v>1284</v>
      </c>
      <c r="L12" s="974" t="s">
        <v>2544</v>
      </c>
      <c r="M12" s="434">
        <v>4</v>
      </c>
      <c r="N12" s="974" t="s">
        <v>2545</v>
      </c>
      <c r="O12" s="973" t="s">
        <v>485</v>
      </c>
      <c r="P12" s="973" t="s">
        <v>486</v>
      </c>
      <c r="Q12" s="490"/>
      <c r="R12" s="980" t="s">
        <v>1098</v>
      </c>
      <c r="S12" s="977" t="s">
        <v>1285</v>
      </c>
      <c r="T12" s="1363" t="s">
        <v>1515</v>
      </c>
      <c r="U12" s="473">
        <v>11.5</v>
      </c>
      <c r="V12" s="1363" t="s">
        <v>1517</v>
      </c>
      <c r="W12" s="973" t="s">
        <v>485</v>
      </c>
      <c r="X12" s="973" t="s">
        <v>486</v>
      </c>
      <c r="Y12" s="490"/>
      <c r="Z12" s="977" t="s">
        <v>1264</v>
      </c>
      <c r="AA12" s="977" t="s">
        <v>1285</v>
      </c>
      <c r="AB12" s="974" t="s">
        <v>2758</v>
      </c>
      <c r="AC12" s="473">
        <v>7.54</v>
      </c>
      <c r="AD12" s="974" t="s">
        <v>2759</v>
      </c>
      <c r="AE12" s="973" t="s">
        <v>485</v>
      </c>
      <c r="AF12" s="973" t="s">
        <v>486</v>
      </c>
      <c r="AG12" s="491"/>
      <c r="AH12" s="976" t="s">
        <v>1100</v>
      </c>
      <c r="AI12" s="979" t="s">
        <v>1286</v>
      </c>
      <c r="AJ12" s="433" t="s">
        <v>1023</v>
      </c>
      <c r="AK12" s="434">
        <v>9.1199999999999992</v>
      </c>
      <c r="AL12" s="433" t="s">
        <v>1024</v>
      </c>
      <c r="AM12" s="973" t="s">
        <v>485</v>
      </c>
      <c r="AN12" s="973" t="s">
        <v>486</v>
      </c>
      <c r="AO12" s="490"/>
      <c r="AP12" s="976" t="s">
        <v>1433</v>
      </c>
      <c r="AQ12" s="979" t="s">
        <v>1397</v>
      </c>
      <c r="AR12" s="974" t="s">
        <v>2037</v>
      </c>
      <c r="AS12" s="434">
        <v>7.79</v>
      </c>
      <c r="AT12" s="974" t="s">
        <v>1059</v>
      </c>
      <c r="AU12" s="973" t="s">
        <v>485</v>
      </c>
      <c r="AV12" s="973" t="s">
        <v>486</v>
      </c>
      <c r="AW12" s="490"/>
      <c r="AX12" s="976" t="s">
        <v>1089</v>
      </c>
      <c r="AY12" s="825" t="s">
        <v>1287</v>
      </c>
      <c r="AZ12" s="1363" t="s">
        <v>581</v>
      </c>
      <c r="BA12" s="473">
        <v>9.11</v>
      </c>
      <c r="BB12" s="1363" t="s">
        <v>582</v>
      </c>
      <c r="BC12" s="973" t="s">
        <v>485</v>
      </c>
      <c r="BD12" s="973" t="s">
        <v>486</v>
      </c>
      <c r="BE12" s="1363"/>
      <c r="BF12" s="976" t="s">
        <v>1203</v>
      </c>
      <c r="BG12" s="825" t="s">
        <v>1398</v>
      </c>
      <c r="BH12" s="981" t="s">
        <v>1757</v>
      </c>
      <c r="BI12" s="434">
        <v>12.1</v>
      </c>
      <c r="BJ12" s="981" t="s">
        <v>1761</v>
      </c>
      <c r="BK12" s="973" t="s">
        <v>485</v>
      </c>
      <c r="BL12" s="973" t="s">
        <v>486</v>
      </c>
    </row>
    <row r="13" spans="1:64" s="386" customFormat="1" ht="10.5" customHeight="1">
      <c r="B13" s="791" t="s">
        <v>1071</v>
      </c>
      <c r="C13" s="533" t="s">
        <v>1643</v>
      </c>
      <c r="D13" s="395" t="s">
        <v>2481</v>
      </c>
      <c r="E13" s="383">
        <v>4.99</v>
      </c>
      <c r="F13" s="395" t="s">
        <v>2482</v>
      </c>
      <c r="G13" s="530" t="s">
        <v>485</v>
      </c>
      <c r="H13" s="530" t="s">
        <v>486</v>
      </c>
      <c r="I13" s="390"/>
      <c r="J13" s="791" t="s">
        <v>1104</v>
      </c>
      <c r="K13" s="533" t="s">
        <v>1284</v>
      </c>
      <c r="L13" s="535" t="s">
        <v>2602</v>
      </c>
      <c r="M13" s="389">
        <v>5.45</v>
      </c>
      <c r="N13" s="535" t="s">
        <v>2603</v>
      </c>
      <c r="O13" s="530" t="s">
        <v>485</v>
      </c>
      <c r="P13" s="530" t="s">
        <v>486</v>
      </c>
      <c r="R13" s="791" t="s">
        <v>1099</v>
      </c>
      <c r="S13" s="531" t="s">
        <v>1285</v>
      </c>
      <c r="T13" s="327" t="s">
        <v>1516</v>
      </c>
      <c r="U13" s="383">
        <v>11.56</v>
      </c>
      <c r="V13" s="327" t="s">
        <v>1518</v>
      </c>
      <c r="W13" s="530" t="s">
        <v>485</v>
      </c>
      <c r="X13" s="530" t="s">
        <v>486</v>
      </c>
      <c r="Y13" s="391"/>
      <c r="Z13" s="531" t="s">
        <v>1432</v>
      </c>
      <c r="AA13" s="531" t="s">
        <v>1285</v>
      </c>
      <c r="AB13" s="535" t="s">
        <v>2783</v>
      </c>
      <c r="AC13" s="383">
        <v>7.63</v>
      </c>
      <c r="AD13" s="535" t="s">
        <v>2784</v>
      </c>
      <c r="AE13" s="530" t="s">
        <v>485</v>
      </c>
      <c r="AF13" s="530" t="s">
        <v>486</v>
      </c>
      <c r="AH13" s="752" t="s">
        <v>1101</v>
      </c>
      <c r="AI13" s="532" t="s">
        <v>1286</v>
      </c>
      <c r="AJ13" s="388" t="s">
        <v>1025</v>
      </c>
      <c r="AK13" s="389">
        <v>9.1199999999999992</v>
      </c>
      <c r="AL13" s="388" t="s">
        <v>1026</v>
      </c>
      <c r="AM13" s="530" t="s">
        <v>485</v>
      </c>
      <c r="AN13" s="530" t="s">
        <v>486</v>
      </c>
      <c r="AO13" s="391"/>
      <c r="AP13" s="752" t="s">
        <v>1434</v>
      </c>
      <c r="AQ13" s="532" t="s">
        <v>1397</v>
      </c>
      <c r="AR13" s="535" t="s">
        <v>2043</v>
      </c>
      <c r="AS13" s="389">
        <v>7.84</v>
      </c>
      <c r="AT13" s="535" t="s">
        <v>2044</v>
      </c>
      <c r="AU13" s="530" t="s">
        <v>485</v>
      </c>
      <c r="AV13" s="530" t="s">
        <v>486</v>
      </c>
      <c r="AW13" s="391"/>
      <c r="AX13" s="752" t="s">
        <v>1090</v>
      </c>
      <c r="AY13" s="533" t="s">
        <v>1287</v>
      </c>
      <c r="AZ13" s="327" t="s">
        <v>583</v>
      </c>
      <c r="BA13" s="383">
        <v>9.15</v>
      </c>
      <c r="BB13" s="327" t="s">
        <v>584</v>
      </c>
      <c r="BC13" s="530" t="s">
        <v>485</v>
      </c>
      <c r="BD13" s="530" t="s">
        <v>486</v>
      </c>
      <c r="BE13" s="391"/>
      <c r="BF13" s="752" t="s">
        <v>1731</v>
      </c>
      <c r="BG13" s="533" t="s">
        <v>1398</v>
      </c>
      <c r="BH13" s="751" t="s">
        <v>1759</v>
      </c>
      <c r="BI13" s="389">
        <v>11.89</v>
      </c>
      <c r="BJ13" s="751" t="s">
        <v>1762</v>
      </c>
      <c r="BK13" s="530" t="s">
        <v>485</v>
      </c>
      <c r="BL13" s="530" t="s">
        <v>486</v>
      </c>
    </row>
    <row r="14" spans="1:64" s="386" customFormat="1" ht="10.5" customHeight="1">
      <c r="A14" s="491"/>
      <c r="B14" s="980" t="s">
        <v>1072</v>
      </c>
      <c r="C14" s="825" t="s">
        <v>1643</v>
      </c>
      <c r="D14" s="972" t="s">
        <v>2502</v>
      </c>
      <c r="E14" s="473">
        <v>5.04</v>
      </c>
      <c r="F14" s="972" t="s">
        <v>2503</v>
      </c>
      <c r="G14" s="973" t="s">
        <v>485</v>
      </c>
      <c r="H14" s="973" t="s">
        <v>486</v>
      </c>
      <c r="I14" s="982"/>
      <c r="J14" s="980" t="s">
        <v>1105</v>
      </c>
      <c r="K14" s="825" t="s">
        <v>1284</v>
      </c>
      <c r="L14" s="974" t="s">
        <v>2718</v>
      </c>
      <c r="M14" s="434">
        <v>4.5</v>
      </c>
      <c r="N14" s="974" t="s">
        <v>2719</v>
      </c>
      <c r="O14" s="973" t="s">
        <v>485</v>
      </c>
      <c r="P14" s="973" t="s">
        <v>486</v>
      </c>
      <c r="Q14" s="491"/>
      <c r="R14" s="980" t="s">
        <v>1100</v>
      </c>
      <c r="S14" s="977" t="s">
        <v>1285</v>
      </c>
      <c r="T14" s="1363" t="s">
        <v>1519</v>
      </c>
      <c r="U14" s="473">
        <v>11.6</v>
      </c>
      <c r="V14" s="1363" t="s">
        <v>1520</v>
      </c>
      <c r="W14" s="973" t="s">
        <v>485</v>
      </c>
      <c r="X14" s="973" t="s">
        <v>486</v>
      </c>
      <c r="Y14" s="490"/>
      <c r="Z14" s="977" t="s">
        <v>1433</v>
      </c>
      <c r="AA14" s="977" t="s">
        <v>1285</v>
      </c>
      <c r="AB14" s="974" t="s">
        <v>2807</v>
      </c>
      <c r="AC14" s="473">
        <v>7.6</v>
      </c>
      <c r="AD14" s="974" t="s">
        <v>2808</v>
      </c>
      <c r="AE14" s="973" t="s">
        <v>485</v>
      </c>
      <c r="AF14" s="973" t="s">
        <v>486</v>
      </c>
      <c r="AG14" s="490"/>
      <c r="AH14" s="976" t="s">
        <v>1102</v>
      </c>
      <c r="AI14" s="979" t="s">
        <v>1286</v>
      </c>
      <c r="AJ14" s="433" t="s">
        <v>1027</v>
      </c>
      <c r="AK14" s="434">
        <v>9.1999999999999993</v>
      </c>
      <c r="AL14" s="433" t="s">
        <v>1028</v>
      </c>
      <c r="AM14" s="973" t="s">
        <v>485</v>
      </c>
      <c r="AN14" s="973" t="s">
        <v>486</v>
      </c>
      <c r="AO14" s="491"/>
      <c r="AP14" s="976" t="s">
        <v>1435</v>
      </c>
      <c r="AQ14" s="979" t="s">
        <v>1397</v>
      </c>
      <c r="AR14" s="974" t="s">
        <v>2055</v>
      </c>
      <c r="AS14" s="434">
        <v>8</v>
      </c>
      <c r="AT14" s="974" t="s">
        <v>2056</v>
      </c>
      <c r="AU14" s="973" t="s">
        <v>485</v>
      </c>
      <c r="AV14" s="973" t="s">
        <v>486</v>
      </c>
      <c r="AW14" s="490"/>
      <c r="AX14" s="976" t="s">
        <v>1091</v>
      </c>
      <c r="AY14" s="825" t="s">
        <v>1287</v>
      </c>
      <c r="AZ14" s="1363" t="s">
        <v>1029</v>
      </c>
      <c r="BA14" s="473">
        <v>9.17</v>
      </c>
      <c r="BB14" s="1363" t="s">
        <v>1030</v>
      </c>
      <c r="BC14" s="973" t="s">
        <v>485</v>
      </c>
      <c r="BD14" s="973" t="s">
        <v>486</v>
      </c>
      <c r="BE14" s="490"/>
      <c r="BF14" s="976" t="s">
        <v>1257</v>
      </c>
      <c r="BG14" s="825" t="s">
        <v>1398</v>
      </c>
      <c r="BH14" s="981" t="s">
        <v>1765</v>
      </c>
      <c r="BI14" s="434">
        <v>11.98</v>
      </c>
      <c r="BJ14" s="981" t="s">
        <v>1767</v>
      </c>
      <c r="BK14" s="973" t="s">
        <v>485</v>
      </c>
      <c r="BL14" s="973" t="s">
        <v>486</v>
      </c>
    </row>
    <row r="15" spans="1:64" s="386" customFormat="1" ht="10.5" customHeight="1">
      <c r="B15" s="791" t="s">
        <v>1073</v>
      </c>
      <c r="C15" s="533" t="s">
        <v>1643</v>
      </c>
      <c r="D15" s="395" t="s">
        <v>2526</v>
      </c>
      <c r="E15" s="383">
        <v>3.5</v>
      </c>
      <c r="F15" s="395" t="s">
        <v>2527</v>
      </c>
      <c r="G15" s="530" t="s">
        <v>485</v>
      </c>
      <c r="H15" s="530" t="s">
        <v>486</v>
      </c>
      <c r="I15" s="390"/>
      <c r="J15" s="791" t="s">
        <v>1106</v>
      </c>
      <c r="K15" s="533" t="s">
        <v>1284</v>
      </c>
      <c r="L15" s="535" t="s">
        <v>2734</v>
      </c>
      <c r="M15" s="389">
        <v>5.45</v>
      </c>
      <c r="N15" s="535" t="s">
        <v>2735</v>
      </c>
      <c r="O15" s="530" t="s">
        <v>485</v>
      </c>
      <c r="P15" s="530" t="s">
        <v>486</v>
      </c>
      <c r="R15" s="791" t="s">
        <v>1101</v>
      </c>
      <c r="S15" s="531" t="s">
        <v>1285</v>
      </c>
      <c r="T15" s="327" t="s">
        <v>1521</v>
      </c>
      <c r="U15" s="383">
        <v>11.6</v>
      </c>
      <c r="V15" s="327" t="s">
        <v>703</v>
      </c>
      <c r="W15" s="530" t="s">
        <v>485</v>
      </c>
      <c r="X15" s="530" t="s">
        <v>486</v>
      </c>
      <c r="Y15" s="391"/>
      <c r="Z15" s="531" t="s">
        <v>1434</v>
      </c>
      <c r="AA15" s="531" t="s">
        <v>1285</v>
      </c>
      <c r="AB15" s="535" t="s">
        <v>2809</v>
      </c>
      <c r="AC15" s="383">
        <v>7.74</v>
      </c>
      <c r="AD15" s="535" t="s">
        <v>2810</v>
      </c>
      <c r="AE15" s="530" t="s">
        <v>485</v>
      </c>
      <c r="AF15" s="530" t="s">
        <v>486</v>
      </c>
      <c r="AG15" s="391"/>
      <c r="AH15" s="752" t="s">
        <v>1103</v>
      </c>
      <c r="AI15" s="532" t="s">
        <v>1286</v>
      </c>
      <c r="AJ15" s="388" t="s">
        <v>1056</v>
      </c>
      <c r="AK15" s="389">
        <v>9.3000000000000007</v>
      </c>
      <c r="AL15" s="388" t="s">
        <v>1057</v>
      </c>
      <c r="AM15" s="530" t="s">
        <v>485</v>
      </c>
      <c r="AN15" s="530" t="s">
        <v>486</v>
      </c>
      <c r="AP15" s="752" t="s">
        <v>1436</v>
      </c>
      <c r="AQ15" s="532" t="s">
        <v>1397</v>
      </c>
      <c r="AR15" s="535" t="s">
        <v>2057</v>
      </c>
      <c r="AS15" s="389">
        <v>8</v>
      </c>
      <c r="AT15" s="535" t="s">
        <v>2058</v>
      </c>
      <c r="AU15" s="530" t="s">
        <v>485</v>
      </c>
      <c r="AV15" s="530" t="s">
        <v>486</v>
      </c>
      <c r="AW15" s="391"/>
      <c r="AX15" s="752" t="s">
        <v>1092</v>
      </c>
      <c r="AY15" s="533" t="s">
        <v>1287</v>
      </c>
      <c r="AZ15" s="327" t="s">
        <v>1031</v>
      </c>
      <c r="BA15" s="383">
        <v>9.1999999999999993</v>
      </c>
      <c r="BB15" s="327" t="s">
        <v>1032</v>
      </c>
      <c r="BC15" s="530" t="s">
        <v>485</v>
      </c>
      <c r="BD15" s="530" t="s">
        <v>486</v>
      </c>
      <c r="BF15" s="752" t="s">
        <v>1258</v>
      </c>
      <c r="BG15" s="533" t="s">
        <v>1398</v>
      </c>
      <c r="BH15" s="751" t="s">
        <v>1787</v>
      </c>
      <c r="BI15" s="389">
        <v>11.98</v>
      </c>
      <c r="BJ15" s="751" t="s">
        <v>1792</v>
      </c>
      <c r="BK15" s="530" t="s">
        <v>485</v>
      </c>
      <c r="BL15" s="530" t="s">
        <v>486</v>
      </c>
    </row>
    <row r="16" spans="1:64" s="386" customFormat="1" ht="10.5" customHeight="1">
      <c r="A16" s="491"/>
      <c r="B16" s="980" t="s">
        <v>1074</v>
      </c>
      <c r="C16" s="825" t="s">
        <v>1643</v>
      </c>
      <c r="D16" s="433" t="s">
        <v>2600</v>
      </c>
      <c r="E16" s="434">
        <v>4.5</v>
      </c>
      <c r="F16" s="433" t="s">
        <v>2601</v>
      </c>
      <c r="G16" s="973" t="s">
        <v>485</v>
      </c>
      <c r="H16" s="973" t="s">
        <v>486</v>
      </c>
      <c r="I16" s="982"/>
      <c r="J16" s="980" t="s">
        <v>1107</v>
      </c>
      <c r="K16" s="825" t="s">
        <v>1284</v>
      </c>
      <c r="L16" s="974" t="s">
        <v>2756</v>
      </c>
      <c r="M16" s="434">
        <v>5.93</v>
      </c>
      <c r="N16" s="974" t="s">
        <v>2757</v>
      </c>
      <c r="O16" s="973" t="s">
        <v>485</v>
      </c>
      <c r="P16" s="973" t="s">
        <v>486</v>
      </c>
      <c r="Q16" s="491"/>
      <c r="R16" s="980" t="s">
        <v>1102</v>
      </c>
      <c r="S16" s="977" t="s">
        <v>1285</v>
      </c>
      <c r="T16" s="1363" t="s">
        <v>1522</v>
      </c>
      <c r="U16" s="473">
        <v>11.75</v>
      </c>
      <c r="V16" s="1363" t="s">
        <v>1523</v>
      </c>
      <c r="W16" s="973" t="s">
        <v>485</v>
      </c>
      <c r="X16" s="973" t="s">
        <v>486</v>
      </c>
      <c r="Y16" s="490"/>
      <c r="Z16" s="977" t="s">
        <v>1435</v>
      </c>
      <c r="AA16" s="977" t="s">
        <v>1285</v>
      </c>
      <c r="AB16" s="974" t="s">
        <v>2886</v>
      </c>
      <c r="AC16" s="473">
        <v>8.11</v>
      </c>
      <c r="AD16" s="974" t="s">
        <v>2887</v>
      </c>
      <c r="AE16" s="973" t="s">
        <v>485</v>
      </c>
      <c r="AF16" s="973" t="s">
        <v>486</v>
      </c>
      <c r="AG16" s="491"/>
      <c r="AH16" s="976" t="s">
        <v>1104</v>
      </c>
      <c r="AI16" s="979" t="s">
        <v>1286</v>
      </c>
      <c r="AJ16" s="433" t="s">
        <v>1590</v>
      </c>
      <c r="AK16" s="434">
        <v>9.35</v>
      </c>
      <c r="AL16" s="433" t="s">
        <v>1591</v>
      </c>
      <c r="AM16" s="973" t="s">
        <v>485</v>
      </c>
      <c r="AN16" s="973" t="s">
        <v>486</v>
      </c>
      <c r="AO16" s="491"/>
      <c r="AP16" s="976" t="s">
        <v>1437</v>
      </c>
      <c r="AQ16" s="979" t="s">
        <v>1397</v>
      </c>
      <c r="AR16" s="974" t="s">
        <v>2066</v>
      </c>
      <c r="AS16" s="434">
        <v>8</v>
      </c>
      <c r="AT16" s="974" t="s">
        <v>2067</v>
      </c>
      <c r="AU16" s="973" t="s">
        <v>485</v>
      </c>
      <c r="AV16" s="973" t="s">
        <v>486</v>
      </c>
      <c r="AW16" s="490"/>
      <c r="AX16" s="976" t="s">
        <v>1093</v>
      </c>
      <c r="AY16" s="825" t="s">
        <v>1287</v>
      </c>
      <c r="AZ16" s="1363" t="s">
        <v>1033</v>
      </c>
      <c r="BA16" s="473">
        <v>9.15</v>
      </c>
      <c r="BB16" s="1363" t="s">
        <v>1034</v>
      </c>
      <c r="BC16" s="973" t="s">
        <v>485</v>
      </c>
      <c r="BD16" s="973" t="s">
        <v>486</v>
      </c>
      <c r="BE16" s="491"/>
      <c r="BF16" s="976" t="s">
        <v>1259</v>
      </c>
      <c r="BG16" s="825" t="s">
        <v>1398</v>
      </c>
      <c r="BH16" s="981" t="s">
        <v>1789</v>
      </c>
      <c r="BI16" s="434">
        <v>11.98</v>
      </c>
      <c r="BJ16" s="981" t="s">
        <v>1791</v>
      </c>
      <c r="BK16" s="973" t="s">
        <v>485</v>
      </c>
      <c r="BL16" s="973" t="s">
        <v>486</v>
      </c>
    </row>
    <row r="17" spans="1:64" s="386" customFormat="1" ht="10.5" customHeight="1">
      <c r="B17" s="405" t="s">
        <v>1075</v>
      </c>
      <c r="C17" s="533" t="s">
        <v>1643</v>
      </c>
      <c r="D17" s="388" t="s">
        <v>2716</v>
      </c>
      <c r="E17" s="389">
        <v>3.7</v>
      </c>
      <c r="F17" s="388" t="s">
        <v>2717</v>
      </c>
      <c r="G17" s="530" t="s">
        <v>485</v>
      </c>
      <c r="H17" s="530" t="s">
        <v>486</v>
      </c>
      <c r="I17" s="390"/>
      <c r="J17" s="791" t="s">
        <v>1108</v>
      </c>
      <c r="K17" s="533" t="s">
        <v>1284</v>
      </c>
      <c r="L17" s="535" t="s">
        <v>2781</v>
      </c>
      <c r="M17" s="389">
        <v>5.99</v>
      </c>
      <c r="N17" s="535" t="s">
        <v>2782</v>
      </c>
      <c r="O17" s="530" t="s">
        <v>485</v>
      </c>
      <c r="P17" s="530" t="s">
        <v>486</v>
      </c>
      <c r="R17" s="791" t="s">
        <v>1103</v>
      </c>
      <c r="S17" s="531" t="s">
        <v>1285</v>
      </c>
      <c r="T17" s="327" t="s">
        <v>1524</v>
      </c>
      <c r="U17" s="383">
        <v>11.75</v>
      </c>
      <c r="V17" s="327" t="s">
        <v>716</v>
      </c>
      <c r="W17" s="530" t="s">
        <v>485</v>
      </c>
      <c r="X17" s="530" t="s">
        <v>486</v>
      </c>
      <c r="Y17" s="391"/>
      <c r="Z17" s="529" t="s">
        <v>1436</v>
      </c>
      <c r="AA17" s="531" t="s">
        <v>1644</v>
      </c>
      <c r="AB17" s="535" t="s">
        <v>1645</v>
      </c>
      <c r="AC17" s="383">
        <v>7</v>
      </c>
      <c r="AD17" s="535" t="s">
        <v>1646</v>
      </c>
      <c r="AE17" s="530" t="s">
        <v>485</v>
      </c>
      <c r="AF17" s="530" t="s">
        <v>486</v>
      </c>
      <c r="AG17" s="391"/>
      <c r="AH17" s="752" t="s">
        <v>1105</v>
      </c>
      <c r="AI17" s="532" t="s">
        <v>1286</v>
      </c>
      <c r="AJ17" s="388" t="s">
        <v>1592</v>
      </c>
      <c r="AK17" s="389">
        <v>9.35</v>
      </c>
      <c r="AL17" s="388" t="s">
        <v>1593</v>
      </c>
      <c r="AM17" s="530" t="s">
        <v>485</v>
      </c>
      <c r="AN17" s="530" t="s">
        <v>486</v>
      </c>
      <c r="AP17" s="752" t="s">
        <v>1438</v>
      </c>
      <c r="AQ17" s="532" t="s">
        <v>1397</v>
      </c>
      <c r="AR17" s="535" t="s">
        <v>2082</v>
      </c>
      <c r="AS17" s="389">
        <v>7.69</v>
      </c>
      <c r="AT17" s="535" t="s">
        <v>2083</v>
      </c>
      <c r="AU17" s="530" t="s">
        <v>485</v>
      </c>
      <c r="AV17" s="530" t="s">
        <v>486</v>
      </c>
      <c r="AW17" s="391"/>
      <c r="AX17" s="752" t="s">
        <v>1094</v>
      </c>
      <c r="AY17" s="533" t="s">
        <v>1287</v>
      </c>
      <c r="AZ17" s="327" t="s">
        <v>1035</v>
      </c>
      <c r="BA17" s="383">
        <v>9.1999999999999993</v>
      </c>
      <c r="BB17" s="327" t="s">
        <v>1036</v>
      </c>
      <c r="BC17" s="530" t="s">
        <v>485</v>
      </c>
      <c r="BD17" s="530" t="s">
        <v>486</v>
      </c>
      <c r="BF17" s="752" t="s">
        <v>1260</v>
      </c>
      <c r="BG17" s="533" t="s">
        <v>1398</v>
      </c>
      <c r="BH17" s="751" t="s">
        <v>1957</v>
      </c>
      <c r="BI17" s="389">
        <v>10.36</v>
      </c>
      <c r="BJ17" s="751" t="s">
        <v>1958</v>
      </c>
      <c r="BK17" s="530" t="s">
        <v>485</v>
      </c>
      <c r="BL17" s="530" t="s">
        <v>486</v>
      </c>
    </row>
    <row r="18" spans="1:64" s="386" customFormat="1" ht="10.5" customHeight="1">
      <c r="A18" s="491"/>
      <c r="B18" s="986" t="s">
        <v>1076</v>
      </c>
      <c r="C18" s="825" t="s">
        <v>1643</v>
      </c>
      <c r="D18" s="433" t="s">
        <v>2732</v>
      </c>
      <c r="E18" s="434">
        <v>4.41</v>
      </c>
      <c r="F18" s="433" t="s">
        <v>2733</v>
      </c>
      <c r="G18" s="973" t="s">
        <v>485</v>
      </c>
      <c r="H18" s="973" t="s">
        <v>486</v>
      </c>
      <c r="I18" s="982"/>
      <c r="J18" s="980" t="s">
        <v>1109</v>
      </c>
      <c r="K18" s="825" t="s">
        <v>1284</v>
      </c>
      <c r="L18" s="974" t="s">
        <v>2793</v>
      </c>
      <c r="M18" s="434">
        <v>6.44</v>
      </c>
      <c r="N18" s="974" t="s">
        <v>2794</v>
      </c>
      <c r="O18" s="973" t="s">
        <v>485</v>
      </c>
      <c r="P18" s="973" t="s">
        <v>486</v>
      </c>
      <c r="Q18" s="491"/>
      <c r="R18" s="980" t="s">
        <v>1104</v>
      </c>
      <c r="S18" s="977" t="s">
        <v>1285</v>
      </c>
      <c r="T18" s="1363" t="s">
        <v>1525</v>
      </c>
      <c r="U18" s="473">
        <v>11.8</v>
      </c>
      <c r="V18" s="1363" t="s">
        <v>1526</v>
      </c>
      <c r="W18" s="973" t="s">
        <v>485</v>
      </c>
      <c r="X18" s="973" t="s">
        <v>486</v>
      </c>
      <c r="Y18" s="490"/>
      <c r="Z18" s="975" t="s">
        <v>1437</v>
      </c>
      <c r="AA18" s="1575" t="s">
        <v>1647</v>
      </c>
      <c r="AB18" s="974" t="s">
        <v>1645</v>
      </c>
      <c r="AC18" s="428">
        <v>7</v>
      </c>
      <c r="AD18" s="974" t="s">
        <v>1646</v>
      </c>
      <c r="AE18" s="1027" t="s">
        <v>485</v>
      </c>
      <c r="AF18" s="1027" t="s">
        <v>486</v>
      </c>
      <c r="AG18" s="490"/>
      <c r="AH18" s="976" t="s">
        <v>1106</v>
      </c>
      <c r="AI18" s="979" t="s">
        <v>1286</v>
      </c>
      <c r="AJ18" s="433" t="s">
        <v>1594</v>
      </c>
      <c r="AK18" s="434">
        <v>9.65</v>
      </c>
      <c r="AL18" s="433" t="s">
        <v>1595</v>
      </c>
      <c r="AM18" s="973" t="s">
        <v>485</v>
      </c>
      <c r="AN18" s="973" t="s">
        <v>486</v>
      </c>
      <c r="AO18" s="491"/>
      <c r="AP18" s="976" t="s">
        <v>1439</v>
      </c>
      <c r="AQ18" s="979" t="s">
        <v>1397</v>
      </c>
      <c r="AR18" s="974" t="s">
        <v>2091</v>
      </c>
      <c r="AS18" s="434">
        <v>7.54</v>
      </c>
      <c r="AT18" s="974" t="s">
        <v>2092</v>
      </c>
      <c r="AU18" s="973" t="s">
        <v>485</v>
      </c>
      <c r="AV18" s="973" t="s">
        <v>486</v>
      </c>
      <c r="AW18" s="490"/>
      <c r="AX18" s="976" t="s">
        <v>1095</v>
      </c>
      <c r="AY18" s="825" t="s">
        <v>1287</v>
      </c>
      <c r="AZ18" s="1363" t="s">
        <v>1037</v>
      </c>
      <c r="BA18" s="473">
        <v>9.23</v>
      </c>
      <c r="BB18" s="1363" t="s">
        <v>1038</v>
      </c>
      <c r="BC18" s="973" t="s">
        <v>485</v>
      </c>
      <c r="BD18" s="973" t="s">
        <v>486</v>
      </c>
      <c r="BE18" s="491"/>
      <c r="BF18" s="976" t="s">
        <v>1261</v>
      </c>
      <c r="BG18" s="825" t="s">
        <v>1398</v>
      </c>
      <c r="BH18" s="981" t="s">
        <v>1964</v>
      </c>
      <c r="BI18" s="434">
        <v>8.93</v>
      </c>
      <c r="BJ18" s="981" t="s">
        <v>1968</v>
      </c>
      <c r="BK18" s="973" t="s">
        <v>485</v>
      </c>
      <c r="BL18" s="973" t="s">
        <v>486</v>
      </c>
    </row>
    <row r="19" spans="1:64" s="386" customFormat="1" ht="10.5" customHeight="1">
      <c r="B19" s="405" t="s">
        <v>1077</v>
      </c>
      <c r="C19" s="533" t="s">
        <v>1643</v>
      </c>
      <c r="D19" s="388" t="s">
        <v>2754</v>
      </c>
      <c r="E19" s="389">
        <v>5.09</v>
      </c>
      <c r="F19" s="388" t="s">
        <v>2755</v>
      </c>
      <c r="G19" s="530" t="s">
        <v>485</v>
      </c>
      <c r="H19" s="530" t="s">
        <v>486</v>
      </c>
      <c r="I19" s="390"/>
      <c r="J19" s="791" t="s">
        <v>1110</v>
      </c>
      <c r="K19" s="533" t="s">
        <v>1284</v>
      </c>
      <c r="L19" s="535" t="s">
        <v>2805</v>
      </c>
      <c r="M19" s="389">
        <v>6.99</v>
      </c>
      <c r="N19" s="535" t="s">
        <v>2806</v>
      </c>
      <c r="O19" s="530" t="s">
        <v>485</v>
      </c>
      <c r="P19" s="530" t="s">
        <v>486</v>
      </c>
      <c r="R19" s="791" t="s">
        <v>1105</v>
      </c>
      <c r="S19" s="531" t="s">
        <v>1285</v>
      </c>
      <c r="T19" s="327" t="s">
        <v>1527</v>
      </c>
      <c r="U19" s="383">
        <v>11.75</v>
      </c>
      <c r="V19" s="327" t="s">
        <v>719</v>
      </c>
      <c r="W19" s="530" t="s">
        <v>485</v>
      </c>
      <c r="X19" s="530" t="s">
        <v>486</v>
      </c>
      <c r="Y19" s="391"/>
      <c r="Z19" s="529" t="s">
        <v>1438</v>
      </c>
      <c r="AA19" s="531" t="s">
        <v>1648</v>
      </c>
      <c r="AB19" s="535" t="s">
        <v>1645</v>
      </c>
      <c r="AC19" s="383">
        <v>7</v>
      </c>
      <c r="AD19" s="535" t="s">
        <v>1646</v>
      </c>
      <c r="AE19" s="530" t="s">
        <v>485</v>
      </c>
      <c r="AF19" s="530" t="s">
        <v>486</v>
      </c>
      <c r="AH19" s="752" t="s">
        <v>1107</v>
      </c>
      <c r="AI19" s="532" t="s">
        <v>1286</v>
      </c>
      <c r="AJ19" s="388" t="s">
        <v>1596</v>
      </c>
      <c r="AK19" s="389">
        <v>10.3</v>
      </c>
      <c r="AL19" s="388" t="s">
        <v>1597</v>
      </c>
      <c r="AM19" s="1007" t="s">
        <v>485</v>
      </c>
      <c r="AN19" s="530" t="s">
        <v>486</v>
      </c>
      <c r="AP19" s="752" t="s">
        <v>2079</v>
      </c>
      <c r="AQ19" s="532" t="s">
        <v>1397</v>
      </c>
      <c r="AR19" s="535" t="s">
        <v>2097</v>
      </c>
      <c r="AS19" s="389">
        <v>7.75</v>
      </c>
      <c r="AT19" s="535" t="s">
        <v>1557</v>
      </c>
      <c r="AU19" s="530" t="s">
        <v>485</v>
      </c>
      <c r="AV19" s="530" t="s">
        <v>486</v>
      </c>
      <c r="AW19" s="327"/>
      <c r="AX19" s="752" t="s">
        <v>1096</v>
      </c>
      <c r="AY19" s="533" t="s">
        <v>1287</v>
      </c>
      <c r="AZ19" s="327" t="s">
        <v>1039</v>
      </c>
      <c r="BA19" s="383">
        <v>9.25</v>
      </c>
      <c r="BB19" s="327" t="s">
        <v>1040</v>
      </c>
      <c r="BC19" s="530" t="s">
        <v>485</v>
      </c>
      <c r="BD19" s="530" t="s">
        <v>486</v>
      </c>
      <c r="BF19" s="752" t="s">
        <v>1988</v>
      </c>
      <c r="BG19" s="533" t="s">
        <v>1398</v>
      </c>
      <c r="BH19" s="751" t="s">
        <v>1969</v>
      </c>
      <c r="BI19" s="389">
        <v>8.99</v>
      </c>
      <c r="BJ19" s="751" t="s">
        <v>1970</v>
      </c>
      <c r="BK19" s="530" t="s">
        <v>485</v>
      </c>
      <c r="BL19" s="530" t="s">
        <v>486</v>
      </c>
    </row>
    <row r="20" spans="1:64" s="251" customFormat="1" ht="10.5" customHeight="1">
      <c r="A20" s="491"/>
      <c r="B20" s="986" t="s">
        <v>1078</v>
      </c>
      <c r="C20" s="832" t="s">
        <v>1643</v>
      </c>
      <c r="D20" s="433" t="s">
        <v>2779</v>
      </c>
      <c r="E20" s="434">
        <v>4.9800000000000004</v>
      </c>
      <c r="F20" s="433" t="s">
        <v>2780</v>
      </c>
      <c r="G20" s="1027" t="s">
        <v>485</v>
      </c>
      <c r="H20" s="1027" t="s">
        <v>486</v>
      </c>
      <c r="I20" s="982"/>
      <c r="J20" s="980" t="s">
        <v>1111</v>
      </c>
      <c r="K20" s="825" t="s">
        <v>1284</v>
      </c>
      <c r="L20" s="974" t="s">
        <v>2844</v>
      </c>
      <c r="M20" s="434">
        <v>7.46</v>
      </c>
      <c r="N20" s="974" t="s">
        <v>2845</v>
      </c>
      <c r="O20" s="973" t="s">
        <v>485</v>
      </c>
      <c r="P20" s="973" t="s">
        <v>486</v>
      </c>
      <c r="Q20" s="988"/>
      <c r="R20" s="980" t="s">
        <v>1106</v>
      </c>
      <c r="S20" s="977" t="s">
        <v>1285</v>
      </c>
      <c r="T20" s="1363" t="s">
        <v>1528</v>
      </c>
      <c r="U20" s="473">
        <v>11.8</v>
      </c>
      <c r="V20" s="1363" t="s">
        <v>720</v>
      </c>
      <c r="W20" s="973" t="s">
        <v>485</v>
      </c>
      <c r="X20" s="973" t="s">
        <v>486</v>
      </c>
      <c r="Y20" s="490"/>
      <c r="Z20" s="975" t="s">
        <v>1439</v>
      </c>
      <c r="AA20" s="977" t="s">
        <v>1292</v>
      </c>
      <c r="AB20" s="974" t="s">
        <v>1513</v>
      </c>
      <c r="AC20" s="473">
        <v>5</v>
      </c>
      <c r="AD20" s="974" t="s">
        <v>1533</v>
      </c>
      <c r="AE20" s="973" t="s">
        <v>485</v>
      </c>
      <c r="AF20" s="973" t="s">
        <v>486</v>
      </c>
      <c r="AG20" s="490"/>
      <c r="AH20" s="976" t="s">
        <v>1108</v>
      </c>
      <c r="AI20" s="979" t="s">
        <v>1286</v>
      </c>
      <c r="AJ20" s="433" t="s">
        <v>1598</v>
      </c>
      <c r="AK20" s="434">
        <v>10.99</v>
      </c>
      <c r="AL20" s="433" t="s">
        <v>1599</v>
      </c>
      <c r="AM20" s="973" t="s">
        <v>485</v>
      </c>
      <c r="AN20" s="973" t="s">
        <v>486</v>
      </c>
      <c r="AO20" s="491"/>
      <c r="AP20" s="976" t="s">
        <v>1440</v>
      </c>
      <c r="AQ20" s="979" t="s">
        <v>1397</v>
      </c>
      <c r="AR20" s="974" t="s">
        <v>2106</v>
      </c>
      <c r="AS20" s="434">
        <v>7.64</v>
      </c>
      <c r="AT20" s="974" t="s">
        <v>2107</v>
      </c>
      <c r="AU20" s="973" t="s">
        <v>485</v>
      </c>
      <c r="AV20" s="973" t="s">
        <v>486</v>
      </c>
      <c r="AW20" s="1363"/>
      <c r="AX20" s="976" t="s">
        <v>1097</v>
      </c>
      <c r="AY20" s="825" t="s">
        <v>1287</v>
      </c>
      <c r="AZ20" s="433" t="s">
        <v>1041</v>
      </c>
      <c r="BA20" s="434">
        <v>9.25</v>
      </c>
      <c r="BB20" s="433" t="s">
        <v>1042</v>
      </c>
      <c r="BC20" s="973" t="s">
        <v>485</v>
      </c>
      <c r="BD20" s="973" t="s">
        <v>486</v>
      </c>
      <c r="BE20" s="491"/>
      <c r="BF20" s="976" t="s">
        <v>1989</v>
      </c>
      <c r="BG20" s="825" t="s">
        <v>1398</v>
      </c>
      <c r="BH20" s="981" t="s">
        <v>1979</v>
      </c>
      <c r="BI20" s="434">
        <v>8.1999999999999993</v>
      </c>
      <c r="BJ20" s="981" t="s">
        <v>1980</v>
      </c>
      <c r="BK20" s="973" t="s">
        <v>485</v>
      </c>
      <c r="BL20" s="973" t="s">
        <v>486</v>
      </c>
    </row>
    <row r="21" spans="1:64" s="386" customFormat="1" ht="10.5" customHeight="1">
      <c r="B21" s="405" t="s">
        <v>1079</v>
      </c>
      <c r="C21" s="533" t="s">
        <v>1643</v>
      </c>
      <c r="D21" s="388" t="s">
        <v>2791</v>
      </c>
      <c r="E21" s="389">
        <v>5.4</v>
      </c>
      <c r="F21" s="388" t="s">
        <v>2792</v>
      </c>
      <c r="G21" s="530" t="s">
        <v>485</v>
      </c>
      <c r="H21" s="530" t="s">
        <v>486</v>
      </c>
      <c r="I21" s="390"/>
      <c r="J21" s="791" t="s">
        <v>1112</v>
      </c>
      <c r="K21" s="533" t="s">
        <v>1284</v>
      </c>
      <c r="L21" s="535" t="s">
        <v>2883</v>
      </c>
      <c r="M21" s="389">
        <v>8.1</v>
      </c>
      <c r="N21" s="535" t="s">
        <v>2885</v>
      </c>
      <c r="O21" s="530" t="s">
        <v>485</v>
      </c>
      <c r="P21" s="530" t="s">
        <v>486</v>
      </c>
      <c r="R21" s="791" t="s">
        <v>1107</v>
      </c>
      <c r="S21" s="531" t="s">
        <v>1285</v>
      </c>
      <c r="T21" s="327" t="s">
        <v>1529</v>
      </c>
      <c r="U21" s="383">
        <v>11.9</v>
      </c>
      <c r="V21" s="327" t="s">
        <v>500</v>
      </c>
      <c r="W21" s="530" t="s">
        <v>485</v>
      </c>
      <c r="X21" s="530" t="s">
        <v>486</v>
      </c>
      <c r="Y21" s="821"/>
      <c r="Z21" s="529" t="s">
        <v>2079</v>
      </c>
      <c r="AA21" s="531" t="s">
        <v>1293</v>
      </c>
      <c r="AB21" s="535" t="s">
        <v>1513</v>
      </c>
      <c r="AC21" s="383">
        <v>5</v>
      </c>
      <c r="AD21" s="535" t="s">
        <v>1533</v>
      </c>
      <c r="AE21" s="530" t="s">
        <v>485</v>
      </c>
      <c r="AF21" s="530" t="s">
        <v>486</v>
      </c>
      <c r="AH21" s="752" t="s">
        <v>1109</v>
      </c>
      <c r="AI21" s="532" t="s">
        <v>1286</v>
      </c>
      <c r="AJ21" s="388" t="s">
        <v>1600</v>
      </c>
      <c r="AK21" s="389">
        <v>11</v>
      </c>
      <c r="AL21" s="388" t="s">
        <v>1601</v>
      </c>
      <c r="AM21" s="530" t="s">
        <v>485</v>
      </c>
      <c r="AN21" s="530" t="s">
        <v>486</v>
      </c>
      <c r="AP21" s="752" t="s">
        <v>1441</v>
      </c>
      <c r="AQ21" s="532" t="s">
        <v>1397</v>
      </c>
      <c r="AR21" s="535" t="s">
        <v>2113</v>
      </c>
      <c r="AS21" s="389">
        <v>7.48</v>
      </c>
      <c r="AT21" s="535" t="s">
        <v>2114</v>
      </c>
      <c r="AU21" s="530" t="s">
        <v>485</v>
      </c>
      <c r="AV21" s="530" t="s">
        <v>486</v>
      </c>
      <c r="AW21" s="327"/>
      <c r="AX21" s="752" t="s">
        <v>1098</v>
      </c>
      <c r="AY21" s="533" t="s">
        <v>1287</v>
      </c>
      <c r="AZ21" s="327" t="s">
        <v>1043</v>
      </c>
      <c r="BA21" s="383">
        <v>9.4499999999999993</v>
      </c>
      <c r="BB21" s="327" t="s">
        <v>1044</v>
      </c>
      <c r="BC21" s="530" t="s">
        <v>485</v>
      </c>
      <c r="BD21" s="530" t="s">
        <v>486</v>
      </c>
      <c r="BF21" s="752" t="s">
        <v>1264</v>
      </c>
      <c r="BG21" s="533" t="s">
        <v>1398</v>
      </c>
      <c r="BH21" s="751" t="s">
        <v>1987</v>
      </c>
      <c r="BI21" s="389">
        <v>8.6999999999999993</v>
      </c>
      <c r="BJ21" s="751" t="s">
        <v>1990</v>
      </c>
      <c r="BK21" s="530" t="s">
        <v>485</v>
      </c>
      <c r="BL21" s="530" t="s">
        <v>486</v>
      </c>
    </row>
    <row r="22" spans="1:64" s="386" customFormat="1" ht="10.5" customHeight="1">
      <c r="A22" s="491"/>
      <c r="B22" s="986" t="s">
        <v>1080</v>
      </c>
      <c r="C22" s="825" t="s">
        <v>1643</v>
      </c>
      <c r="D22" s="433" t="s">
        <v>2803</v>
      </c>
      <c r="E22" s="434">
        <v>6.25</v>
      </c>
      <c r="F22" s="433" t="s">
        <v>2804</v>
      </c>
      <c r="G22" s="973" t="s">
        <v>485</v>
      </c>
      <c r="H22" s="973" t="s">
        <v>486</v>
      </c>
      <c r="I22" s="982"/>
      <c r="J22" s="980" t="s">
        <v>1113</v>
      </c>
      <c r="K22" s="825" t="s">
        <v>1649</v>
      </c>
      <c r="L22" s="974" t="s">
        <v>1645</v>
      </c>
      <c r="M22" s="434">
        <v>7</v>
      </c>
      <c r="N22" s="974" t="s">
        <v>1650</v>
      </c>
      <c r="O22" s="973" t="s">
        <v>485</v>
      </c>
      <c r="P22" s="973" t="s">
        <v>486</v>
      </c>
      <c r="Q22" s="491"/>
      <c r="R22" s="980" t="s">
        <v>1108</v>
      </c>
      <c r="S22" s="977" t="s">
        <v>1285</v>
      </c>
      <c r="T22" s="1363" t="s">
        <v>1530</v>
      </c>
      <c r="U22" s="473">
        <v>12</v>
      </c>
      <c r="V22" s="1363" t="s">
        <v>501</v>
      </c>
      <c r="W22" s="973" t="s">
        <v>485</v>
      </c>
      <c r="X22" s="973" t="s">
        <v>486</v>
      </c>
      <c r="Y22" s="490"/>
      <c r="Z22" s="975" t="s">
        <v>1440</v>
      </c>
      <c r="AA22" s="977" t="s">
        <v>1294</v>
      </c>
      <c r="AB22" s="974" t="s">
        <v>1513</v>
      </c>
      <c r="AC22" s="473">
        <v>5</v>
      </c>
      <c r="AD22" s="974" t="s">
        <v>1533</v>
      </c>
      <c r="AE22" s="973" t="s">
        <v>485</v>
      </c>
      <c r="AF22" s="973" t="s">
        <v>486</v>
      </c>
      <c r="AG22" s="491"/>
      <c r="AH22" s="976" t="s">
        <v>1110</v>
      </c>
      <c r="AI22" s="979" t="s">
        <v>1286</v>
      </c>
      <c r="AJ22" s="433" t="s">
        <v>1602</v>
      </c>
      <c r="AK22" s="434">
        <v>11</v>
      </c>
      <c r="AL22" s="433" t="s">
        <v>1603</v>
      </c>
      <c r="AM22" s="973" t="s">
        <v>485</v>
      </c>
      <c r="AN22" s="973" t="s">
        <v>486</v>
      </c>
      <c r="AO22" s="491"/>
      <c r="AP22" s="976" t="s">
        <v>1446</v>
      </c>
      <c r="AQ22" s="979" t="s">
        <v>1397</v>
      </c>
      <c r="AR22" s="974" t="s">
        <v>2148</v>
      </c>
      <c r="AS22" s="434">
        <v>7.25</v>
      </c>
      <c r="AT22" s="974" t="s">
        <v>2149</v>
      </c>
      <c r="AU22" s="973" t="s">
        <v>485</v>
      </c>
      <c r="AV22" s="973" t="s">
        <v>486</v>
      </c>
      <c r="AW22" s="1363"/>
      <c r="AX22" s="976" t="s">
        <v>1099</v>
      </c>
      <c r="AY22" s="825" t="s">
        <v>1287</v>
      </c>
      <c r="AZ22" s="1363" t="s">
        <v>1045</v>
      </c>
      <c r="BA22" s="473">
        <v>9.57</v>
      </c>
      <c r="BB22" s="1363" t="s">
        <v>1793</v>
      </c>
      <c r="BC22" s="973" t="s">
        <v>485</v>
      </c>
      <c r="BD22" s="973" t="s">
        <v>486</v>
      </c>
      <c r="BE22" s="491"/>
      <c r="BF22" s="976" t="s">
        <v>1432</v>
      </c>
      <c r="BG22" s="825" t="s">
        <v>1398</v>
      </c>
      <c r="BH22" s="981" t="s">
        <v>2001</v>
      </c>
      <c r="BI22" s="434">
        <v>7.64</v>
      </c>
      <c r="BJ22" s="981" t="s">
        <v>2003</v>
      </c>
      <c r="BK22" s="973" t="s">
        <v>485</v>
      </c>
      <c r="BL22" s="973" t="s">
        <v>486</v>
      </c>
    </row>
    <row r="23" spans="1:64" s="386" customFormat="1" ht="10.5" customHeight="1">
      <c r="B23" s="405" t="s">
        <v>1081</v>
      </c>
      <c r="C23" s="533" t="s">
        <v>1643</v>
      </c>
      <c r="D23" s="388" t="s">
        <v>2842</v>
      </c>
      <c r="E23" s="389">
        <v>6.39</v>
      </c>
      <c r="F23" s="388" t="s">
        <v>2843</v>
      </c>
      <c r="G23" s="530" t="s">
        <v>485</v>
      </c>
      <c r="H23" s="530" t="s">
        <v>486</v>
      </c>
      <c r="I23" s="390"/>
      <c r="J23" s="791" t="s">
        <v>1114</v>
      </c>
      <c r="K23" s="533" t="s">
        <v>1655</v>
      </c>
      <c r="L23" s="535" t="s">
        <v>1645</v>
      </c>
      <c r="M23" s="389">
        <v>7</v>
      </c>
      <c r="N23" s="535" t="s">
        <v>1650</v>
      </c>
      <c r="O23" s="530" t="s">
        <v>485</v>
      </c>
      <c r="P23" s="530" t="s">
        <v>486</v>
      </c>
      <c r="R23" s="791" t="s">
        <v>1109</v>
      </c>
      <c r="S23" s="531" t="s">
        <v>1285</v>
      </c>
      <c r="T23" s="327" t="s">
        <v>1531</v>
      </c>
      <c r="U23" s="383">
        <v>12.1</v>
      </c>
      <c r="V23" s="327" t="s">
        <v>1532</v>
      </c>
      <c r="W23" s="530" t="s">
        <v>485</v>
      </c>
      <c r="X23" s="530" t="s">
        <v>486</v>
      </c>
      <c r="Y23" s="391"/>
      <c r="Z23" s="529" t="s">
        <v>1441</v>
      </c>
      <c r="AA23" s="531" t="s">
        <v>1288</v>
      </c>
      <c r="AB23" s="535" t="s">
        <v>705</v>
      </c>
      <c r="AC23" s="383">
        <v>5</v>
      </c>
      <c r="AD23" s="535" t="s">
        <v>557</v>
      </c>
      <c r="AE23" s="530" t="s">
        <v>485</v>
      </c>
      <c r="AF23" s="530" t="s">
        <v>486</v>
      </c>
      <c r="AG23" s="821"/>
      <c r="AH23" s="752" t="s">
        <v>1111</v>
      </c>
      <c r="AI23" s="532" t="s">
        <v>1286</v>
      </c>
      <c r="AJ23" s="388" t="s">
        <v>1604</v>
      </c>
      <c r="AK23" s="389">
        <v>11.5</v>
      </c>
      <c r="AL23" s="388" t="s">
        <v>1605</v>
      </c>
      <c r="AM23" s="530" t="s">
        <v>485</v>
      </c>
      <c r="AN23" s="530" t="s">
        <v>486</v>
      </c>
      <c r="AP23" s="752" t="s">
        <v>1460</v>
      </c>
      <c r="AQ23" s="532" t="s">
        <v>1397</v>
      </c>
      <c r="AR23" s="535" t="s">
        <v>2263</v>
      </c>
      <c r="AS23" s="389">
        <v>7.7</v>
      </c>
      <c r="AT23" s="535" t="s">
        <v>2264</v>
      </c>
      <c r="AU23" s="530" t="s">
        <v>485</v>
      </c>
      <c r="AV23" s="530" t="s">
        <v>486</v>
      </c>
      <c r="AW23" s="327"/>
      <c r="AX23" s="752" t="s">
        <v>1100</v>
      </c>
      <c r="AY23" s="533" t="s">
        <v>1287</v>
      </c>
      <c r="AZ23" s="327" t="s">
        <v>1046</v>
      </c>
      <c r="BA23" s="383">
        <v>9.6</v>
      </c>
      <c r="BB23" s="327" t="s">
        <v>1047</v>
      </c>
      <c r="BC23" s="530" t="s">
        <v>485</v>
      </c>
      <c r="BD23" s="530" t="s">
        <v>486</v>
      </c>
      <c r="BF23" s="752" t="s">
        <v>1433</v>
      </c>
      <c r="BG23" s="533" t="s">
        <v>1398</v>
      </c>
      <c r="BH23" s="751" t="s">
        <v>2006</v>
      </c>
      <c r="BI23" s="389">
        <v>7.75</v>
      </c>
      <c r="BJ23" s="751" t="s">
        <v>2008</v>
      </c>
      <c r="BK23" s="530" t="s">
        <v>485</v>
      </c>
      <c r="BL23" s="530" t="s">
        <v>486</v>
      </c>
    </row>
    <row r="24" spans="1:64" s="251" customFormat="1" ht="10.5" customHeight="1">
      <c r="A24" s="593"/>
      <c r="B24" s="986" t="s">
        <v>1082</v>
      </c>
      <c r="C24" s="825" t="s">
        <v>1643</v>
      </c>
      <c r="D24" s="974" t="s">
        <v>2883</v>
      </c>
      <c r="E24" s="434">
        <v>7.55</v>
      </c>
      <c r="F24" s="974" t="s">
        <v>2884</v>
      </c>
      <c r="G24" s="973" t="s">
        <v>485</v>
      </c>
      <c r="H24" s="973" t="s">
        <v>486</v>
      </c>
      <c r="I24" s="982"/>
      <c r="J24" s="980" t="s">
        <v>1115</v>
      </c>
      <c r="K24" s="825" t="s">
        <v>1656</v>
      </c>
      <c r="L24" s="974" t="s">
        <v>1645</v>
      </c>
      <c r="M24" s="434">
        <v>7</v>
      </c>
      <c r="N24" s="974" t="s">
        <v>1650</v>
      </c>
      <c r="O24" s="973" t="s">
        <v>485</v>
      </c>
      <c r="P24" s="973" t="s">
        <v>486</v>
      </c>
      <c r="Q24" s="982"/>
      <c r="R24" s="980" t="s">
        <v>1110</v>
      </c>
      <c r="S24" s="977" t="s">
        <v>1285</v>
      </c>
      <c r="T24" s="1363" t="s">
        <v>1611</v>
      </c>
      <c r="U24" s="473">
        <v>12.1</v>
      </c>
      <c r="V24" s="1363" t="s">
        <v>1612</v>
      </c>
      <c r="W24" s="973" t="s">
        <v>485</v>
      </c>
      <c r="X24" s="973" t="s">
        <v>486</v>
      </c>
      <c r="Y24" s="490"/>
      <c r="Z24" s="975" t="s">
        <v>1446</v>
      </c>
      <c r="AA24" s="977" t="s">
        <v>1289</v>
      </c>
      <c r="AB24" s="974" t="s">
        <v>705</v>
      </c>
      <c r="AC24" s="473">
        <v>5</v>
      </c>
      <c r="AD24" s="974" t="s">
        <v>558</v>
      </c>
      <c r="AE24" s="973" t="s">
        <v>485</v>
      </c>
      <c r="AF24" s="973" t="s">
        <v>486</v>
      </c>
      <c r="AG24" s="491"/>
      <c r="AH24" s="976" t="s">
        <v>1112</v>
      </c>
      <c r="AI24" s="979" t="s">
        <v>1286</v>
      </c>
      <c r="AJ24" s="433" t="s">
        <v>1606</v>
      </c>
      <c r="AK24" s="434">
        <v>11.5</v>
      </c>
      <c r="AL24" s="433" t="s">
        <v>1607</v>
      </c>
      <c r="AM24" s="973" t="s">
        <v>485</v>
      </c>
      <c r="AN24" s="973" t="s">
        <v>486</v>
      </c>
      <c r="AO24" s="491"/>
      <c r="AP24" s="976" t="s">
        <v>1462</v>
      </c>
      <c r="AQ24" s="979" t="s">
        <v>1397</v>
      </c>
      <c r="AR24" s="974" t="s">
        <v>2322</v>
      </c>
      <c r="AS24" s="434">
        <v>7.74</v>
      </c>
      <c r="AT24" s="974" t="s">
        <v>2323</v>
      </c>
      <c r="AU24" s="973" t="s">
        <v>485</v>
      </c>
      <c r="AV24" s="973" t="s">
        <v>486</v>
      </c>
      <c r="AW24" s="1363"/>
      <c r="AX24" s="976" t="s">
        <v>1101</v>
      </c>
      <c r="AY24" s="825" t="s">
        <v>1287</v>
      </c>
      <c r="AZ24" s="1363" t="s">
        <v>1048</v>
      </c>
      <c r="BA24" s="473">
        <v>9.6</v>
      </c>
      <c r="BB24" s="1363" t="s">
        <v>1049</v>
      </c>
      <c r="BC24" s="973" t="s">
        <v>485</v>
      </c>
      <c r="BD24" s="973" t="s">
        <v>486</v>
      </c>
      <c r="BE24" s="491"/>
      <c r="BF24" s="976" t="s">
        <v>1434</v>
      </c>
      <c r="BG24" s="825" t="s">
        <v>1398</v>
      </c>
      <c r="BH24" s="981" t="s">
        <v>2025</v>
      </c>
      <c r="BI24" s="434">
        <v>7.75</v>
      </c>
      <c r="BJ24" s="981" t="s">
        <v>2026</v>
      </c>
      <c r="BK24" s="973" t="s">
        <v>485</v>
      </c>
      <c r="BL24" s="973" t="s">
        <v>486</v>
      </c>
    </row>
    <row r="25" spans="1:64" s="251" customFormat="1" ht="10.5" customHeight="1">
      <c r="A25" s="386"/>
      <c r="B25" s="791" t="s">
        <v>1083</v>
      </c>
      <c r="C25" s="533" t="s">
        <v>2815</v>
      </c>
      <c r="D25" s="535" t="s">
        <v>2816</v>
      </c>
      <c r="E25" s="389">
        <v>6.5</v>
      </c>
      <c r="F25" s="535" t="s">
        <v>2817</v>
      </c>
      <c r="G25" s="530" t="s">
        <v>485</v>
      </c>
      <c r="H25" s="530" t="s">
        <v>2814</v>
      </c>
      <c r="I25" s="390"/>
      <c r="J25" s="1085" t="s">
        <v>1116</v>
      </c>
      <c r="K25" s="533" t="s">
        <v>1652</v>
      </c>
      <c r="L25" s="837" t="s">
        <v>1645</v>
      </c>
      <c r="M25" s="389">
        <v>7</v>
      </c>
      <c r="N25" s="388" t="s">
        <v>1651</v>
      </c>
      <c r="O25" s="530" t="s">
        <v>485</v>
      </c>
      <c r="P25" s="530" t="s">
        <v>486</v>
      </c>
      <c r="Q25" s="390"/>
      <c r="R25" s="791" t="s">
        <v>1111</v>
      </c>
      <c r="S25" s="531" t="s">
        <v>1285</v>
      </c>
      <c r="T25" s="327" t="s">
        <v>1618</v>
      </c>
      <c r="U25" s="383">
        <v>12.16</v>
      </c>
      <c r="V25" s="327" t="s">
        <v>1619</v>
      </c>
      <c r="W25" s="530" t="s">
        <v>485</v>
      </c>
      <c r="X25" s="530" t="s">
        <v>486</v>
      </c>
      <c r="Y25" s="391"/>
      <c r="Z25" s="529" t="s">
        <v>1460</v>
      </c>
      <c r="AA25" s="531" t="s">
        <v>1295</v>
      </c>
      <c r="AB25" s="535" t="s">
        <v>1513</v>
      </c>
      <c r="AC25" s="383">
        <v>5</v>
      </c>
      <c r="AD25" s="535" t="s">
        <v>1534</v>
      </c>
      <c r="AE25" s="530" t="s">
        <v>485</v>
      </c>
      <c r="AF25" s="530" t="s">
        <v>486</v>
      </c>
      <c r="AG25" s="386"/>
      <c r="AH25" s="752" t="s">
        <v>1113</v>
      </c>
      <c r="AI25" s="532" t="s">
        <v>1286</v>
      </c>
      <c r="AJ25" s="388" t="s">
        <v>1608</v>
      </c>
      <c r="AK25" s="389">
        <v>11.6</v>
      </c>
      <c r="AL25" s="388" t="s">
        <v>1609</v>
      </c>
      <c r="AM25" s="530" t="s">
        <v>485</v>
      </c>
      <c r="AN25" s="530" t="s">
        <v>486</v>
      </c>
      <c r="AO25" s="386"/>
      <c r="AP25" s="752" t="s">
        <v>1508</v>
      </c>
      <c r="AQ25" s="532" t="s">
        <v>1397</v>
      </c>
      <c r="AR25" s="535" t="s">
        <v>2435</v>
      </c>
      <c r="AS25" s="389">
        <v>7.99</v>
      </c>
      <c r="AT25" s="535" t="s">
        <v>2436</v>
      </c>
      <c r="AU25" s="530" t="s">
        <v>485</v>
      </c>
      <c r="AV25" s="530" t="s">
        <v>486</v>
      </c>
      <c r="AW25" s="327"/>
      <c r="AX25" s="752" t="s">
        <v>1102</v>
      </c>
      <c r="AY25" s="533" t="s">
        <v>1287</v>
      </c>
      <c r="AZ25" s="327" t="s">
        <v>1050</v>
      </c>
      <c r="BA25" s="383">
        <v>9.6300000000000008</v>
      </c>
      <c r="BB25" s="327" t="s">
        <v>1051</v>
      </c>
      <c r="BC25" s="530" t="s">
        <v>485</v>
      </c>
      <c r="BD25" s="530" t="s">
        <v>486</v>
      </c>
      <c r="BE25" s="386"/>
      <c r="BF25" s="752" t="s">
        <v>1435</v>
      </c>
      <c r="BG25" s="533" t="s">
        <v>1398</v>
      </c>
      <c r="BH25" s="751" t="s">
        <v>2037</v>
      </c>
      <c r="BI25" s="389">
        <v>8.24</v>
      </c>
      <c r="BJ25" s="751" t="s">
        <v>2038</v>
      </c>
      <c r="BK25" s="530" t="s">
        <v>485</v>
      </c>
      <c r="BL25" s="530" t="s">
        <v>486</v>
      </c>
    </row>
    <row r="26" spans="1:64" s="251" customFormat="1" ht="10.5" customHeight="1">
      <c r="A26" s="430" t="s">
        <v>901</v>
      </c>
      <c r="B26" s="980" t="s">
        <v>1063</v>
      </c>
      <c r="C26" s="825" t="s">
        <v>1284</v>
      </c>
      <c r="D26" s="974" t="s">
        <v>1750</v>
      </c>
      <c r="E26" s="434">
        <v>10</v>
      </c>
      <c r="F26" s="974" t="s">
        <v>1751</v>
      </c>
      <c r="G26" s="973" t="s">
        <v>485</v>
      </c>
      <c r="H26" s="973" t="s">
        <v>486</v>
      </c>
      <c r="I26" s="982"/>
      <c r="J26" s="1366" t="s">
        <v>1117</v>
      </c>
      <c r="K26" s="825" t="s">
        <v>1657</v>
      </c>
      <c r="L26" s="974" t="s">
        <v>1645</v>
      </c>
      <c r="M26" s="434">
        <v>7</v>
      </c>
      <c r="N26" s="1367" t="s">
        <v>1651</v>
      </c>
      <c r="O26" s="973" t="s">
        <v>485</v>
      </c>
      <c r="P26" s="973" t="s">
        <v>486</v>
      </c>
      <c r="Q26" s="982"/>
      <c r="R26" s="980" t="s">
        <v>1112</v>
      </c>
      <c r="S26" s="977" t="s">
        <v>1285</v>
      </c>
      <c r="T26" s="1363" t="s">
        <v>1625</v>
      </c>
      <c r="U26" s="473">
        <v>12.19</v>
      </c>
      <c r="V26" s="1363" t="s">
        <v>1626</v>
      </c>
      <c r="W26" s="973" t="s">
        <v>485</v>
      </c>
      <c r="X26" s="973" t="s">
        <v>486</v>
      </c>
      <c r="Y26" s="491"/>
      <c r="Z26" s="975" t="s">
        <v>1462</v>
      </c>
      <c r="AA26" s="977" t="s">
        <v>1296</v>
      </c>
      <c r="AB26" s="974" t="s">
        <v>1513</v>
      </c>
      <c r="AC26" s="473">
        <v>5</v>
      </c>
      <c r="AD26" s="974" t="s">
        <v>1534</v>
      </c>
      <c r="AE26" s="973" t="s">
        <v>485</v>
      </c>
      <c r="AF26" s="973" t="s">
        <v>486</v>
      </c>
      <c r="AG26" s="490"/>
      <c r="AH26" s="976" t="s">
        <v>1114</v>
      </c>
      <c r="AI26" s="979" t="s">
        <v>1286</v>
      </c>
      <c r="AJ26" s="433" t="s">
        <v>1535</v>
      </c>
      <c r="AK26" s="434">
        <v>11.7</v>
      </c>
      <c r="AL26" s="433" t="s">
        <v>1536</v>
      </c>
      <c r="AM26" s="973" t="s">
        <v>485</v>
      </c>
      <c r="AN26" s="973" t="s">
        <v>486</v>
      </c>
      <c r="AO26" s="491"/>
      <c r="AP26" s="976" t="s">
        <v>2391</v>
      </c>
      <c r="AQ26" s="979" t="s">
        <v>1397</v>
      </c>
      <c r="AR26" s="974" t="s">
        <v>2442</v>
      </c>
      <c r="AS26" s="434">
        <v>8.24</v>
      </c>
      <c r="AT26" s="974" t="s">
        <v>2443</v>
      </c>
      <c r="AU26" s="973" t="s">
        <v>485</v>
      </c>
      <c r="AV26" s="973" t="s">
        <v>486</v>
      </c>
      <c r="AW26" s="1363"/>
      <c r="AX26" s="976" t="s">
        <v>1103</v>
      </c>
      <c r="AY26" s="825" t="s">
        <v>1287</v>
      </c>
      <c r="AZ26" s="1363" t="s">
        <v>1058</v>
      </c>
      <c r="BA26" s="473">
        <v>9.65</v>
      </c>
      <c r="BB26" s="1363" t="s">
        <v>1059</v>
      </c>
      <c r="BC26" s="973" t="s">
        <v>485</v>
      </c>
      <c r="BD26" s="973" t="s">
        <v>486</v>
      </c>
      <c r="BE26" s="491"/>
      <c r="BF26" s="976" t="s">
        <v>1436</v>
      </c>
      <c r="BG26" s="825" t="s">
        <v>1398</v>
      </c>
      <c r="BH26" s="981" t="s">
        <v>2043</v>
      </c>
      <c r="BI26" s="434">
        <v>8.2899999999999991</v>
      </c>
      <c r="BJ26" s="981" t="s">
        <v>2045</v>
      </c>
      <c r="BK26" s="973" t="s">
        <v>485</v>
      </c>
      <c r="BL26" s="973" t="s">
        <v>486</v>
      </c>
    </row>
    <row r="27" spans="1:64" s="251" customFormat="1" ht="10.5" customHeight="1">
      <c r="A27" s="346"/>
      <c r="B27" s="791" t="s">
        <v>1064</v>
      </c>
      <c r="C27" s="533" t="s">
        <v>1284</v>
      </c>
      <c r="D27" s="535" t="s">
        <v>1755</v>
      </c>
      <c r="E27" s="389">
        <v>9.82</v>
      </c>
      <c r="F27" s="535" t="s">
        <v>1756</v>
      </c>
      <c r="G27" s="530" t="s">
        <v>485</v>
      </c>
      <c r="H27" s="530" t="s">
        <v>486</v>
      </c>
      <c r="I27" s="390"/>
      <c r="J27" s="1085" t="s">
        <v>1118</v>
      </c>
      <c r="K27" s="533" t="s">
        <v>1658</v>
      </c>
      <c r="L27" s="1368" t="s">
        <v>1645</v>
      </c>
      <c r="M27" s="389">
        <v>7</v>
      </c>
      <c r="N27" s="388" t="s">
        <v>1651</v>
      </c>
      <c r="O27" s="530" t="s">
        <v>485</v>
      </c>
      <c r="P27" s="530" t="s">
        <v>486</v>
      </c>
      <c r="Q27" s="390"/>
      <c r="R27" s="791" t="s">
        <v>1113</v>
      </c>
      <c r="S27" s="531" t="s">
        <v>1285</v>
      </c>
      <c r="T27" s="327" t="s">
        <v>1673</v>
      </c>
      <c r="U27" s="383">
        <v>12.22</v>
      </c>
      <c r="V27" s="327" t="s">
        <v>1674</v>
      </c>
      <c r="W27" s="530" t="s">
        <v>485</v>
      </c>
      <c r="X27" s="530" t="s">
        <v>486</v>
      </c>
      <c r="Y27" s="386"/>
      <c r="Z27" s="529" t="s">
        <v>1508</v>
      </c>
      <c r="AA27" s="531" t="s">
        <v>1297</v>
      </c>
      <c r="AB27" s="535" t="s">
        <v>1513</v>
      </c>
      <c r="AC27" s="383">
        <v>5</v>
      </c>
      <c r="AD27" s="535" t="s">
        <v>1534</v>
      </c>
      <c r="AE27" s="530" t="s">
        <v>485</v>
      </c>
      <c r="AF27" s="530" t="s">
        <v>486</v>
      </c>
      <c r="AG27" s="386"/>
      <c r="AH27" s="752" t="s">
        <v>1115</v>
      </c>
      <c r="AI27" s="532" t="s">
        <v>1286</v>
      </c>
      <c r="AJ27" s="388" t="s">
        <v>1537</v>
      </c>
      <c r="AK27" s="389">
        <v>11.75</v>
      </c>
      <c r="AL27" s="388" t="s">
        <v>1538</v>
      </c>
      <c r="AM27" s="530" t="s">
        <v>485</v>
      </c>
      <c r="AN27" s="530" t="s">
        <v>486</v>
      </c>
      <c r="AO27" s="386"/>
      <c r="AP27" s="752" t="s">
        <v>2392</v>
      </c>
      <c r="AQ27" s="532" t="s">
        <v>1397</v>
      </c>
      <c r="AR27" s="535" t="s">
        <v>2466</v>
      </c>
      <c r="AS27" s="389">
        <v>8.1300000000000008</v>
      </c>
      <c r="AT27" s="535" t="s">
        <v>2467</v>
      </c>
      <c r="AU27" s="530" t="s">
        <v>485</v>
      </c>
      <c r="AV27" s="530" t="s">
        <v>486</v>
      </c>
      <c r="AW27" s="390"/>
      <c r="AX27" s="752" t="s">
        <v>1104</v>
      </c>
      <c r="AY27" s="533" t="s">
        <v>1287</v>
      </c>
      <c r="AZ27" s="327" t="s">
        <v>2059</v>
      </c>
      <c r="BA27" s="383">
        <v>9.65</v>
      </c>
      <c r="BB27" s="327" t="s">
        <v>2044</v>
      </c>
      <c r="BC27" s="530" t="s">
        <v>485</v>
      </c>
      <c r="BD27" s="530" t="s">
        <v>486</v>
      </c>
      <c r="BE27" s="386"/>
      <c r="BF27" s="752" t="s">
        <v>1437</v>
      </c>
      <c r="BG27" s="533" t="s">
        <v>1398</v>
      </c>
      <c r="BH27" s="751" t="s">
        <v>2055</v>
      </c>
      <c r="BI27" s="389">
        <v>8.5</v>
      </c>
      <c r="BJ27" s="751" t="s">
        <v>2063</v>
      </c>
      <c r="BK27" s="530" t="s">
        <v>485</v>
      </c>
      <c r="BL27" s="530" t="s">
        <v>486</v>
      </c>
    </row>
    <row r="28" spans="1:64" s="251" customFormat="1" ht="10.5" customHeight="1">
      <c r="A28" s="1363"/>
      <c r="B28" s="980" t="s">
        <v>1065</v>
      </c>
      <c r="C28" s="825" t="s">
        <v>1284</v>
      </c>
      <c r="D28" s="974" t="s">
        <v>1763</v>
      </c>
      <c r="E28" s="434">
        <v>9.49</v>
      </c>
      <c r="F28" s="974" t="s">
        <v>1764</v>
      </c>
      <c r="G28" s="973" t="s">
        <v>485</v>
      </c>
      <c r="H28" s="973" t="s">
        <v>486</v>
      </c>
      <c r="I28" s="982"/>
      <c r="J28" s="1366" t="s">
        <v>1119</v>
      </c>
      <c r="K28" s="825" t="s">
        <v>1298</v>
      </c>
      <c r="L28" s="1369" t="s">
        <v>1513</v>
      </c>
      <c r="M28" s="434">
        <v>5</v>
      </c>
      <c r="N28" s="1369" t="s">
        <v>1514</v>
      </c>
      <c r="O28" s="973" t="s">
        <v>485</v>
      </c>
      <c r="P28" s="973" t="s">
        <v>486</v>
      </c>
      <c r="Q28" s="982"/>
      <c r="R28" s="980" t="s">
        <v>1114</v>
      </c>
      <c r="S28" s="977" t="s">
        <v>1285</v>
      </c>
      <c r="T28" s="1363" t="s">
        <v>1675</v>
      </c>
      <c r="U28" s="473">
        <v>12.22</v>
      </c>
      <c r="V28" s="1363" t="s">
        <v>1676</v>
      </c>
      <c r="W28" s="973" t="s">
        <v>485</v>
      </c>
      <c r="X28" s="973" t="s">
        <v>486</v>
      </c>
      <c r="Y28" s="491"/>
      <c r="Z28" s="975" t="s">
        <v>2391</v>
      </c>
      <c r="AA28" s="977" t="s">
        <v>1290</v>
      </c>
      <c r="AB28" s="974" t="s">
        <v>705</v>
      </c>
      <c r="AC28" s="473">
        <v>5</v>
      </c>
      <c r="AD28" s="974" t="s">
        <v>559</v>
      </c>
      <c r="AE28" s="973" t="s">
        <v>485</v>
      </c>
      <c r="AF28" s="973" t="s">
        <v>486</v>
      </c>
      <c r="AG28" s="491"/>
      <c r="AH28" s="976" t="s">
        <v>1116</v>
      </c>
      <c r="AI28" s="979" t="s">
        <v>1286</v>
      </c>
      <c r="AJ28" s="433" t="s">
        <v>1539</v>
      </c>
      <c r="AK28" s="434">
        <v>11.8</v>
      </c>
      <c r="AL28" s="433" t="s">
        <v>1540</v>
      </c>
      <c r="AM28" s="973" t="s">
        <v>485</v>
      </c>
      <c r="AN28" s="973" t="s">
        <v>486</v>
      </c>
      <c r="AO28" s="491"/>
      <c r="AP28" s="976" t="s">
        <v>2465</v>
      </c>
      <c r="AQ28" s="979" t="s">
        <v>1397</v>
      </c>
      <c r="AR28" s="974" t="s">
        <v>2470</v>
      </c>
      <c r="AS28" s="434">
        <v>7.52</v>
      </c>
      <c r="AT28" s="974" t="s">
        <v>2471</v>
      </c>
      <c r="AU28" s="973" t="s">
        <v>485</v>
      </c>
      <c r="AV28" s="973" t="s">
        <v>486</v>
      </c>
      <c r="AW28" s="491"/>
      <c r="AX28" s="976" t="s">
        <v>1105</v>
      </c>
      <c r="AY28" s="825" t="s">
        <v>1287</v>
      </c>
      <c r="AZ28" s="1363" t="s">
        <v>2060</v>
      </c>
      <c r="BA28" s="473">
        <v>9.65</v>
      </c>
      <c r="BB28" s="1363" t="s">
        <v>2056</v>
      </c>
      <c r="BC28" s="973" t="s">
        <v>485</v>
      </c>
      <c r="BD28" s="973" t="s">
        <v>486</v>
      </c>
      <c r="BE28" s="491"/>
      <c r="BF28" s="976" t="s">
        <v>1438</v>
      </c>
      <c r="BG28" s="825" t="s">
        <v>1398</v>
      </c>
      <c r="BH28" s="981" t="s">
        <v>2057</v>
      </c>
      <c r="BI28" s="434">
        <v>8.48</v>
      </c>
      <c r="BJ28" s="981" t="s">
        <v>2064</v>
      </c>
      <c r="BK28" s="973" t="s">
        <v>485</v>
      </c>
      <c r="BL28" s="973" t="s">
        <v>486</v>
      </c>
    </row>
    <row r="29" spans="1:64" s="251" customFormat="1" ht="10.5" customHeight="1">
      <c r="A29" s="390"/>
      <c r="B29" s="791" t="s">
        <v>1066</v>
      </c>
      <c r="C29" s="533" t="s">
        <v>1284</v>
      </c>
      <c r="D29" s="535" t="s">
        <v>1779</v>
      </c>
      <c r="E29" s="389">
        <v>9.59</v>
      </c>
      <c r="F29" s="535" t="s">
        <v>1780</v>
      </c>
      <c r="G29" s="530" t="s">
        <v>485</v>
      </c>
      <c r="H29" s="530" t="s">
        <v>486</v>
      </c>
      <c r="I29" s="1564"/>
      <c r="J29" s="1085" t="s">
        <v>1120</v>
      </c>
      <c r="K29" s="533" t="s">
        <v>1300</v>
      </c>
      <c r="L29" s="388" t="s">
        <v>1513</v>
      </c>
      <c r="M29" s="389">
        <v>5</v>
      </c>
      <c r="N29" s="388" t="s">
        <v>1514</v>
      </c>
      <c r="O29" s="530" t="s">
        <v>485</v>
      </c>
      <c r="P29" s="530" t="s">
        <v>486</v>
      </c>
      <c r="Q29" s="390"/>
      <c r="R29" s="791" t="s">
        <v>1115</v>
      </c>
      <c r="S29" s="531" t="s">
        <v>1285</v>
      </c>
      <c r="T29" s="327" t="s">
        <v>1701</v>
      </c>
      <c r="U29" s="383">
        <v>12.16</v>
      </c>
      <c r="V29" s="327" t="s">
        <v>1702</v>
      </c>
      <c r="W29" s="530" t="s">
        <v>485</v>
      </c>
      <c r="X29" s="530" t="s">
        <v>486</v>
      </c>
      <c r="Y29" s="386" t="s">
        <v>904</v>
      </c>
      <c r="Z29" s="529" t="s">
        <v>1063</v>
      </c>
      <c r="AA29" s="531" t="s">
        <v>1286</v>
      </c>
      <c r="AB29" s="535" t="s">
        <v>704</v>
      </c>
      <c r="AC29" s="383">
        <v>13.48</v>
      </c>
      <c r="AD29" s="535" t="s">
        <v>716</v>
      </c>
      <c r="AE29" s="530" t="s">
        <v>485</v>
      </c>
      <c r="AF29" s="530" t="s">
        <v>486</v>
      </c>
      <c r="AG29" s="386"/>
      <c r="AH29" s="752" t="s">
        <v>1117</v>
      </c>
      <c r="AI29" s="532" t="s">
        <v>1286</v>
      </c>
      <c r="AJ29" s="388" t="s">
        <v>1541</v>
      </c>
      <c r="AK29" s="389">
        <v>11.8</v>
      </c>
      <c r="AL29" s="388" t="s">
        <v>1542</v>
      </c>
      <c r="AM29" s="530" t="s">
        <v>485</v>
      </c>
      <c r="AN29" s="530" t="s">
        <v>486</v>
      </c>
      <c r="AO29" s="386"/>
      <c r="AP29" s="752" t="s">
        <v>2472</v>
      </c>
      <c r="AQ29" s="532" t="s">
        <v>1397</v>
      </c>
      <c r="AR29" s="535" t="s">
        <v>2486</v>
      </c>
      <c r="AS29" s="389">
        <v>7.5</v>
      </c>
      <c r="AT29" s="535" t="s">
        <v>2487</v>
      </c>
      <c r="AU29" s="530" t="s">
        <v>485</v>
      </c>
      <c r="AV29" s="530" t="s">
        <v>486</v>
      </c>
      <c r="AW29" s="386"/>
      <c r="AX29" s="752" t="s">
        <v>1106</v>
      </c>
      <c r="AY29" s="533" t="s">
        <v>1287</v>
      </c>
      <c r="AZ29" s="327" t="s">
        <v>2061</v>
      </c>
      <c r="BA29" s="383">
        <v>10</v>
      </c>
      <c r="BB29" s="327" t="s">
        <v>2058</v>
      </c>
      <c r="BC29" s="530" t="s">
        <v>485</v>
      </c>
      <c r="BD29" s="530" t="s">
        <v>486</v>
      </c>
      <c r="BE29" s="386"/>
      <c r="BF29" s="752" t="s">
        <v>1439</v>
      </c>
      <c r="BG29" s="533" t="s">
        <v>1398</v>
      </c>
      <c r="BH29" s="751" t="s">
        <v>2082</v>
      </c>
      <c r="BI29" s="389">
        <v>8.19</v>
      </c>
      <c r="BJ29" s="751" t="s">
        <v>2084</v>
      </c>
      <c r="BK29" s="530" t="s">
        <v>485</v>
      </c>
      <c r="BL29" s="530" t="s">
        <v>486</v>
      </c>
    </row>
    <row r="30" spans="1:64" s="251" customFormat="1" ht="10.5" customHeight="1">
      <c r="A30" s="982"/>
      <c r="B30" s="980" t="s">
        <v>1067</v>
      </c>
      <c r="C30" s="825" t="s">
        <v>1284</v>
      </c>
      <c r="D30" s="974" t="s">
        <v>1783</v>
      </c>
      <c r="E30" s="434">
        <v>9.66</v>
      </c>
      <c r="F30" s="974" t="s">
        <v>1784</v>
      </c>
      <c r="G30" s="973" t="s">
        <v>485</v>
      </c>
      <c r="H30" s="973" t="s">
        <v>486</v>
      </c>
      <c r="I30" s="982"/>
      <c r="J30" s="1662" t="s">
        <v>1121</v>
      </c>
      <c r="K30" s="979" t="s">
        <v>1301</v>
      </c>
      <c r="L30" s="1370" t="s">
        <v>1513</v>
      </c>
      <c r="M30" s="434">
        <v>5</v>
      </c>
      <c r="N30" s="1370" t="s">
        <v>1514</v>
      </c>
      <c r="O30" s="1027" t="s">
        <v>485</v>
      </c>
      <c r="P30" s="1027" t="s">
        <v>486</v>
      </c>
      <c r="Q30" s="982"/>
      <c r="R30" s="980" t="s">
        <v>1116</v>
      </c>
      <c r="S30" s="977" t="s">
        <v>1285</v>
      </c>
      <c r="T30" s="1363" t="s">
        <v>1718</v>
      </c>
      <c r="U30" s="473">
        <v>11.75</v>
      </c>
      <c r="V30" s="1363" t="s">
        <v>1719</v>
      </c>
      <c r="W30" s="973" t="s">
        <v>485</v>
      </c>
      <c r="X30" s="973" t="s">
        <v>486</v>
      </c>
      <c r="Y30" s="491"/>
      <c r="Z30" s="975" t="s">
        <v>1064</v>
      </c>
      <c r="AA30" s="977" t="s">
        <v>1286</v>
      </c>
      <c r="AB30" s="974" t="s">
        <v>705</v>
      </c>
      <c r="AC30" s="473">
        <v>5</v>
      </c>
      <c r="AD30" s="974" t="s">
        <v>717</v>
      </c>
      <c r="AE30" s="973" t="s">
        <v>485</v>
      </c>
      <c r="AF30" s="973" t="s">
        <v>486</v>
      </c>
      <c r="AG30" s="491"/>
      <c r="AH30" s="976" t="s">
        <v>1118</v>
      </c>
      <c r="AI30" s="979" t="s">
        <v>1286</v>
      </c>
      <c r="AJ30" s="433" t="s">
        <v>1543</v>
      </c>
      <c r="AK30" s="434">
        <v>11.88</v>
      </c>
      <c r="AL30" s="433" t="s">
        <v>1544</v>
      </c>
      <c r="AM30" s="973" t="s">
        <v>485</v>
      </c>
      <c r="AN30" s="973" t="s">
        <v>486</v>
      </c>
      <c r="AO30" s="491"/>
      <c r="AP30" s="976" t="s">
        <v>2489</v>
      </c>
      <c r="AQ30" s="979" t="s">
        <v>1397</v>
      </c>
      <c r="AR30" s="974" t="s">
        <v>2510</v>
      </c>
      <c r="AS30" s="434">
        <v>8.06</v>
      </c>
      <c r="AT30" s="974" t="s">
        <v>2511</v>
      </c>
      <c r="AU30" s="973" t="s">
        <v>485</v>
      </c>
      <c r="AV30" s="973" t="s">
        <v>486</v>
      </c>
      <c r="AW30" s="491"/>
      <c r="AX30" s="976" t="s">
        <v>1107</v>
      </c>
      <c r="AY30" s="825" t="s">
        <v>1287</v>
      </c>
      <c r="AZ30" s="1363" t="s">
        <v>2086</v>
      </c>
      <c r="BA30" s="473">
        <v>10.25</v>
      </c>
      <c r="BB30" s="1363" t="s">
        <v>1555</v>
      </c>
      <c r="BC30" s="973" t="s">
        <v>485</v>
      </c>
      <c r="BD30" s="973" t="s">
        <v>486</v>
      </c>
      <c r="BE30" s="491"/>
      <c r="BF30" s="976" t="s">
        <v>2079</v>
      </c>
      <c r="BG30" s="825" t="s">
        <v>1398</v>
      </c>
      <c r="BH30" s="981" t="s">
        <v>2091</v>
      </c>
      <c r="BI30" s="434">
        <v>8</v>
      </c>
      <c r="BJ30" s="981" t="s">
        <v>2094</v>
      </c>
      <c r="BK30" s="973" t="s">
        <v>485</v>
      </c>
      <c r="BL30" s="973" t="s">
        <v>486</v>
      </c>
    </row>
    <row r="31" spans="1:64" s="356" customFormat="1" ht="10.5" customHeight="1">
      <c r="A31" s="390"/>
      <c r="B31" s="791" t="s">
        <v>1068</v>
      </c>
      <c r="C31" s="533" t="s">
        <v>1284</v>
      </c>
      <c r="D31" s="535" t="s">
        <v>1796</v>
      </c>
      <c r="E31" s="389">
        <v>9.6</v>
      </c>
      <c r="F31" s="535" t="s">
        <v>1797</v>
      </c>
      <c r="G31" s="530" t="s">
        <v>485</v>
      </c>
      <c r="H31" s="530" t="s">
        <v>486</v>
      </c>
      <c r="I31" s="394" t="s">
        <v>903</v>
      </c>
      <c r="J31" s="401" t="s">
        <v>1063</v>
      </c>
      <c r="K31" s="532" t="s">
        <v>1285</v>
      </c>
      <c r="L31" s="1371" t="s">
        <v>4</v>
      </c>
      <c r="M31" s="389">
        <v>9.4499999999999993</v>
      </c>
      <c r="N31" s="1371" t="s">
        <v>5</v>
      </c>
      <c r="O31" s="530" t="s">
        <v>485</v>
      </c>
      <c r="P31" s="530" t="s">
        <v>486</v>
      </c>
      <c r="Q31" s="390"/>
      <c r="R31" s="791" t="s">
        <v>1117</v>
      </c>
      <c r="S31" s="531" t="s">
        <v>1285</v>
      </c>
      <c r="T31" s="327" t="s">
        <v>1752</v>
      </c>
      <c r="U31" s="383">
        <v>11.59</v>
      </c>
      <c r="V31" s="327" t="s">
        <v>1753</v>
      </c>
      <c r="W31" s="530" t="s">
        <v>485</v>
      </c>
      <c r="X31" s="530" t="s">
        <v>486</v>
      </c>
      <c r="Y31" s="386"/>
      <c r="Z31" s="529" t="s">
        <v>1065</v>
      </c>
      <c r="AA31" s="531" t="s">
        <v>1286</v>
      </c>
      <c r="AB31" s="535" t="s">
        <v>706</v>
      </c>
      <c r="AC31" s="383">
        <v>13.2</v>
      </c>
      <c r="AD31" s="535" t="s">
        <v>718</v>
      </c>
      <c r="AE31" s="530" t="s">
        <v>485</v>
      </c>
      <c r="AF31" s="530" t="s">
        <v>486</v>
      </c>
      <c r="AG31" s="386"/>
      <c r="AH31" s="752" t="s">
        <v>1119</v>
      </c>
      <c r="AI31" s="532" t="s">
        <v>1286</v>
      </c>
      <c r="AJ31" s="388" t="s">
        <v>1545</v>
      </c>
      <c r="AK31" s="389">
        <v>11.93</v>
      </c>
      <c r="AL31" s="388" t="s">
        <v>1546</v>
      </c>
      <c r="AM31" s="530" t="s">
        <v>485</v>
      </c>
      <c r="AN31" s="530" t="s">
        <v>486</v>
      </c>
      <c r="AO31" s="386"/>
      <c r="AP31" s="752" t="s">
        <v>2512</v>
      </c>
      <c r="AQ31" s="532" t="s">
        <v>1397</v>
      </c>
      <c r="AR31" s="535" t="s">
        <v>2528</v>
      </c>
      <c r="AS31" s="389">
        <v>7.49</v>
      </c>
      <c r="AT31" s="535" t="s">
        <v>2529</v>
      </c>
      <c r="AU31" s="530" t="s">
        <v>485</v>
      </c>
      <c r="AV31" s="530" t="s">
        <v>486</v>
      </c>
      <c r="AW31" s="386"/>
      <c r="AX31" s="752" t="s">
        <v>1108</v>
      </c>
      <c r="AY31" s="533" t="s">
        <v>1287</v>
      </c>
      <c r="AZ31" s="327" t="s">
        <v>2087</v>
      </c>
      <c r="BA31" s="383">
        <v>10.85</v>
      </c>
      <c r="BB31" s="327" t="s">
        <v>2062</v>
      </c>
      <c r="BC31" s="530" t="s">
        <v>485</v>
      </c>
      <c r="BD31" s="530" t="s">
        <v>486</v>
      </c>
      <c r="BE31" s="386"/>
      <c r="BF31" s="752" t="s">
        <v>1440</v>
      </c>
      <c r="BG31" s="533" t="s">
        <v>1398</v>
      </c>
      <c r="BH31" s="751" t="s">
        <v>2097</v>
      </c>
      <c r="BI31" s="389">
        <v>7.94</v>
      </c>
      <c r="BJ31" s="751" t="s">
        <v>2098</v>
      </c>
      <c r="BK31" s="530" t="s">
        <v>485</v>
      </c>
      <c r="BL31" s="530" t="s">
        <v>486</v>
      </c>
    </row>
    <row r="32" spans="1:64" s="356" customFormat="1" ht="10.5" customHeight="1">
      <c r="A32" s="982"/>
      <c r="B32" s="980" t="s">
        <v>1069</v>
      </c>
      <c r="C32" s="825" t="s">
        <v>1284</v>
      </c>
      <c r="D32" s="974" t="s">
        <v>1885</v>
      </c>
      <c r="E32" s="434">
        <v>9.5</v>
      </c>
      <c r="F32" s="974" t="s">
        <v>1886</v>
      </c>
      <c r="G32" s="973" t="s">
        <v>485</v>
      </c>
      <c r="H32" s="973" t="s">
        <v>486</v>
      </c>
      <c r="I32" s="982"/>
      <c r="J32" s="1372" t="s">
        <v>1064</v>
      </c>
      <c r="K32" s="1373" t="s">
        <v>1285</v>
      </c>
      <c r="L32" s="974" t="s">
        <v>8</v>
      </c>
      <c r="M32" s="434">
        <v>8.74</v>
      </c>
      <c r="N32" s="974" t="s">
        <v>9</v>
      </c>
      <c r="O32" s="973" t="s">
        <v>485</v>
      </c>
      <c r="P32" s="973" t="s">
        <v>486</v>
      </c>
      <c r="Q32" s="491"/>
      <c r="R32" s="980" t="s">
        <v>1118</v>
      </c>
      <c r="S32" s="977" t="s">
        <v>1285</v>
      </c>
      <c r="T32" s="1363" t="s">
        <v>1785</v>
      </c>
      <c r="U32" s="473">
        <v>10.92</v>
      </c>
      <c r="V32" s="1363" t="s">
        <v>1786</v>
      </c>
      <c r="W32" s="973" t="s">
        <v>485</v>
      </c>
      <c r="X32" s="973" t="s">
        <v>486</v>
      </c>
      <c r="Y32" s="491"/>
      <c r="Z32" s="975" t="s">
        <v>1066</v>
      </c>
      <c r="AA32" s="977" t="s">
        <v>1299</v>
      </c>
      <c r="AB32" s="974" t="s">
        <v>714</v>
      </c>
      <c r="AC32" s="473">
        <v>12.94</v>
      </c>
      <c r="AD32" s="974" t="s">
        <v>719</v>
      </c>
      <c r="AE32" s="973" t="s">
        <v>485</v>
      </c>
      <c r="AF32" s="973" t="s">
        <v>486</v>
      </c>
      <c r="AG32" s="491"/>
      <c r="AH32" s="976" t="s">
        <v>1120</v>
      </c>
      <c r="AI32" s="979" t="s">
        <v>1286</v>
      </c>
      <c r="AJ32" s="433" t="s">
        <v>1547</v>
      </c>
      <c r="AK32" s="434">
        <v>12</v>
      </c>
      <c r="AL32" s="433" t="s">
        <v>1548</v>
      </c>
      <c r="AM32" s="973" t="s">
        <v>485</v>
      </c>
      <c r="AN32" s="973" t="s">
        <v>486</v>
      </c>
      <c r="AO32" s="491"/>
      <c r="AP32" s="976" t="s">
        <v>2530</v>
      </c>
      <c r="AQ32" s="979" t="s">
        <v>1397</v>
      </c>
      <c r="AR32" s="974" t="s">
        <v>2614</v>
      </c>
      <c r="AS32" s="434">
        <v>7.2</v>
      </c>
      <c r="AT32" s="974" t="s">
        <v>2615</v>
      </c>
      <c r="AU32" s="973" t="s">
        <v>485</v>
      </c>
      <c r="AV32" s="973" t="s">
        <v>486</v>
      </c>
      <c r="AW32" s="982"/>
      <c r="AX32" s="976" t="s">
        <v>1109</v>
      </c>
      <c r="AY32" s="825" t="s">
        <v>1287</v>
      </c>
      <c r="AZ32" s="1363" t="s">
        <v>2085</v>
      </c>
      <c r="BA32" s="473">
        <v>11.5</v>
      </c>
      <c r="BB32" s="1363" t="s">
        <v>1270</v>
      </c>
      <c r="BC32" s="973" t="s">
        <v>485</v>
      </c>
      <c r="BD32" s="973" t="s">
        <v>486</v>
      </c>
      <c r="BE32" s="491"/>
      <c r="BF32" s="976" t="s">
        <v>1441</v>
      </c>
      <c r="BG32" s="825" t="s">
        <v>1398</v>
      </c>
      <c r="BH32" s="981" t="s">
        <v>2106</v>
      </c>
      <c r="BI32" s="434">
        <v>7.89</v>
      </c>
      <c r="BJ32" s="981" t="s">
        <v>2108</v>
      </c>
      <c r="BK32" s="973" t="s">
        <v>485</v>
      </c>
      <c r="BL32" s="973" t="s">
        <v>486</v>
      </c>
    </row>
    <row r="33" spans="1:64" s="251" customFormat="1" ht="10.5" customHeight="1">
      <c r="A33" s="390"/>
      <c r="B33" s="791" t="s">
        <v>1070</v>
      </c>
      <c r="C33" s="533" t="s">
        <v>1284</v>
      </c>
      <c r="D33" s="535" t="s">
        <v>1889</v>
      </c>
      <c r="E33" s="389">
        <v>9.48</v>
      </c>
      <c r="F33" s="535" t="s">
        <v>1890</v>
      </c>
      <c r="G33" s="530" t="s">
        <v>485</v>
      </c>
      <c r="H33" s="530" t="s">
        <v>486</v>
      </c>
      <c r="I33" s="394"/>
      <c r="J33" s="401" t="s">
        <v>1065</v>
      </c>
      <c r="K33" s="695" t="s">
        <v>1285</v>
      </c>
      <c r="L33" s="327" t="s">
        <v>12</v>
      </c>
      <c r="M33" s="389">
        <v>8.49</v>
      </c>
      <c r="N33" s="346" t="s">
        <v>13</v>
      </c>
      <c r="O33" s="530" t="s">
        <v>485</v>
      </c>
      <c r="P33" s="530" t="s">
        <v>486</v>
      </c>
      <c r="Q33" s="386"/>
      <c r="R33" s="791" t="s">
        <v>1119</v>
      </c>
      <c r="S33" s="531" t="s">
        <v>1285</v>
      </c>
      <c r="T33" s="327" t="s">
        <v>1900</v>
      </c>
      <c r="U33" s="383">
        <v>10.72</v>
      </c>
      <c r="V33" s="346" t="s">
        <v>1901</v>
      </c>
      <c r="W33" s="530" t="s">
        <v>485</v>
      </c>
      <c r="X33" s="530" t="s">
        <v>486</v>
      </c>
      <c r="Y33" s="386"/>
      <c r="Z33" s="529" t="s">
        <v>1067</v>
      </c>
      <c r="AA33" s="531" t="s">
        <v>1286</v>
      </c>
      <c r="AB33" s="535" t="s">
        <v>715</v>
      </c>
      <c r="AC33" s="383">
        <v>12.89</v>
      </c>
      <c r="AD33" s="535" t="s">
        <v>720</v>
      </c>
      <c r="AE33" s="530" t="s">
        <v>485</v>
      </c>
      <c r="AF33" s="530" t="s">
        <v>486</v>
      </c>
      <c r="AG33" s="386"/>
      <c r="AH33" s="752" t="s">
        <v>1121</v>
      </c>
      <c r="AI33" s="532" t="s">
        <v>1286</v>
      </c>
      <c r="AJ33" s="388" t="s">
        <v>1549</v>
      </c>
      <c r="AK33" s="389">
        <v>12.1</v>
      </c>
      <c r="AL33" s="388" t="s">
        <v>1550</v>
      </c>
      <c r="AM33" s="530" t="s">
        <v>485</v>
      </c>
      <c r="AN33" s="530" t="s">
        <v>486</v>
      </c>
      <c r="AO33" s="386"/>
      <c r="AP33" s="752" t="s">
        <v>2616</v>
      </c>
      <c r="AQ33" s="532" t="s">
        <v>1397</v>
      </c>
      <c r="AR33" s="535" t="s">
        <v>2738</v>
      </c>
      <c r="AS33" s="389">
        <v>7.55</v>
      </c>
      <c r="AT33" s="535" t="s">
        <v>2739</v>
      </c>
      <c r="AU33" s="530" t="s">
        <v>485</v>
      </c>
      <c r="AV33" s="530" t="s">
        <v>486</v>
      </c>
      <c r="AW33" s="390"/>
      <c r="AX33" s="752" t="s">
        <v>1110</v>
      </c>
      <c r="AY33" s="533" t="s">
        <v>1287</v>
      </c>
      <c r="AZ33" s="327" t="s">
        <v>1556</v>
      </c>
      <c r="BA33" s="383">
        <v>11.5</v>
      </c>
      <c r="BB33" s="327" t="s">
        <v>1557</v>
      </c>
      <c r="BC33" s="530" t="s">
        <v>485</v>
      </c>
      <c r="BD33" s="530" t="s">
        <v>486</v>
      </c>
      <c r="BE33" s="386"/>
      <c r="BF33" s="752" t="s">
        <v>1446</v>
      </c>
      <c r="BG33" s="533" t="s">
        <v>1398</v>
      </c>
      <c r="BH33" s="751" t="s">
        <v>2113</v>
      </c>
      <c r="BI33" s="389">
        <v>7.78</v>
      </c>
      <c r="BJ33" s="751" t="s">
        <v>2115</v>
      </c>
      <c r="BK33" s="530" t="s">
        <v>485</v>
      </c>
      <c r="BL33" s="530" t="s">
        <v>486</v>
      </c>
    </row>
    <row r="34" spans="1:64" s="251" customFormat="1" ht="10.5" customHeight="1">
      <c r="A34" s="982"/>
      <c r="B34" s="980" t="s">
        <v>1071</v>
      </c>
      <c r="C34" s="825" t="s">
        <v>1284</v>
      </c>
      <c r="D34" s="974" t="s">
        <v>1895</v>
      </c>
      <c r="E34" s="434">
        <v>9.4499999999999993</v>
      </c>
      <c r="F34" s="974" t="s">
        <v>1896</v>
      </c>
      <c r="G34" s="973" t="s">
        <v>485</v>
      </c>
      <c r="H34" s="973" t="s">
        <v>486</v>
      </c>
      <c r="I34" s="989"/>
      <c r="J34" s="1372" t="s">
        <v>1066</v>
      </c>
      <c r="K34" s="979" t="s">
        <v>1285</v>
      </c>
      <c r="L34" s="1370" t="s">
        <v>560</v>
      </c>
      <c r="M34" s="434">
        <v>8.75</v>
      </c>
      <c r="N34" s="1370" t="s">
        <v>561</v>
      </c>
      <c r="O34" s="973" t="s">
        <v>485</v>
      </c>
      <c r="P34" s="973" t="s">
        <v>486</v>
      </c>
      <c r="Q34" s="490"/>
      <c r="R34" s="980" t="s">
        <v>1120</v>
      </c>
      <c r="S34" s="977" t="s">
        <v>1285</v>
      </c>
      <c r="T34" s="1363" t="s">
        <v>1959</v>
      </c>
      <c r="U34" s="473">
        <v>9.7899999999999991</v>
      </c>
      <c r="V34" s="430" t="s">
        <v>1960</v>
      </c>
      <c r="W34" s="973" t="s">
        <v>485</v>
      </c>
      <c r="X34" s="973" t="s">
        <v>486</v>
      </c>
      <c r="Y34" s="491"/>
      <c r="Z34" s="975" t="s">
        <v>1068</v>
      </c>
      <c r="AA34" s="977" t="s">
        <v>1286</v>
      </c>
      <c r="AB34" s="433" t="s">
        <v>492</v>
      </c>
      <c r="AC34" s="434">
        <v>12.22</v>
      </c>
      <c r="AD34" s="433" t="s">
        <v>500</v>
      </c>
      <c r="AE34" s="973" t="s">
        <v>485</v>
      </c>
      <c r="AF34" s="973" t="s">
        <v>486</v>
      </c>
      <c r="AG34" s="491"/>
      <c r="AH34" s="976" t="s">
        <v>1122</v>
      </c>
      <c r="AI34" s="979" t="s">
        <v>1286</v>
      </c>
      <c r="AJ34" s="433" t="s">
        <v>1551</v>
      </c>
      <c r="AK34" s="434">
        <v>12.2</v>
      </c>
      <c r="AL34" s="433" t="s">
        <v>1552</v>
      </c>
      <c r="AM34" s="973" t="s">
        <v>485</v>
      </c>
      <c r="AN34" s="973" t="s">
        <v>486</v>
      </c>
      <c r="AO34" s="491"/>
      <c r="AP34" s="976" t="s">
        <v>2740</v>
      </c>
      <c r="AQ34" s="979" t="s">
        <v>1397</v>
      </c>
      <c r="AR34" s="974" t="s">
        <v>2760</v>
      </c>
      <c r="AS34" s="434">
        <v>7.7</v>
      </c>
      <c r="AT34" s="974" t="s">
        <v>1710</v>
      </c>
      <c r="AU34" s="973" t="s">
        <v>485</v>
      </c>
      <c r="AV34" s="973" t="s">
        <v>486</v>
      </c>
      <c r="AW34" s="982"/>
      <c r="AX34" s="976" t="s">
        <v>1111</v>
      </c>
      <c r="AY34" s="825" t="s">
        <v>1287</v>
      </c>
      <c r="AZ34" s="1363" t="s">
        <v>2093</v>
      </c>
      <c r="BA34" s="473">
        <v>11.5</v>
      </c>
      <c r="BB34" s="1363" t="s">
        <v>1269</v>
      </c>
      <c r="BC34" s="973" t="s">
        <v>485</v>
      </c>
      <c r="BD34" s="973" t="s">
        <v>486</v>
      </c>
      <c r="BE34" s="491"/>
      <c r="BF34" s="976" t="s">
        <v>1460</v>
      </c>
      <c r="BG34" s="825" t="s">
        <v>1398</v>
      </c>
      <c r="BH34" s="981" t="s">
        <v>2148</v>
      </c>
      <c r="BI34" s="434">
        <v>7.6</v>
      </c>
      <c r="BJ34" s="981" t="s">
        <v>2150</v>
      </c>
      <c r="BK34" s="973" t="s">
        <v>485</v>
      </c>
      <c r="BL34" s="973" t="s">
        <v>486</v>
      </c>
    </row>
    <row r="35" spans="1:64" s="251" customFormat="1" ht="10.5" customHeight="1">
      <c r="A35" s="390"/>
      <c r="B35" s="791" t="s">
        <v>1072</v>
      </c>
      <c r="C35" s="533" t="s">
        <v>1284</v>
      </c>
      <c r="D35" s="535" t="s">
        <v>1898</v>
      </c>
      <c r="E35" s="389">
        <v>9.4</v>
      </c>
      <c r="F35" s="535" t="s">
        <v>1899</v>
      </c>
      <c r="G35" s="530" t="s">
        <v>485</v>
      </c>
      <c r="H35" s="530" t="s">
        <v>486</v>
      </c>
      <c r="I35" s="386"/>
      <c r="J35" s="401" t="s">
        <v>1067</v>
      </c>
      <c r="K35" s="532" t="s">
        <v>1285</v>
      </c>
      <c r="L35" s="1371" t="s">
        <v>562</v>
      </c>
      <c r="M35" s="389">
        <v>8.75</v>
      </c>
      <c r="N35" s="1371" t="s">
        <v>563</v>
      </c>
      <c r="O35" s="530" t="s">
        <v>485</v>
      </c>
      <c r="P35" s="530" t="s">
        <v>486</v>
      </c>
      <c r="Q35" s="391"/>
      <c r="R35" s="791" t="s">
        <v>1121</v>
      </c>
      <c r="S35" s="531" t="s">
        <v>1285</v>
      </c>
      <c r="T35" s="327" t="s">
        <v>1966</v>
      </c>
      <c r="U35" s="383">
        <v>8.18</v>
      </c>
      <c r="V35" s="346" t="s">
        <v>1967</v>
      </c>
      <c r="W35" s="530" t="s">
        <v>485</v>
      </c>
      <c r="X35" s="530" t="s">
        <v>486</v>
      </c>
      <c r="Y35" s="386"/>
      <c r="Z35" s="529" t="s">
        <v>1069</v>
      </c>
      <c r="AA35" s="531" t="s">
        <v>1286</v>
      </c>
      <c r="AB35" s="388" t="s">
        <v>493</v>
      </c>
      <c r="AC35" s="389">
        <v>12.22</v>
      </c>
      <c r="AD35" s="388" t="s">
        <v>501</v>
      </c>
      <c r="AE35" s="530" t="s">
        <v>485</v>
      </c>
      <c r="AF35" s="530" t="s">
        <v>486</v>
      </c>
      <c r="AG35" s="386"/>
      <c r="AH35" s="752" t="s">
        <v>1123</v>
      </c>
      <c r="AI35" s="532" t="s">
        <v>1286</v>
      </c>
      <c r="AJ35" s="388" t="s">
        <v>1553</v>
      </c>
      <c r="AK35" s="389">
        <v>12.3</v>
      </c>
      <c r="AL35" s="388" t="s">
        <v>1554</v>
      </c>
      <c r="AM35" s="530" t="s">
        <v>485</v>
      </c>
      <c r="AN35" s="530" t="s">
        <v>486</v>
      </c>
      <c r="AO35" s="386"/>
      <c r="AP35" s="752" t="s">
        <v>2761</v>
      </c>
      <c r="AQ35" s="532" t="s">
        <v>1397</v>
      </c>
      <c r="AR35" s="535" t="s">
        <v>2785</v>
      </c>
      <c r="AS35" s="389">
        <v>7.68</v>
      </c>
      <c r="AT35" s="535" t="s">
        <v>2786</v>
      </c>
      <c r="AU35" s="530" t="s">
        <v>485</v>
      </c>
      <c r="AV35" s="530" t="s">
        <v>486</v>
      </c>
      <c r="AW35" s="390"/>
      <c r="AX35" s="752" t="s">
        <v>1112</v>
      </c>
      <c r="AY35" s="533" t="s">
        <v>1287</v>
      </c>
      <c r="AZ35" s="327" t="s">
        <v>1267</v>
      </c>
      <c r="BA35" s="383">
        <v>11.95</v>
      </c>
      <c r="BB35" s="327" t="s">
        <v>1268</v>
      </c>
      <c r="BC35" s="530" t="s">
        <v>485</v>
      </c>
      <c r="BD35" s="530" t="s">
        <v>486</v>
      </c>
      <c r="BE35" s="386"/>
      <c r="BF35" s="752" t="s">
        <v>1462</v>
      </c>
      <c r="BG35" s="533" t="s">
        <v>1398</v>
      </c>
      <c r="BH35" s="751" t="s">
        <v>2263</v>
      </c>
      <c r="BI35" s="389">
        <v>8.0500000000000007</v>
      </c>
      <c r="BJ35" s="751" t="s">
        <v>2265</v>
      </c>
      <c r="BK35" s="530" t="s">
        <v>485</v>
      </c>
      <c r="BL35" s="530" t="s">
        <v>486</v>
      </c>
    </row>
    <row r="36" spans="1:64" s="251" customFormat="1" ht="10.5" customHeight="1">
      <c r="A36" s="982"/>
      <c r="B36" s="980" t="s">
        <v>1073</v>
      </c>
      <c r="C36" s="825" t="s">
        <v>1284</v>
      </c>
      <c r="D36" s="974" t="s">
        <v>1952</v>
      </c>
      <c r="E36" s="434">
        <v>8.6</v>
      </c>
      <c r="F36" s="974" t="s">
        <v>1953</v>
      </c>
      <c r="G36" s="973" t="s">
        <v>485</v>
      </c>
      <c r="H36" s="973" t="s">
        <v>486</v>
      </c>
      <c r="I36" s="491"/>
      <c r="J36" s="1372" t="s">
        <v>1068</v>
      </c>
      <c r="K36" s="979" t="s">
        <v>1285</v>
      </c>
      <c r="L36" s="1370" t="s">
        <v>564</v>
      </c>
      <c r="M36" s="434">
        <v>8.75</v>
      </c>
      <c r="N36" s="1370" t="s">
        <v>565</v>
      </c>
      <c r="O36" s="973" t="s">
        <v>485</v>
      </c>
      <c r="P36" s="973" t="s">
        <v>486</v>
      </c>
      <c r="Q36" s="490"/>
      <c r="R36" s="980" t="s">
        <v>1122</v>
      </c>
      <c r="S36" s="977" t="s">
        <v>1285</v>
      </c>
      <c r="T36" s="1363" t="s">
        <v>1982</v>
      </c>
      <c r="U36" s="473">
        <v>6.79</v>
      </c>
      <c r="V36" s="430" t="s">
        <v>1983</v>
      </c>
      <c r="W36" s="973" t="s">
        <v>485</v>
      </c>
      <c r="X36" s="973" t="s">
        <v>486</v>
      </c>
      <c r="Y36" s="491"/>
      <c r="Z36" s="975" t="s">
        <v>1070</v>
      </c>
      <c r="AA36" s="977" t="s">
        <v>1286</v>
      </c>
      <c r="AB36" s="433" t="s">
        <v>494</v>
      </c>
      <c r="AC36" s="434">
        <v>12.22</v>
      </c>
      <c r="AD36" s="433" t="s">
        <v>502</v>
      </c>
      <c r="AE36" s="973" t="s">
        <v>485</v>
      </c>
      <c r="AF36" s="973" t="s">
        <v>486</v>
      </c>
      <c r="AG36" s="491"/>
      <c r="AH36" s="976" t="s">
        <v>1124</v>
      </c>
      <c r="AI36" s="979" t="s">
        <v>1286</v>
      </c>
      <c r="AJ36" s="433" t="s">
        <v>1613</v>
      </c>
      <c r="AK36" s="434">
        <v>12.38</v>
      </c>
      <c r="AL36" s="433" t="s">
        <v>1614</v>
      </c>
      <c r="AM36" s="973" t="s">
        <v>485</v>
      </c>
      <c r="AN36" s="973" t="s">
        <v>486</v>
      </c>
      <c r="AO36" s="491"/>
      <c r="AP36" s="976" t="s">
        <v>2787</v>
      </c>
      <c r="AQ36" s="979" t="s">
        <v>1397</v>
      </c>
      <c r="AR36" s="974" t="s">
        <v>2811</v>
      </c>
      <c r="AS36" s="434">
        <v>7.75</v>
      </c>
      <c r="AT36" s="974" t="s">
        <v>1726</v>
      </c>
      <c r="AU36" s="973" t="s">
        <v>485</v>
      </c>
      <c r="AV36" s="973" t="s">
        <v>486</v>
      </c>
      <c r="AW36" s="982"/>
      <c r="AX36" s="976" t="s">
        <v>1113</v>
      </c>
      <c r="AY36" s="825" t="s">
        <v>1287</v>
      </c>
      <c r="AZ36" s="1363" t="s">
        <v>1302</v>
      </c>
      <c r="BA36" s="473">
        <v>11.95</v>
      </c>
      <c r="BB36" s="1363" t="s">
        <v>1314</v>
      </c>
      <c r="BC36" s="973" t="s">
        <v>485</v>
      </c>
      <c r="BD36" s="973" t="s">
        <v>486</v>
      </c>
      <c r="BE36" s="491"/>
      <c r="BF36" s="976" t="s">
        <v>1508</v>
      </c>
      <c r="BG36" s="825" t="s">
        <v>1398</v>
      </c>
      <c r="BH36" s="981" t="s">
        <v>2322</v>
      </c>
      <c r="BI36" s="434">
        <v>8.07</v>
      </c>
      <c r="BJ36" s="981" t="s">
        <v>2324</v>
      </c>
      <c r="BK36" s="973" t="s">
        <v>485</v>
      </c>
      <c r="BL36" s="973" t="s">
        <v>486</v>
      </c>
    </row>
    <row r="37" spans="1:64" s="251" customFormat="1" ht="10.5" customHeight="1">
      <c r="A37" s="390"/>
      <c r="B37" s="791" t="s">
        <v>1074</v>
      </c>
      <c r="C37" s="533" t="s">
        <v>1284</v>
      </c>
      <c r="D37" s="1371" t="s">
        <v>1955</v>
      </c>
      <c r="E37" s="389">
        <v>7.6</v>
      </c>
      <c r="F37" s="1368" t="s">
        <v>1956</v>
      </c>
      <c r="G37" s="530" t="s">
        <v>485</v>
      </c>
      <c r="H37" s="530" t="s">
        <v>486</v>
      </c>
      <c r="I37" s="386"/>
      <c r="J37" s="401" t="s">
        <v>1069</v>
      </c>
      <c r="K37" s="532" t="s">
        <v>1285</v>
      </c>
      <c r="L37" s="1371" t="s">
        <v>566</v>
      </c>
      <c r="M37" s="389">
        <v>8.77</v>
      </c>
      <c r="N37" s="1371" t="s">
        <v>956</v>
      </c>
      <c r="O37" s="530" t="s">
        <v>485</v>
      </c>
      <c r="P37" s="530" t="s">
        <v>486</v>
      </c>
      <c r="Q37" s="391"/>
      <c r="R37" s="791" t="s">
        <v>1123</v>
      </c>
      <c r="S37" s="531" t="s">
        <v>1285</v>
      </c>
      <c r="T37" s="327" t="s">
        <v>1986</v>
      </c>
      <c r="U37" s="383">
        <v>7.4</v>
      </c>
      <c r="V37" s="346" t="s">
        <v>1992</v>
      </c>
      <c r="W37" s="530" t="s">
        <v>485</v>
      </c>
      <c r="X37" s="530" t="s">
        <v>486</v>
      </c>
      <c r="Y37" s="386"/>
      <c r="Z37" s="529" t="s">
        <v>1071</v>
      </c>
      <c r="AA37" s="531" t="s">
        <v>1286</v>
      </c>
      <c r="AB37" s="388" t="s">
        <v>495</v>
      </c>
      <c r="AC37" s="389">
        <v>12.22</v>
      </c>
      <c r="AD37" s="388" t="s">
        <v>503</v>
      </c>
      <c r="AE37" s="530" t="s">
        <v>485</v>
      </c>
      <c r="AF37" s="530" t="s">
        <v>486</v>
      </c>
      <c r="AG37" s="386"/>
      <c r="AH37" s="752" t="s">
        <v>1125</v>
      </c>
      <c r="AI37" s="532" t="s">
        <v>1286</v>
      </c>
      <c r="AJ37" s="388" t="s">
        <v>1620</v>
      </c>
      <c r="AK37" s="389">
        <v>12.38</v>
      </c>
      <c r="AL37" s="388" t="s">
        <v>1621</v>
      </c>
      <c r="AM37" s="530" t="s">
        <v>485</v>
      </c>
      <c r="AN37" s="530" t="s">
        <v>486</v>
      </c>
      <c r="AO37" s="386"/>
      <c r="AP37" s="752" t="s">
        <v>2812</v>
      </c>
      <c r="AQ37" s="532" t="s">
        <v>1397</v>
      </c>
      <c r="AR37" s="535" t="s">
        <v>2846</v>
      </c>
      <c r="AS37" s="389">
        <v>8.1</v>
      </c>
      <c r="AT37" s="535" t="s">
        <v>2847</v>
      </c>
      <c r="AU37" s="530" t="s">
        <v>485</v>
      </c>
      <c r="AV37" s="530" t="s">
        <v>486</v>
      </c>
      <c r="AW37" s="390"/>
      <c r="AX37" s="752" t="s">
        <v>1114</v>
      </c>
      <c r="AY37" s="533" t="s">
        <v>1287</v>
      </c>
      <c r="AZ37" s="327" t="s">
        <v>1315</v>
      </c>
      <c r="BA37" s="383">
        <v>12.03</v>
      </c>
      <c r="BB37" s="327" t="s">
        <v>1316</v>
      </c>
      <c r="BC37" s="530" t="s">
        <v>485</v>
      </c>
      <c r="BD37" s="530" t="s">
        <v>486</v>
      </c>
      <c r="BE37" s="386"/>
      <c r="BF37" s="752" t="s">
        <v>2391</v>
      </c>
      <c r="BG37" s="533" t="s">
        <v>1398</v>
      </c>
      <c r="BH37" s="751" t="s">
        <v>2435</v>
      </c>
      <c r="BI37" s="389">
        <v>8.34</v>
      </c>
      <c r="BJ37" s="751" t="s">
        <v>2437</v>
      </c>
      <c r="BK37" s="530" t="s">
        <v>485</v>
      </c>
      <c r="BL37" s="530" t="s">
        <v>486</v>
      </c>
    </row>
    <row r="38" spans="1:64" s="251" customFormat="1" ht="10.5" customHeight="1">
      <c r="A38" s="982"/>
      <c r="B38" s="980" t="s">
        <v>1075</v>
      </c>
      <c r="C38" s="825" t="s">
        <v>1284</v>
      </c>
      <c r="D38" s="974" t="s">
        <v>1962</v>
      </c>
      <c r="E38" s="434">
        <v>7.49</v>
      </c>
      <c r="F38" s="974" t="s">
        <v>1963</v>
      </c>
      <c r="G38" s="973" t="s">
        <v>485</v>
      </c>
      <c r="H38" s="973" t="s">
        <v>486</v>
      </c>
      <c r="I38" s="491"/>
      <c r="J38" s="1372" t="s">
        <v>1070</v>
      </c>
      <c r="K38" s="979" t="s">
        <v>1285</v>
      </c>
      <c r="L38" s="1370" t="s">
        <v>986</v>
      </c>
      <c r="M38" s="434">
        <v>8.77</v>
      </c>
      <c r="N38" s="1370" t="s">
        <v>987</v>
      </c>
      <c r="O38" s="973" t="s">
        <v>485</v>
      </c>
      <c r="P38" s="973" t="s">
        <v>486</v>
      </c>
      <c r="Q38" s="490"/>
      <c r="R38" s="980" t="s">
        <v>1124</v>
      </c>
      <c r="S38" s="977" t="s">
        <v>1285</v>
      </c>
      <c r="T38" s="1363" t="s">
        <v>1999</v>
      </c>
      <c r="U38" s="473">
        <v>7.39</v>
      </c>
      <c r="V38" s="430" t="s">
        <v>2000</v>
      </c>
      <c r="W38" s="973" t="s">
        <v>485</v>
      </c>
      <c r="X38" s="973" t="s">
        <v>486</v>
      </c>
      <c r="Y38" s="491"/>
      <c r="Z38" s="975" t="s">
        <v>1072</v>
      </c>
      <c r="AA38" s="977" t="s">
        <v>1286</v>
      </c>
      <c r="AB38" s="433" t="s">
        <v>496</v>
      </c>
      <c r="AC38" s="434">
        <v>12.22</v>
      </c>
      <c r="AD38" s="433" t="s">
        <v>504</v>
      </c>
      <c r="AE38" s="973" t="s">
        <v>485</v>
      </c>
      <c r="AF38" s="973" t="s">
        <v>486</v>
      </c>
      <c r="AG38" s="491"/>
      <c r="AH38" s="976" t="s">
        <v>1126</v>
      </c>
      <c r="AI38" s="979" t="s">
        <v>1286</v>
      </c>
      <c r="AJ38" s="433" t="s">
        <v>1627</v>
      </c>
      <c r="AK38" s="434">
        <v>12.38</v>
      </c>
      <c r="AL38" s="433" t="s">
        <v>1628</v>
      </c>
      <c r="AM38" s="973" t="s">
        <v>485</v>
      </c>
      <c r="AN38" s="973" t="s">
        <v>486</v>
      </c>
      <c r="AO38" s="491"/>
      <c r="AP38" s="976" t="s">
        <v>2848</v>
      </c>
      <c r="AQ38" s="979" t="s">
        <v>1397</v>
      </c>
      <c r="AR38" s="974" t="s">
        <v>2888</v>
      </c>
      <c r="AS38" s="434">
        <v>8.44</v>
      </c>
      <c r="AT38" s="974" t="s">
        <v>2889</v>
      </c>
      <c r="AU38" s="973" t="s">
        <v>485</v>
      </c>
      <c r="AV38" s="973" t="s">
        <v>486</v>
      </c>
      <c r="AW38" s="982"/>
      <c r="AX38" s="976" t="s">
        <v>1115</v>
      </c>
      <c r="AY38" s="825" t="s">
        <v>1287</v>
      </c>
      <c r="AZ38" s="1363" t="s">
        <v>1317</v>
      </c>
      <c r="BA38" s="473">
        <v>12.07</v>
      </c>
      <c r="BB38" s="1363" t="s">
        <v>1318</v>
      </c>
      <c r="BC38" s="973" t="s">
        <v>485</v>
      </c>
      <c r="BD38" s="973" t="s">
        <v>486</v>
      </c>
      <c r="BE38" s="491"/>
      <c r="BF38" s="976" t="s">
        <v>2392</v>
      </c>
      <c r="BG38" s="825" t="s">
        <v>1398</v>
      </c>
      <c r="BH38" s="981" t="s">
        <v>2442</v>
      </c>
      <c r="BI38" s="434">
        <v>8.5399999999999991</v>
      </c>
      <c r="BJ38" s="981" t="s">
        <v>2444</v>
      </c>
      <c r="BK38" s="973" t="s">
        <v>485</v>
      </c>
      <c r="BL38" s="973" t="s">
        <v>486</v>
      </c>
    </row>
    <row r="39" spans="1:64" s="251" customFormat="1" ht="10.5" customHeight="1">
      <c r="A39" s="390"/>
      <c r="B39" s="791" t="s">
        <v>1076</v>
      </c>
      <c r="C39" s="533" t="s">
        <v>1284</v>
      </c>
      <c r="D39" s="535" t="s">
        <v>1972</v>
      </c>
      <c r="E39" s="389">
        <v>7.35</v>
      </c>
      <c r="F39" s="535" t="s">
        <v>1973</v>
      </c>
      <c r="G39" s="530" t="s">
        <v>485</v>
      </c>
      <c r="H39" s="530" t="s">
        <v>486</v>
      </c>
      <c r="I39" s="386"/>
      <c r="J39" s="401" t="s">
        <v>1071</v>
      </c>
      <c r="K39" s="532" t="s">
        <v>1285</v>
      </c>
      <c r="L39" s="1371" t="s">
        <v>988</v>
      </c>
      <c r="M39" s="389">
        <v>8.77</v>
      </c>
      <c r="N39" s="1371" t="s">
        <v>989</v>
      </c>
      <c r="O39" s="530" t="s">
        <v>485</v>
      </c>
      <c r="P39" s="530" t="s">
        <v>486</v>
      </c>
      <c r="Q39" s="386"/>
      <c r="R39" s="791" t="s">
        <v>1125</v>
      </c>
      <c r="S39" s="730" t="s">
        <v>1285</v>
      </c>
      <c r="T39" s="388" t="s">
        <v>2004</v>
      </c>
      <c r="U39" s="389">
        <v>5.95</v>
      </c>
      <c r="V39" s="388" t="s">
        <v>2005</v>
      </c>
      <c r="W39" s="1086" t="s">
        <v>485</v>
      </c>
      <c r="X39" s="1086" t="s">
        <v>486</v>
      </c>
      <c r="Y39" s="386"/>
      <c r="Z39" s="529" t="s">
        <v>1073</v>
      </c>
      <c r="AA39" s="531" t="s">
        <v>1286</v>
      </c>
      <c r="AB39" s="388" t="s">
        <v>1653</v>
      </c>
      <c r="AC39" s="389">
        <v>12.14</v>
      </c>
      <c r="AD39" s="388" t="s">
        <v>1654</v>
      </c>
      <c r="AE39" s="530" t="s">
        <v>485</v>
      </c>
      <c r="AF39" s="530" t="s">
        <v>486</v>
      </c>
      <c r="AG39" s="386"/>
      <c r="AH39" s="752" t="s">
        <v>1127</v>
      </c>
      <c r="AI39" s="532" t="s">
        <v>1286</v>
      </c>
      <c r="AJ39" s="388" t="s">
        <v>1639</v>
      </c>
      <c r="AK39" s="389">
        <v>12.4</v>
      </c>
      <c r="AL39" s="388" t="s">
        <v>1640</v>
      </c>
      <c r="AM39" s="530" t="s">
        <v>485</v>
      </c>
      <c r="AN39" s="530" t="s">
        <v>486</v>
      </c>
      <c r="AO39" s="386" t="s">
        <v>906</v>
      </c>
      <c r="AP39" s="752" t="s">
        <v>1063</v>
      </c>
      <c r="AQ39" s="532" t="s">
        <v>1287</v>
      </c>
      <c r="AR39" s="535" t="s">
        <v>721</v>
      </c>
      <c r="AS39" s="389">
        <v>14.23</v>
      </c>
      <c r="AT39" s="535" t="s">
        <v>725</v>
      </c>
      <c r="AU39" s="530" t="s">
        <v>485</v>
      </c>
      <c r="AV39" s="530" t="s">
        <v>486</v>
      </c>
      <c r="AW39" s="390"/>
      <c r="AX39" s="752" t="s">
        <v>1116</v>
      </c>
      <c r="AY39" s="533" t="s">
        <v>1287</v>
      </c>
      <c r="AZ39" s="327" t="s">
        <v>1360</v>
      </c>
      <c r="BA39" s="383">
        <v>12.1</v>
      </c>
      <c r="BB39" s="327" t="s">
        <v>1363</v>
      </c>
      <c r="BC39" s="530" t="s">
        <v>485</v>
      </c>
      <c r="BD39" s="530" t="s">
        <v>486</v>
      </c>
      <c r="BE39" s="386"/>
      <c r="BF39" s="752" t="s">
        <v>2465</v>
      </c>
      <c r="BG39" s="533" t="s">
        <v>1398</v>
      </c>
      <c r="BH39" s="751" t="s">
        <v>2466</v>
      </c>
      <c r="BI39" s="389">
        <v>8.48</v>
      </c>
      <c r="BJ39" s="751" t="s">
        <v>2468</v>
      </c>
      <c r="BK39" s="530" t="s">
        <v>485</v>
      </c>
      <c r="BL39" s="530" t="s">
        <v>486</v>
      </c>
    </row>
    <row r="40" spans="1:64" s="251" customFormat="1" ht="10.5" customHeight="1">
      <c r="A40" s="982"/>
      <c r="B40" s="980" t="s">
        <v>1077</v>
      </c>
      <c r="C40" s="825" t="s">
        <v>1284</v>
      </c>
      <c r="D40" s="974" t="s">
        <v>1978</v>
      </c>
      <c r="E40" s="434">
        <v>5.15</v>
      </c>
      <c r="F40" s="974" t="s">
        <v>2020</v>
      </c>
      <c r="G40" s="973" t="s">
        <v>485</v>
      </c>
      <c r="H40" s="973" t="s">
        <v>486</v>
      </c>
      <c r="I40" s="433"/>
      <c r="J40" s="1372" t="s">
        <v>1072</v>
      </c>
      <c r="K40" s="979" t="s">
        <v>1285</v>
      </c>
      <c r="L40" s="1370" t="s">
        <v>990</v>
      </c>
      <c r="M40" s="434">
        <v>8.7899999999999991</v>
      </c>
      <c r="N40" s="1370" t="s">
        <v>991</v>
      </c>
      <c r="O40" s="973" t="s">
        <v>485</v>
      </c>
      <c r="P40" s="973" t="s">
        <v>486</v>
      </c>
      <c r="Q40" s="490"/>
      <c r="R40" s="980" t="s">
        <v>1126</v>
      </c>
      <c r="S40" s="984" t="s">
        <v>1285</v>
      </c>
      <c r="T40" s="1363" t="s">
        <v>985</v>
      </c>
      <c r="U40" s="434">
        <v>5.95</v>
      </c>
      <c r="V40" s="430" t="s">
        <v>2024</v>
      </c>
      <c r="W40" s="973" t="s">
        <v>485</v>
      </c>
      <c r="X40" s="1038" t="s">
        <v>486</v>
      </c>
      <c r="Y40" s="491"/>
      <c r="Z40" s="975" t="s">
        <v>1074</v>
      </c>
      <c r="AA40" s="977" t="s">
        <v>1286</v>
      </c>
      <c r="AB40" s="433" t="s">
        <v>497</v>
      </c>
      <c r="AC40" s="434">
        <v>12.14</v>
      </c>
      <c r="AD40" s="433" t="s">
        <v>505</v>
      </c>
      <c r="AE40" s="973" t="s">
        <v>485</v>
      </c>
      <c r="AF40" s="973" t="s">
        <v>486</v>
      </c>
      <c r="AG40" s="491"/>
      <c r="AH40" s="976" t="s">
        <v>1128</v>
      </c>
      <c r="AI40" s="979" t="s">
        <v>1286</v>
      </c>
      <c r="AJ40" s="433" t="s">
        <v>1665</v>
      </c>
      <c r="AK40" s="434">
        <v>12.4</v>
      </c>
      <c r="AL40" s="433" t="s">
        <v>1678</v>
      </c>
      <c r="AM40" s="973" t="s">
        <v>485</v>
      </c>
      <c r="AN40" s="973" t="s">
        <v>486</v>
      </c>
      <c r="AO40" s="491"/>
      <c r="AP40" s="976" t="s">
        <v>1064</v>
      </c>
      <c r="AQ40" s="979" t="s">
        <v>1287</v>
      </c>
      <c r="AR40" s="974" t="s">
        <v>722</v>
      </c>
      <c r="AS40" s="434">
        <v>13.88</v>
      </c>
      <c r="AT40" s="974" t="s">
        <v>726</v>
      </c>
      <c r="AU40" s="973" t="s">
        <v>485</v>
      </c>
      <c r="AV40" s="973" t="s">
        <v>486</v>
      </c>
      <c r="AW40" s="982"/>
      <c r="AX40" s="976" t="s">
        <v>1117</v>
      </c>
      <c r="AY40" s="825" t="s">
        <v>1287</v>
      </c>
      <c r="AZ40" s="1363" t="s">
        <v>1361</v>
      </c>
      <c r="BA40" s="473">
        <v>11.45</v>
      </c>
      <c r="BB40" s="1363" t="s">
        <v>1364</v>
      </c>
      <c r="BC40" s="973" t="s">
        <v>485</v>
      </c>
      <c r="BD40" s="973" t="s">
        <v>486</v>
      </c>
      <c r="BE40" s="491"/>
      <c r="BF40" s="1374" t="s">
        <v>2472</v>
      </c>
      <c r="BG40" s="825" t="s">
        <v>1398</v>
      </c>
      <c r="BH40" s="433" t="s">
        <v>2470</v>
      </c>
      <c r="BI40" s="434">
        <v>8</v>
      </c>
      <c r="BJ40" s="433" t="s">
        <v>2473</v>
      </c>
      <c r="BK40" s="973" t="s">
        <v>485</v>
      </c>
      <c r="BL40" s="973" t="s">
        <v>486</v>
      </c>
    </row>
    <row r="41" spans="1:64" s="251" customFormat="1" ht="10.5" customHeight="1">
      <c r="A41" s="390"/>
      <c r="B41" s="791" t="s">
        <v>1078</v>
      </c>
      <c r="C41" s="533" t="s">
        <v>1284</v>
      </c>
      <c r="D41" s="535" t="s">
        <v>1984</v>
      </c>
      <c r="E41" s="389">
        <v>6</v>
      </c>
      <c r="F41" s="535" t="s">
        <v>1985</v>
      </c>
      <c r="G41" s="530" t="s">
        <v>485</v>
      </c>
      <c r="H41" s="530" t="s">
        <v>486</v>
      </c>
      <c r="I41" s="386"/>
      <c r="J41" s="401" t="s">
        <v>1073</v>
      </c>
      <c r="K41" s="529" t="s">
        <v>1285</v>
      </c>
      <c r="L41" s="535" t="s">
        <v>992</v>
      </c>
      <c r="M41" s="389">
        <v>8.7899999999999991</v>
      </c>
      <c r="N41" s="535" t="s">
        <v>993</v>
      </c>
      <c r="O41" s="530" t="s">
        <v>485</v>
      </c>
      <c r="P41" s="530" t="s">
        <v>486</v>
      </c>
      <c r="Q41" s="391"/>
      <c r="R41" s="1375" t="s">
        <v>1127</v>
      </c>
      <c r="S41" s="695" t="s">
        <v>1285</v>
      </c>
      <c r="T41" s="327" t="s">
        <v>1052</v>
      </c>
      <c r="U41" s="389">
        <v>5.95</v>
      </c>
      <c r="V41" s="346" t="s">
        <v>2036</v>
      </c>
      <c r="W41" s="530" t="s">
        <v>485</v>
      </c>
      <c r="X41" s="1037" t="s">
        <v>486</v>
      </c>
      <c r="Y41" s="386"/>
      <c r="Z41" s="529" t="s">
        <v>1075</v>
      </c>
      <c r="AA41" s="531" t="s">
        <v>1286</v>
      </c>
      <c r="AB41" s="388" t="s">
        <v>931</v>
      </c>
      <c r="AC41" s="389">
        <v>12.14</v>
      </c>
      <c r="AD41" s="388" t="s">
        <v>932</v>
      </c>
      <c r="AE41" s="530" t="s">
        <v>485</v>
      </c>
      <c r="AF41" s="530" t="s">
        <v>486</v>
      </c>
      <c r="AG41" s="386"/>
      <c r="AH41" s="752" t="s">
        <v>1129</v>
      </c>
      <c r="AI41" s="532" t="s">
        <v>1397</v>
      </c>
      <c r="AJ41" s="388" t="s">
        <v>1677</v>
      </c>
      <c r="AK41" s="389">
        <v>12.4</v>
      </c>
      <c r="AL41" s="388" t="s">
        <v>1679</v>
      </c>
      <c r="AM41" s="530" t="s">
        <v>485</v>
      </c>
      <c r="AN41" s="530" t="s">
        <v>486</v>
      </c>
      <c r="AO41" s="386"/>
      <c r="AP41" s="752" t="s">
        <v>1065</v>
      </c>
      <c r="AQ41" s="532" t="s">
        <v>1287</v>
      </c>
      <c r="AR41" s="535" t="s">
        <v>723</v>
      </c>
      <c r="AS41" s="389">
        <v>13.49</v>
      </c>
      <c r="AT41" s="535" t="s">
        <v>727</v>
      </c>
      <c r="AU41" s="530" t="s">
        <v>485</v>
      </c>
      <c r="AV41" s="530" t="s">
        <v>486</v>
      </c>
      <c r="AW41" s="390"/>
      <c r="AX41" s="752" t="s">
        <v>1118</v>
      </c>
      <c r="AY41" s="533" t="s">
        <v>1287</v>
      </c>
      <c r="AZ41" s="327" t="s">
        <v>1362</v>
      </c>
      <c r="BA41" s="383">
        <v>12.12</v>
      </c>
      <c r="BB41" s="327" t="s">
        <v>1365</v>
      </c>
      <c r="BC41" s="530" t="s">
        <v>485</v>
      </c>
      <c r="BD41" s="530" t="s">
        <v>486</v>
      </c>
      <c r="BE41" s="386"/>
      <c r="BF41" s="1376" t="s">
        <v>2489</v>
      </c>
      <c r="BG41" s="533" t="s">
        <v>1398</v>
      </c>
      <c r="BH41" s="388" t="s">
        <v>2486</v>
      </c>
      <c r="BI41" s="389">
        <v>8.4</v>
      </c>
      <c r="BJ41" s="388" t="s">
        <v>2488</v>
      </c>
      <c r="BK41" s="530" t="s">
        <v>485</v>
      </c>
      <c r="BL41" s="530" t="s">
        <v>486</v>
      </c>
    </row>
    <row r="42" spans="1:64" s="251" customFormat="1" ht="10.5" customHeight="1">
      <c r="A42" s="982"/>
      <c r="B42" s="980" t="s">
        <v>1079</v>
      </c>
      <c r="C42" s="825" t="s">
        <v>1284</v>
      </c>
      <c r="D42" s="974" t="s">
        <v>1997</v>
      </c>
      <c r="E42" s="434">
        <v>6.44</v>
      </c>
      <c r="F42" s="974" t="s">
        <v>2021</v>
      </c>
      <c r="G42" s="973" t="s">
        <v>485</v>
      </c>
      <c r="H42" s="973" t="s">
        <v>486</v>
      </c>
      <c r="I42" s="491"/>
      <c r="J42" s="1372" t="s">
        <v>1074</v>
      </c>
      <c r="K42" s="975" t="s">
        <v>1285</v>
      </c>
      <c r="L42" s="974" t="s">
        <v>994</v>
      </c>
      <c r="M42" s="434">
        <v>8.82</v>
      </c>
      <c r="N42" s="974" t="s">
        <v>995</v>
      </c>
      <c r="O42" s="973" t="s">
        <v>485</v>
      </c>
      <c r="P42" s="973" t="s">
        <v>486</v>
      </c>
      <c r="Q42" s="490"/>
      <c r="R42" s="980" t="s">
        <v>1128</v>
      </c>
      <c r="S42" s="977" t="s">
        <v>1285</v>
      </c>
      <c r="T42" s="1363" t="s">
        <v>1511</v>
      </c>
      <c r="U42" s="473">
        <v>7.05</v>
      </c>
      <c r="V42" s="430" t="s">
        <v>2042</v>
      </c>
      <c r="W42" s="973" t="s">
        <v>485</v>
      </c>
      <c r="X42" s="973" t="s">
        <v>486</v>
      </c>
      <c r="Y42" s="491"/>
      <c r="Z42" s="975" t="s">
        <v>1076</v>
      </c>
      <c r="AA42" s="977" t="s">
        <v>1286</v>
      </c>
      <c r="AB42" s="433" t="s">
        <v>498</v>
      </c>
      <c r="AC42" s="434">
        <v>12.14</v>
      </c>
      <c r="AD42" s="433" t="s">
        <v>506</v>
      </c>
      <c r="AE42" s="973" t="s">
        <v>485</v>
      </c>
      <c r="AF42" s="973" t="s">
        <v>486</v>
      </c>
      <c r="AG42" s="491"/>
      <c r="AH42" s="976" t="s">
        <v>1130</v>
      </c>
      <c r="AI42" s="979" t="s">
        <v>1397</v>
      </c>
      <c r="AJ42" s="433" t="s">
        <v>1691</v>
      </c>
      <c r="AK42" s="434">
        <v>12.42</v>
      </c>
      <c r="AL42" s="433" t="s">
        <v>1692</v>
      </c>
      <c r="AM42" s="973" t="s">
        <v>485</v>
      </c>
      <c r="AN42" s="973" t="s">
        <v>486</v>
      </c>
      <c r="AO42" s="491"/>
      <c r="AP42" s="976" t="s">
        <v>1066</v>
      </c>
      <c r="AQ42" s="979" t="s">
        <v>1287</v>
      </c>
      <c r="AR42" s="974" t="s">
        <v>724</v>
      </c>
      <c r="AS42" s="434">
        <v>13.29</v>
      </c>
      <c r="AT42" s="974" t="s">
        <v>728</v>
      </c>
      <c r="AU42" s="973" t="s">
        <v>485</v>
      </c>
      <c r="AV42" s="973" t="s">
        <v>486</v>
      </c>
      <c r="AW42" s="982"/>
      <c r="AX42" s="976" t="s">
        <v>1119</v>
      </c>
      <c r="AY42" s="825" t="s">
        <v>1287</v>
      </c>
      <c r="AZ42" s="1363" t="s">
        <v>1370</v>
      </c>
      <c r="BA42" s="473">
        <v>12.16</v>
      </c>
      <c r="BB42" s="1363" t="s">
        <v>1371</v>
      </c>
      <c r="BC42" s="973" t="s">
        <v>485</v>
      </c>
      <c r="BD42" s="973" t="s">
        <v>486</v>
      </c>
      <c r="BE42" s="491"/>
      <c r="BF42" s="1388" t="s">
        <v>2512</v>
      </c>
      <c r="BG42" s="825" t="s">
        <v>1398</v>
      </c>
      <c r="BH42" s="433" t="s">
        <v>2510</v>
      </c>
      <c r="BI42" s="434">
        <v>8.9</v>
      </c>
      <c r="BJ42" s="433" t="s">
        <v>2513</v>
      </c>
      <c r="BK42" s="973" t="s">
        <v>485</v>
      </c>
      <c r="BL42" s="973" t="s">
        <v>486</v>
      </c>
    </row>
    <row r="43" spans="1:64" s="251" customFormat="1" ht="10.5" customHeight="1">
      <c r="A43" s="390"/>
      <c r="B43" s="791" t="s">
        <v>1080</v>
      </c>
      <c r="C43" s="533" t="s">
        <v>1284</v>
      </c>
      <c r="D43" s="535" t="s">
        <v>1998</v>
      </c>
      <c r="E43" s="389">
        <v>5.89</v>
      </c>
      <c r="F43" s="535" t="s">
        <v>2022</v>
      </c>
      <c r="G43" s="530" t="s">
        <v>485</v>
      </c>
      <c r="H43" s="530" t="s">
        <v>486</v>
      </c>
      <c r="I43" s="386"/>
      <c r="J43" s="1085" t="s">
        <v>1075</v>
      </c>
      <c r="K43" s="529" t="s">
        <v>1285</v>
      </c>
      <c r="L43" s="535" t="s">
        <v>1902</v>
      </c>
      <c r="M43" s="389">
        <v>8.85</v>
      </c>
      <c r="N43" s="535" t="s">
        <v>996</v>
      </c>
      <c r="O43" s="530" t="s">
        <v>485</v>
      </c>
      <c r="P43" s="530" t="s">
        <v>486</v>
      </c>
      <c r="Q43" s="391"/>
      <c r="R43" s="752" t="s">
        <v>1129</v>
      </c>
      <c r="S43" s="531" t="s">
        <v>1285</v>
      </c>
      <c r="T43" s="327" t="s">
        <v>1512</v>
      </c>
      <c r="U43" s="383">
        <v>7.29</v>
      </c>
      <c r="V43" s="346" t="s">
        <v>2054</v>
      </c>
      <c r="W43" s="530" t="s">
        <v>485</v>
      </c>
      <c r="X43" s="530" t="s">
        <v>486</v>
      </c>
      <c r="Y43" s="579"/>
      <c r="Z43" s="529" t="s">
        <v>1077</v>
      </c>
      <c r="AA43" s="694" t="s">
        <v>1286</v>
      </c>
      <c r="AB43" s="327" t="s">
        <v>499</v>
      </c>
      <c r="AC43" s="383">
        <v>12.14</v>
      </c>
      <c r="AD43" s="346" t="s">
        <v>507</v>
      </c>
      <c r="AE43" s="530" t="s">
        <v>485</v>
      </c>
      <c r="AF43" s="530" t="s">
        <v>486</v>
      </c>
      <c r="AG43" s="386"/>
      <c r="AH43" s="532" t="s">
        <v>1131</v>
      </c>
      <c r="AI43" s="532" t="s">
        <v>1397</v>
      </c>
      <c r="AJ43" s="388" t="s">
        <v>1693</v>
      </c>
      <c r="AK43" s="389">
        <v>12.42</v>
      </c>
      <c r="AL43" s="388" t="s">
        <v>1694</v>
      </c>
      <c r="AM43" s="530" t="s">
        <v>485</v>
      </c>
      <c r="AN43" s="1086" t="s">
        <v>486</v>
      </c>
      <c r="AO43" s="386"/>
      <c r="AP43" s="752" t="s">
        <v>1067</v>
      </c>
      <c r="AQ43" s="532" t="s">
        <v>1287</v>
      </c>
      <c r="AR43" s="535" t="s">
        <v>41</v>
      </c>
      <c r="AS43" s="389">
        <v>13.19</v>
      </c>
      <c r="AT43" s="535" t="s">
        <v>55</v>
      </c>
      <c r="AU43" s="530" t="s">
        <v>485</v>
      </c>
      <c r="AV43" s="530" t="s">
        <v>486</v>
      </c>
      <c r="AW43" s="386"/>
      <c r="AX43" s="752" t="s">
        <v>1120</v>
      </c>
      <c r="AY43" s="533" t="s">
        <v>1287</v>
      </c>
      <c r="AZ43" s="327" t="s">
        <v>1399</v>
      </c>
      <c r="BA43" s="383">
        <v>12.16</v>
      </c>
      <c r="BB43" s="327" t="s">
        <v>1400</v>
      </c>
      <c r="BC43" s="530" t="s">
        <v>485</v>
      </c>
      <c r="BD43" s="530" t="s">
        <v>486</v>
      </c>
      <c r="BE43" s="386"/>
      <c r="BF43" s="1377" t="s">
        <v>2530</v>
      </c>
      <c r="BG43" s="533" t="s">
        <v>1398</v>
      </c>
      <c r="BH43" s="388" t="s">
        <v>2528</v>
      </c>
      <c r="BI43" s="389">
        <v>8.09</v>
      </c>
      <c r="BJ43" s="388" t="s">
        <v>2531</v>
      </c>
      <c r="BK43" s="530" t="s">
        <v>485</v>
      </c>
      <c r="BL43" s="530" t="s">
        <v>486</v>
      </c>
    </row>
    <row r="44" spans="1:64" s="251" customFormat="1" ht="10.5" customHeight="1">
      <c r="A44" s="982"/>
      <c r="B44" s="980" t="s">
        <v>1081</v>
      </c>
      <c r="C44" s="825" t="s">
        <v>1284</v>
      </c>
      <c r="D44" s="974" t="s">
        <v>2019</v>
      </c>
      <c r="E44" s="434">
        <v>5.94</v>
      </c>
      <c r="F44" s="974" t="s">
        <v>2023</v>
      </c>
      <c r="G44" s="973" t="s">
        <v>485</v>
      </c>
      <c r="H44" s="973" t="s">
        <v>486</v>
      </c>
      <c r="I44" s="491"/>
      <c r="J44" s="1366" t="s">
        <v>1076</v>
      </c>
      <c r="K44" s="975" t="s">
        <v>1285</v>
      </c>
      <c r="L44" s="974" t="s">
        <v>997</v>
      </c>
      <c r="M44" s="434">
        <v>8.85</v>
      </c>
      <c r="N44" s="974" t="s">
        <v>1730</v>
      </c>
      <c r="O44" s="973" t="s">
        <v>485</v>
      </c>
      <c r="P44" s="973" t="s">
        <v>486</v>
      </c>
      <c r="Q44" s="490"/>
      <c r="R44" s="976" t="s">
        <v>1130</v>
      </c>
      <c r="S44" s="977" t="s">
        <v>1285</v>
      </c>
      <c r="T44" s="1363" t="s">
        <v>2052</v>
      </c>
      <c r="U44" s="473">
        <v>7.59</v>
      </c>
      <c r="V44" s="430" t="s">
        <v>2053</v>
      </c>
      <c r="W44" s="973" t="s">
        <v>485</v>
      </c>
      <c r="X44" s="973" t="s">
        <v>486</v>
      </c>
      <c r="Y44" s="491"/>
      <c r="Z44" s="975" t="s">
        <v>1078</v>
      </c>
      <c r="AA44" s="978" t="s">
        <v>1286</v>
      </c>
      <c r="AB44" s="433" t="s">
        <v>933</v>
      </c>
      <c r="AC44" s="473">
        <v>12.14</v>
      </c>
      <c r="AD44" s="430" t="s">
        <v>934</v>
      </c>
      <c r="AE44" s="973" t="s">
        <v>485</v>
      </c>
      <c r="AF44" s="973" t="s">
        <v>486</v>
      </c>
      <c r="AG44" s="491"/>
      <c r="AH44" s="976" t="s">
        <v>1132</v>
      </c>
      <c r="AI44" s="979" t="s">
        <v>1397</v>
      </c>
      <c r="AJ44" s="433" t="s">
        <v>1703</v>
      </c>
      <c r="AK44" s="434">
        <v>12.29</v>
      </c>
      <c r="AL44" s="433" t="s">
        <v>1704</v>
      </c>
      <c r="AM44" s="973" t="s">
        <v>485</v>
      </c>
      <c r="AN44" s="973" t="s">
        <v>486</v>
      </c>
      <c r="AO44" s="491"/>
      <c r="AP44" s="976" t="s">
        <v>1068</v>
      </c>
      <c r="AQ44" s="979" t="s">
        <v>1287</v>
      </c>
      <c r="AR44" s="974" t="s">
        <v>42</v>
      </c>
      <c r="AS44" s="434">
        <v>13.14</v>
      </c>
      <c r="AT44" s="974" t="s">
        <v>56</v>
      </c>
      <c r="AU44" s="973" t="s">
        <v>485</v>
      </c>
      <c r="AV44" s="973" t="s">
        <v>486</v>
      </c>
      <c r="AW44" s="1363"/>
      <c r="AX44" s="976" t="s">
        <v>1121</v>
      </c>
      <c r="AY44" s="825" t="s">
        <v>1287</v>
      </c>
      <c r="AZ44" s="981" t="s">
        <v>1442</v>
      </c>
      <c r="BA44" s="434">
        <v>12.16</v>
      </c>
      <c r="BB44" s="981" t="s">
        <v>1443</v>
      </c>
      <c r="BC44" s="973" t="s">
        <v>485</v>
      </c>
      <c r="BD44" s="973" t="s">
        <v>486</v>
      </c>
      <c r="BE44" s="491"/>
      <c r="BF44" s="1388" t="s">
        <v>2616</v>
      </c>
      <c r="BG44" s="825" t="s">
        <v>1398</v>
      </c>
      <c r="BH44" s="433" t="s">
        <v>2614</v>
      </c>
      <c r="BI44" s="434">
        <v>7.97</v>
      </c>
      <c r="BJ44" s="433" t="s">
        <v>2617</v>
      </c>
      <c r="BK44" s="973" t="s">
        <v>485</v>
      </c>
      <c r="BL44" s="973" t="s">
        <v>486</v>
      </c>
    </row>
    <row r="45" spans="1:64" s="251" customFormat="1" ht="10.5" customHeight="1">
      <c r="A45" s="390"/>
      <c r="B45" s="791" t="s">
        <v>1082</v>
      </c>
      <c r="C45" s="533" t="s">
        <v>1284</v>
      </c>
      <c r="D45" s="535" t="s">
        <v>2034</v>
      </c>
      <c r="E45" s="389">
        <v>6.25</v>
      </c>
      <c r="F45" s="535" t="s">
        <v>2035</v>
      </c>
      <c r="G45" s="530" t="s">
        <v>485</v>
      </c>
      <c r="H45" s="530" t="s">
        <v>486</v>
      </c>
      <c r="I45" s="386"/>
      <c r="J45" s="1085" t="s">
        <v>1077</v>
      </c>
      <c r="K45" s="529" t="s">
        <v>1285</v>
      </c>
      <c r="L45" s="327" t="s">
        <v>998</v>
      </c>
      <c r="M45" s="383">
        <v>8.9</v>
      </c>
      <c r="N45" s="327" t="s">
        <v>999</v>
      </c>
      <c r="O45" s="530" t="s">
        <v>485</v>
      </c>
      <c r="P45" s="530" t="s">
        <v>486</v>
      </c>
      <c r="Q45" s="391"/>
      <c r="R45" s="752" t="s">
        <v>1131</v>
      </c>
      <c r="S45" s="531" t="s">
        <v>1285</v>
      </c>
      <c r="T45" s="327" t="s">
        <v>2065</v>
      </c>
      <c r="U45" s="383">
        <v>7.36</v>
      </c>
      <c r="V45" s="696" t="s">
        <v>1595</v>
      </c>
      <c r="W45" s="530" t="s">
        <v>485</v>
      </c>
      <c r="X45" s="530" t="s">
        <v>486</v>
      </c>
      <c r="Y45" s="386"/>
      <c r="Z45" s="529" t="s">
        <v>1079</v>
      </c>
      <c r="AA45" s="694" t="s">
        <v>1286</v>
      </c>
      <c r="AB45" s="388" t="s">
        <v>935</v>
      </c>
      <c r="AC45" s="383">
        <v>12.14</v>
      </c>
      <c r="AD45" s="346" t="s">
        <v>936</v>
      </c>
      <c r="AE45" s="530" t="s">
        <v>485</v>
      </c>
      <c r="AF45" s="530" t="s">
        <v>486</v>
      </c>
      <c r="AG45" s="386"/>
      <c r="AH45" s="752" t="s">
        <v>1133</v>
      </c>
      <c r="AI45" s="532" t="s">
        <v>1397</v>
      </c>
      <c r="AJ45" s="388" t="s">
        <v>1708</v>
      </c>
      <c r="AK45" s="389">
        <v>12.29</v>
      </c>
      <c r="AL45" s="388" t="s">
        <v>1709</v>
      </c>
      <c r="AM45" s="530" t="s">
        <v>485</v>
      </c>
      <c r="AN45" s="530" t="s">
        <v>486</v>
      </c>
      <c r="AO45" s="386"/>
      <c r="AP45" s="752" t="s">
        <v>1069</v>
      </c>
      <c r="AQ45" s="532" t="s">
        <v>1287</v>
      </c>
      <c r="AR45" s="535" t="s">
        <v>43</v>
      </c>
      <c r="AS45" s="389">
        <v>13.04</v>
      </c>
      <c r="AT45" s="535" t="s">
        <v>57</v>
      </c>
      <c r="AU45" s="530" t="s">
        <v>485</v>
      </c>
      <c r="AV45" s="530" t="s">
        <v>486</v>
      </c>
      <c r="AW45" s="386"/>
      <c r="AX45" s="752" t="s">
        <v>1122</v>
      </c>
      <c r="AY45" s="533" t="s">
        <v>1287</v>
      </c>
      <c r="AZ45" s="751" t="s">
        <v>1444</v>
      </c>
      <c r="BA45" s="389">
        <v>12.18</v>
      </c>
      <c r="BB45" s="751" t="s">
        <v>1445</v>
      </c>
      <c r="BC45" s="530" t="s">
        <v>485</v>
      </c>
      <c r="BD45" s="530" t="s">
        <v>486</v>
      </c>
      <c r="BE45" s="386"/>
      <c r="BF45" s="752" t="s">
        <v>2740</v>
      </c>
      <c r="BG45" s="533" t="s">
        <v>1398</v>
      </c>
      <c r="BH45" s="388" t="s">
        <v>2738</v>
      </c>
      <c r="BI45" s="389">
        <v>8.24</v>
      </c>
      <c r="BJ45" s="388" t="s">
        <v>2741</v>
      </c>
      <c r="BK45" s="530" t="s">
        <v>485</v>
      </c>
      <c r="BL45" s="530" t="s">
        <v>486</v>
      </c>
    </row>
    <row r="46" spans="1:64" s="251" customFormat="1" ht="10.5" customHeight="1">
      <c r="A46" s="982"/>
      <c r="B46" s="980" t="s">
        <v>1083</v>
      </c>
      <c r="C46" s="825" t="s">
        <v>1284</v>
      </c>
      <c r="D46" s="974" t="s">
        <v>2040</v>
      </c>
      <c r="E46" s="434">
        <v>6.24</v>
      </c>
      <c r="F46" s="974" t="s">
        <v>2041</v>
      </c>
      <c r="G46" s="973" t="s">
        <v>485</v>
      </c>
      <c r="H46" s="973" t="s">
        <v>486</v>
      </c>
      <c r="I46" s="491"/>
      <c r="J46" s="1366" t="s">
        <v>1078</v>
      </c>
      <c r="K46" s="977" t="s">
        <v>1285</v>
      </c>
      <c r="L46" s="430" t="s">
        <v>1000</v>
      </c>
      <c r="M46" s="428">
        <v>9.5</v>
      </c>
      <c r="N46" s="430" t="s">
        <v>1001</v>
      </c>
      <c r="O46" s="1027" t="s">
        <v>485</v>
      </c>
      <c r="P46" s="973" t="s">
        <v>486</v>
      </c>
      <c r="Q46" s="490"/>
      <c r="R46" s="976" t="s">
        <v>1132</v>
      </c>
      <c r="S46" s="977" t="s">
        <v>1285</v>
      </c>
      <c r="T46" s="1363" t="s">
        <v>2080</v>
      </c>
      <c r="U46" s="473">
        <v>7.25</v>
      </c>
      <c r="V46" s="430" t="s">
        <v>1597</v>
      </c>
      <c r="W46" s="973" t="s">
        <v>485</v>
      </c>
      <c r="X46" s="973" t="s">
        <v>486</v>
      </c>
      <c r="Y46" s="491"/>
      <c r="Z46" s="975" t="s">
        <v>1080</v>
      </c>
      <c r="AA46" s="978" t="s">
        <v>1286</v>
      </c>
      <c r="AB46" s="433" t="s">
        <v>937</v>
      </c>
      <c r="AC46" s="473">
        <v>12.14</v>
      </c>
      <c r="AD46" s="430" t="s">
        <v>938</v>
      </c>
      <c r="AE46" s="973" t="s">
        <v>485</v>
      </c>
      <c r="AF46" s="973" t="s">
        <v>486</v>
      </c>
      <c r="AG46" s="491"/>
      <c r="AH46" s="976" t="s">
        <v>1134</v>
      </c>
      <c r="AI46" s="979" t="s">
        <v>1397</v>
      </c>
      <c r="AJ46" s="433" t="s">
        <v>1712</v>
      </c>
      <c r="AK46" s="434">
        <v>12.2</v>
      </c>
      <c r="AL46" s="433" t="s">
        <v>1714</v>
      </c>
      <c r="AM46" s="973" t="s">
        <v>485</v>
      </c>
      <c r="AN46" s="973" t="s">
        <v>486</v>
      </c>
      <c r="AO46" s="433"/>
      <c r="AP46" s="976" t="s">
        <v>1070</v>
      </c>
      <c r="AQ46" s="979" t="s">
        <v>1287</v>
      </c>
      <c r="AR46" s="974" t="s">
        <v>44</v>
      </c>
      <c r="AS46" s="434">
        <v>13.14</v>
      </c>
      <c r="AT46" s="974" t="s">
        <v>58</v>
      </c>
      <c r="AU46" s="973" t="s">
        <v>485</v>
      </c>
      <c r="AV46" s="973" t="s">
        <v>486</v>
      </c>
      <c r="AW46" s="1363"/>
      <c r="AX46" s="976" t="s">
        <v>1123</v>
      </c>
      <c r="AY46" s="825" t="s">
        <v>1287</v>
      </c>
      <c r="AZ46" s="981" t="s">
        <v>1458</v>
      </c>
      <c r="BA46" s="434">
        <v>12.28</v>
      </c>
      <c r="BB46" s="981" t="s">
        <v>1459</v>
      </c>
      <c r="BC46" s="973" t="s">
        <v>485</v>
      </c>
      <c r="BD46" s="973" t="s">
        <v>486</v>
      </c>
      <c r="BE46" s="593"/>
      <c r="BF46" s="976" t="s">
        <v>2761</v>
      </c>
      <c r="BG46" s="825" t="s">
        <v>1398</v>
      </c>
      <c r="BH46" s="433" t="s">
        <v>2760</v>
      </c>
      <c r="BI46" s="434">
        <v>8.44</v>
      </c>
      <c r="BJ46" s="433" t="s">
        <v>2762</v>
      </c>
      <c r="BK46" s="973" t="s">
        <v>485</v>
      </c>
      <c r="BL46" s="973" t="s">
        <v>486</v>
      </c>
    </row>
    <row r="47" spans="1:64" s="251" customFormat="1" ht="10.5" customHeight="1">
      <c r="A47" s="390"/>
      <c r="B47" s="791" t="s">
        <v>1084</v>
      </c>
      <c r="C47" s="533" t="s">
        <v>1284</v>
      </c>
      <c r="D47" s="535" t="s">
        <v>2049</v>
      </c>
      <c r="E47" s="389">
        <v>6.6</v>
      </c>
      <c r="F47" s="535" t="s">
        <v>2050</v>
      </c>
      <c r="G47" s="530" t="s">
        <v>485</v>
      </c>
      <c r="H47" s="530" t="s">
        <v>486</v>
      </c>
      <c r="I47" s="327"/>
      <c r="J47" s="791" t="s">
        <v>1079</v>
      </c>
      <c r="K47" s="531" t="s">
        <v>1285</v>
      </c>
      <c r="L47" s="327" t="s">
        <v>998</v>
      </c>
      <c r="M47" s="383">
        <v>8.9</v>
      </c>
      <c r="N47" s="327" t="s">
        <v>999</v>
      </c>
      <c r="O47" s="1007" t="s">
        <v>485</v>
      </c>
      <c r="P47" s="530" t="s">
        <v>486</v>
      </c>
      <c r="Q47" s="391"/>
      <c r="R47" s="531" t="s">
        <v>1133</v>
      </c>
      <c r="S47" s="531" t="s">
        <v>1285</v>
      </c>
      <c r="T47" s="327" t="s">
        <v>2081</v>
      </c>
      <c r="U47" s="383">
        <v>6.98</v>
      </c>
      <c r="V47" s="346" t="s">
        <v>1599</v>
      </c>
      <c r="W47" s="530" t="s">
        <v>485</v>
      </c>
      <c r="X47" s="530" t="s">
        <v>486</v>
      </c>
      <c r="Y47" s="388"/>
      <c r="Z47" s="529" t="s">
        <v>1081</v>
      </c>
      <c r="AA47" s="694" t="s">
        <v>1286</v>
      </c>
      <c r="AB47" s="388" t="s">
        <v>939</v>
      </c>
      <c r="AC47" s="383">
        <v>12.14</v>
      </c>
      <c r="AD47" s="346" t="s">
        <v>940</v>
      </c>
      <c r="AE47" s="530" t="s">
        <v>485</v>
      </c>
      <c r="AF47" s="530" t="s">
        <v>486</v>
      </c>
      <c r="AG47" s="386"/>
      <c r="AH47" s="752" t="s">
        <v>1135</v>
      </c>
      <c r="AI47" s="532" t="s">
        <v>1397</v>
      </c>
      <c r="AJ47" s="388" t="s">
        <v>1715</v>
      </c>
      <c r="AK47" s="389">
        <v>12.1</v>
      </c>
      <c r="AL47" s="388" t="s">
        <v>1717</v>
      </c>
      <c r="AM47" s="530" t="s">
        <v>485</v>
      </c>
      <c r="AN47" s="530" t="s">
        <v>486</v>
      </c>
      <c r="AO47" s="386"/>
      <c r="AP47" s="752" t="s">
        <v>1071</v>
      </c>
      <c r="AQ47" s="532" t="s">
        <v>1287</v>
      </c>
      <c r="AR47" s="388" t="s">
        <v>45</v>
      </c>
      <c r="AS47" s="389">
        <v>13.13</v>
      </c>
      <c r="AT47" s="388" t="s">
        <v>59</v>
      </c>
      <c r="AU47" s="530" t="s">
        <v>485</v>
      </c>
      <c r="AV47" s="530" t="s">
        <v>486</v>
      </c>
      <c r="AW47" s="386"/>
      <c r="AX47" s="752" t="s">
        <v>1124</v>
      </c>
      <c r="AY47" s="533" t="s">
        <v>1287</v>
      </c>
      <c r="AZ47" s="751" t="s">
        <v>1461</v>
      </c>
      <c r="BA47" s="389">
        <v>12.38</v>
      </c>
      <c r="BB47" s="751" t="s">
        <v>1630</v>
      </c>
      <c r="BC47" s="530" t="s">
        <v>485</v>
      </c>
      <c r="BD47" s="530" t="s">
        <v>486</v>
      </c>
      <c r="BE47" s="1655"/>
      <c r="BF47" s="752" t="s">
        <v>2787</v>
      </c>
      <c r="BG47" s="533" t="s">
        <v>1398</v>
      </c>
      <c r="BH47" s="388" t="s">
        <v>2785</v>
      </c>
      <c r="BI47" s="389">
        <v>8.44</v>
      </c>
      <c r="BJ47" s="388" t="s">
        <v>2788</v>
      </c>
      <c r="BK47" s="530" t="s">
        <v>485</v>
      </c>
      <c r="BL47" s="530" t="s">
        <v>486</v>
      </c>
    </row>
    <row r="48" spans="1:64" s="251" customFormat="1" ht="10.5" customHeight="1">
      <c r="A48" s="982"/>
      <c r="B48" s="980" t="s">
        <v>1085</v>
      </c>
      <c r="C48" s="825" t="s">
        <v>1284</v>
      </c>
      <c r="D48" s="974" t="s">
        <v>2048</v>
      </c>
      <c r="E48" s="434">
        <v>7.09</v>
      </c>
      <c r="F48" s="974" t="s">
        <v>1255</v>
      </c>
      <c r="G48" s="973" t="s">
        <v>485</v>
      </c>
      <c r="H48" s="973" t="s">
        <v>486</v>
      </c>
      <c r="I48" s="491"/>
      <c r="J48" s="980" t="s">
        <v>1080</v>
      </c>
      <c r="K48" s="977" t="s">
        <v>1285</v>
      </c>
      <c r="L48" s="1363" t="s">
        <v>1000</v>
      </c>
      <c r="M48" s="473">
        <v>9.5</v>
      </c>
      <c r="N48" s="1363" t="s">
        <v>1001</v>
      </c>
      <c r="O48" s="973" t="s">
        <v>485</v>
      </c>
      <c r="P48" s="973" t="s">
        <v>486</v>
      </c>
      <c r="Q48" s="490"/>
      <c r="R48" s="977" t="s">
        <v>1134</v>
      </c>
      <c r="S48" s="977" t="s">
        <v>1285</v>
      </c>
      <c r="T48" s="1363" t="s">
        <v>2096</v>
      </c>
      <c r="U48" s="473">
        <v>6.89</v>
      </c>
      <c r="V48" s="430" t="s">
        <v>1601</v>
      </c>
      <c r="W48" s="973" t="s">
        <v>485</v>
      </c>
      <c r="X48" s="973" t="s">
        <v>486</v>
      </c>
      <c r="Y48" s="491"/>
      <c r="Z48" s="975" t="s">
        <v>1082</v>
      </c>
      <c r="AA48" s="978" t="s">
        <v>1286</v>
      </c>
      <c r="AB48" s="1363" t="s">
        <v>941</v>
      </c>
      <c r="AC48" s="473">
        <v>10.6</v>
      </c>
      <c r="AD48" s="430" t="s">
        <v>942</v>
      </c>
      <c r="AE48" s="973" t="s">
        <v>485</v>
      </c>
      <c r="AF48" s="973" t="s">
        <v>486</v>
      </c>
      <c r="AG48" s="491"/>
      <c r="AH48" s="976" t="s">
        <v>1136</v>
      </c>
      <c r="AI48" s="979" t="s">
        <v>1397</v>
      </c>
      <c r="AJ48" s="433" t="s">
        <v>1722</v>
      </c>
      <c r="AK48" s="434">
        <v>12</v>
      </c>
      <c r="AL48" s="433" t="s">
        <v>1723</v>
      </c>
      <c r="AM48" s="973" t="s">
        <v>485</v>
      </c>
      <c r="AN48" s="973" t="s">
        <v>486</v>
      </c>
      <c r="AO48" s="491"/>
      <c r="AP48" s="976" t="s">
        <v>1072</v>
      </c>
      <c r="AQ48" s="979" t="s">
        <v>1287</v>
      </c>
      <c r="AR48" s="433" t="s">
        <v>46</v>
      </c>
      <c r="AS48" s="434">
        <v>13.09</v>
      </c>
      <c r="AT48" s="433" t="s">
        <v>60</v>
      </c>
      <c r="AU48" s="973" t="s">
        <v>485</v>
      </c>
      <c r="AV48" s="973" t="s">
        <v>486</v>
      </c>
      <c r="AW48" s="1363"/>
      <c r="AX48" s="976" t="s">
        <v>1125</v>
      </c>
      <c r="AY48" s="825" t="s">
        <v>1398</v>
      </c>
      <c r="AZ48" s="1065" t="s">
        <v>1507</v>
      </c>
      <c r="BA48" s="969">
        <v>12.48</v>
      </c>
      <c r="BB48" s="1065" t="s">
        <v>1631</v>
      </c>
      <c r="BC48" s="973" t="s">
        <v>485</v>
      </c>
      <c r="BD48" s="973" t="s">
        <v>486</v>
      </c>
      <c r="BE48" s="1670"/>
      <c r="BF48" s="976" t="s">
        <v>2812</v>
      </c>
      <c r="BG48" s="825" t="s">
        <v>1398</v>
      </c>
      <c r="BH48" s="433" t="s">
        <v>2811</v>
      </c>
      <c r="BI48" s="434">
        <v>8.41</v>
      </c>
      <c r="BJ48" s="433" t="s">
        <v>2813</v>
      </c>
      <c r="BK48" s="973" t="s">
        <v>485</v>
      </c>
      <c r="BL48" s="973" t="s">
        <v>486</v>
      </c>
    </row>
    <row r="49" spans="1:64" s="251" customFormat="1" ht="10.5" customHeight="1">
      <c r="A49" s="390"/>
      <c r="B49" s="791" t="s">
        <v>1086</v>
      </c>
      <c r="C49" s="533" t="s">
        <v>1284</v>
      </c>
      <c r="D49" s="535" t="s">
        <v>2051</v>
      </c>
      <c r="E49" s="389">
        <v>6.54</v>
      </c>
      <c r="F49" s="535" t="s">
        <v>1256</v>
      </c>
      <c r="G49" s="530" t="s">
        <v>485</v>
      </c>
      <c r="H49" s="530" t="s">
        <v>486</v>
      </c>
      <c r="I49" s="390"/>
      <c r="J49" s="791" t="s">
        <v>1081</v>
      </c>
      <c r="K49" s="531" t="s">
        <v>1285</v>
      </c>
      <c r="L49" s="327" t="s">
        <v>1002</v>
      </c>
      <c r="M49" s="383">
        <v>9.5299999999999994</v>
      </c>
      <c r="N49" s="327" t="s">
        <v>1003</v>
      </c>
      <c r="O49" s="530" t="s">
        <v>485</v>
      </c>
      <c r="P49" s="530" t="s">
        <v>486</v>
      </c>
      <c r="Q49" s="391"/>
      <c r="R49" s="531" t="s">
        <v>1135</v>
      </c>
      <c r="S49" s="531" t="s">
        <v>1285</v>
      </c>
      <c r="T49" s="327" t="s">
        <v>2105</v>
      </c>
      <c r="U49" s="383">
        <v>6.89</v>
      </c>
      <c r="V49" s="346" t="s">
        <v>1603</v>
      </c>
      <c r="W49" s="530" t="s">
        <v>485</v>
      </c>
      <c r="X49" s="530" t="s">
        <v>486</v>
      </c>
      <c r="Y49" s="386"/>
      <c r="Z49" s="529" t="s">
        <v>1083</v>
      </c>
      <c r="AA49" s="694" t="s">
        <v>1286</v>
      </c>
      <c r="AB49" s="327" t="s">
        <v>943</v>
      </c>
      <c r="AC49" s="383">
        <v>11.09</v>
      </c>
      <c r="AD49" s="346" t="s">
        <v>944</v>
      </c>
      <c r="AE49" s="530" t="s">
        <v>485</v>
      </c>
      <c r="AF49" s="530" t="s">
        <v>486</v>
      </c>
      <c r="AG49" s="386"/>
      <c r="AH49" s="752" t="s">
        <v>1198</v>
      </c>
      <c r="AI49" s="532" t="s">
        <v>1397</v>
      </c>
      <c r="AJ49" s="388" t="s">
        <v>1724</v>
      </c>
      <c r="AK49" s="389">
        <v>11.97</v>
      </c>
      <c r="AL49" s="388" t="s">
        <v>1725</v>
      </c>
      <c r="AM49" s="530" t="s">
        <v>485</v>
      </c>
      <c r="AN49" s="530" t="s">
        <v>486</v>
      </c>
      <c r="AO49" s="386"/>
      <c r="AP49" s="752" t="s">
        <v>1073</v>
      </c>
      <c r="AQ49" s="532" t="s">
        <v>1287</v>
      </c>
      <c r="AR49" s="388" t="s">
        <v>47</v>
      </c>
      <c r="AS49" s="388">
        <v>13.07</v>
      </c>
      <c r="AT49" s="388" t="s">
        <v>61</v>
      </c>
      <c r="AU49" s="530" t="s">
        <v>485</v>
      </c>
      <c r="AV49" s="530" t="s">
        <v>486</v>
      </c>
      <c r="AW49" s="386"/>
      <c r="AX49" s="752" t="s">
        <v>1126</v>
      </c>
      <c r="AY49" s="533" t="s">
        <v>1398</v>
      </c>
      <c r="AZ49" s="388" t="s">
        <v>1615</v>
      </c>
      <c r="BA49" s="389">
        <v>12.48</v>
      </c>
      <c r="BB49" s="388" t="s">
        <v>1632</v>
      </c>
      <c r="BC49" s="530" t="s">
        <v>485</v>
      </c>
      <c r="BD49" s="530" t="s">
        <v>486</v>
      </c>
      <c r="BE49" s="386"/>
      <c r="BF49" s="386" t="s">
        <v>2848</v>
      </c>
      <c r="BG49" s="533" t="s">
        <v>1398</v>
      </c>
      <c r="BH49" s="388" t="s">
        <v>2846</v>
      </c>
      <c r="BI49" s="389">
        <v>8.44</v>
      </c>
      <c r="BJ49" s="388" t="s">
        <v>2849</v>
      </c>
      <c r="BK49" s="530" t="s">
        <v>485</v>
      </c>
      <c r="BL49" s="530" t="s">
        <v>486</v>
      </c>
    </row>
    <row r="50" spans="1:64" s="251" customFormat="1" ht="10.5" customHeight="1">
      <c r="A50" s="491"/>
      <c r="B50" s="980" t="s">
        <v>1087</v>
      </c>
      <c r="C50" s="825" t="s">
        <v>1284</v>
      </c>
      <c r="D50" s="974" t="s">
        <v>2077</v>
      </c>
      <c r="E50" s="434">
        <v>6.14</v>
      </c>
      <c r="F50" s="974" t="s">
        <v>2078</v>
      </c>
      <c r="G50" s="973" t="s">
        <v>485</v>
      </c>
      <c r="H50" s="973" t="s">
        <v>486</v>
      </c>
      <c r="I50" s="491"/>
      <c r="J50" s="980" t="s">
        <v>1082</v>
      </c>
      <c r="K50" s="977" t="s">
        <v>1285</v>
      </c>
      <c r="L50" s="1363" t="s">
        <v>1008</v>
      </c>
      <c r="M50" s="473" t="s">
        <v>1137</v>
      </c>
      <c r="N50" s="1363" t="s">
        <v>1055</v>
      </c>
      <c r="O50" s="973" t="s">
        <v>485</v>
      </c>
      <c r="P50" s="973" t="s">
        <v>68</v>
      </c>
      <c r="Q50" s="490"/>
      <c r="R50" s="977" t="s">
        <v>1136</v>
      </c>
      <c r="S50" s="977" t="s">
        <v>1285</v>
      </c>
      <c r="T50" s="1363" t="s">
        <v>2112</v>
      </c>
      <c r="U50" s="473">
        <v>6.77</v>
      </c>
      <c r="V50" s="430" t="s">
        <v>1605</v>
      </c>
      <c r="W50" s="973" t="s">
        <v>485</v>
      </c>
      <c r="X50" s="973" t="s">
        <v>486</v>
      </c>
      <c r="Y50" s="491"/>
      <c r="Z50" s="975" t="s">
        <v>1084</v>
      </c>
      <c r="AA50" s="1095" t="s">
        <v>1286</v>
      </c>
      <c r="AB50" s="972" t="s">
        <v>945</v>
      </c>
      <c r="AC50" s="473">
        <v>9.39</v>
      </c>
      <c r="AD50" s="983" t="s">
        <v>946</v>
      </c>
      <c r="AE50" s="973" t="s">
        <v>485</v>
      </c>
      <c r="AF50" s="973" t="s">
        <v>486</v>
      </c>
      <c r="AG50" s="491"/>
      <c r="AH50" s="976" t="s">
        <v>1199</v>
      </c>
      <c r="AI50" s="979" t="s">
        <v>1397</v>
      </c>
      <c r="AJ50" s="433" t="s">
        <v>1732</v>
      </c>
      <c r="AK50" s="434">
        <v>11.97</v>
      </c>
      <c r="AL50" s="433" t="s">
        <v>1736</v>
      </c>
      <c r="AM50" s="973" t="s">
        <v>485</v>
      </c>
      <c r="AN50" s="973" t="s">
        <v>486</v>
      </c>
      <c r="AO50" s="491"/>
      <c r="AP50" s="491" t="s">
        <v>1074</v>
      </c>
      <c r="AQ50" s="979" t="s">
        <v>1287</v>
      </c>
      <c r="AR50" s="433" t="s">
        <v>48</v>
      </c>
      <c r="AS50" s="433">
        <v>13.07</v>
      </c>
      <c r="AT50" s="433" t="s">
        <v>2151</v>
      </c>
      <c r="AU50" s="973" t="s">
        <v>485</v>
      </c>
      <c r="AV50" s="973" t="s">
        <v>486</v>
      </c>
      <c r="AW50" s="1363"/>
      <c r="AX50" s="976" t="s">
        <v>1127</v>
      </c>
      <c r="AY50" s="825" t="s">
        <v>1398</v>
      </c>
      <c r="AZ50" s="1378" t="s">
        <v>1622</v>
      </c>
      <c r="BA50" s="473">
        <v>12.48</v>
      </c>
      <c r="BB50" s="1378" t="s">
        <v>1633</v>
      </c>
      <c r="BC50" s="973" t="s">
        <v>485</v>
      </c>
      <c r="BD50" s="973" t="s">
        <v>486</v>
      </c>
      <c r="BE50" s="491"/>
      <c r="BF50" s="491" t="s">
        <v>2890</v>
      </c>
      <c r="BG50" s="825" t="s">
        <v>1398</v>
      </c>
      <c r="BH50" s="433" t="s">
        <v>2888</v>
      </c>
      <c r="BI50" s="434">
        <v>8.68</v>
      </c>
      <c r="BJ50" s="433" t="s">
        <v>2891</v>
      </c>
      <c r="BK50" s="973" t="s">
        <v>485</v>
      </c>
      <c r="BL50" s="973" t="s">
        <v>486</v>
      </c>
    </row>
    <row r="51" spans="1:64" s="251" customFormat="1" ht="10.5" customHeight="1" thickBot="1">
      <c r="A51" s="386"/>
      <c r="B51" s="791" t="s">
        <v>1914</v>
      </c>
      <c r="C51" s="533" t="s">
        <v>1284</v>
      </c>
      <c r="D51" s="535" t="s">
        <v>2089</v>
      </c>
      <c r="E51" s="389">
        <v>5.8</v>
      </c>
      <c r="F51" s="535" t="s">
        <v>2090</v>
      </c>
      <c r="G51" s="530" t="s">
        <v>485</v>
      </c>
      <c r="H51" s="530" t="s">
        <v>486</v>
      </c>
      <c r="I51" s="391"/>
      <c r="J51" s="791" t="s">
        <v>1083</v>
      </c>
      <c r="K51" s="531" t="s">
        <v>1291</v>
      </c>
      <c r="L51" s="327" t="s">
        <v>1004</v>
      </c>
      <c r="M51" s="383">
        <v>9.4499999999999993</v>
      </c>
      <c r="N51" s="327" t="s">
        <v>1005</v>
      </c>
      <c r="O51" s="530" t="s">
        <v>485</v>
      </c>
      <c r="P51" s="530" t="s">
        <v>486</v>
      </c>
      <c r="Q51" s="386"/>
      <c r="R51" s="531" t="s">
        <v>1198</v>
      </c>
      <c r="S51" s="531" t="s">
        <v>1285</v>
      </c>
      <c r="T51" s="327" t="s">
        <v>2147</v>
      </c>
      <c r="U51" s="383">
        <v>6.3</v>
      </c>
      <c r="V51" s="346" t="s">
        <v>1607</v>
      </c>
      <c r="W51" s="530" t="s">
        <v>485</v>
      </c>
      <c r="X51" s="530" t="s">
        <v>486</v>
      </c>
      <c r="Y51" s="386"/>
      <c r="Z51" s="529" t="s">
        <v>1085</v>
      </c>
      <c r="AA51" s="1096" t="s">
        <v>1286</v>
      </c>
      <c r="AB51" s="395" t="s">
        <v>947</v>
      </c>
      <c r="AC51" s="383">
        <v>8.59</v>
      </c>
      <c r="AD51" s="696" t="s">
        <v>948</v>
      </c>
      <c r="AE51" s="530" t="s">
        <v>485</v>
      </c>
      <c r="AF51" s="530" t="s">
        <v>486</v>
      </c>
      <c r="AG51" s="386"/>
      <c r="AH51" s="752" t="s">
        <v>1200</v>
      </c>
      <c r="AI51" s="532" t="s">
        <v>1397</v>
      </c>
      <c r="AJ51" s="388" t="s">
        <v>1735</v>
      </c>
      <c r="AK51" s="389">
        <v>11.97</v>
      </c>
      <c r="AL51" s="388" t="s">
        <v>1737</v>
      </c>
      <c r="AM51" s="530" t="s">
        <v>485</v>
      </c>
      <c r="AN51" s="530" t="s">
        <v>486</v>
      </c>
      <c r="AO51" s="386"/>
      <c r="AP51" s="752" t="s">
        <v>1075</v>
      </c>
      <c r="AQ51" s="532" t="s">
        <v>1287</v>
      </c>
      <c r="AR51" s="388" t="s">
        <v>49</v>
      </c>
      <c r="AS51" s="389">
        <v>13.07</v>
      </c>
      <c r="AT51" s="388" t="s">
        <v>62</v>
      </c>
      <c r="AU51" s="530" t="s">
        <v>485</v>
      </c>
      <c r="AV51" s="530" t="s">
        <v>486</v>
      </c>
      <c r="AW51" s="327"/>
      <c r="AX51" s="752" t="s">
        <v>1128</v>
      </c>
      <c r="AY51" s="533" t="s">
        <v>1398</v>
      </c>
      <c r="AZ51" s="1379" t="s">
        <v>1629</v>
      </c>
      <c r="BA51" s="383">
        <v>12.47</v>
      </c>
      <c r="BB51" s="1380" t="s">
        <v>1634</v>
      </c>
      <c r="BC51" s="530" t="s">
        <v>485</v>
      </c>
      <c r="BD51" s="530" t="s">
        <v>486</v>
      </c>
      <c r="BE51" s="1717" t="s">
        <v>515</v>
      </c>
      <c r="BF51" s="1718" t="s">
        <v>1063</v>
      </c>
      <c r="BG51" s="1717" t="s">
        <v>1303</v>
      </c>
      <c r="BH51" s="1393" t="s">
        <v>1271</v>
      </c>
      <c r="BI51" s="698">
        <v>5</v>
      </c>
      <c r="BJ51" s="1393" t="s">
        <v>512</v>
      </c>
      <c r="BK51" s="1719" t="s">
        <v>485</v>
      </c>
      <c r="BL51" s="1719" t="s">
        <v>511</v>
      </c>
    </row>
    <row r="52" spans="1:64" s="386" customFormat="1" ht="10.5" customHeight="1">
      <c r="A52" s="1094"/>
      <c r="B52" s="980" t="s">
        <v>1089</v>
      </c>
      <c r="C52" s="825" t="s">
        <v>1284</v>
      </c>
      <c r="D52" s="974" t="s">
        <v>2095</v>
      </c>
      <c r="E52" s="434">
        <v>6</v>
      </c>
      <c r="F52" s="974" t="s">
        <v>1583</v>
      </c>
      <c r="G52" s="973" t="s">
        <v>485</v>
      </c>
      <c r="H52" s="973" t="s">
        <v>486</v>
      </c>
      <c r="I52" s="491"/>
      <c r="J52" s="980" t="s">
        <v>1084</v>
      </c>
      <c r="K52" s="977" t="s">
        <v>1285</v>
      </c>
      <c r="L52" s="1363" t="s">
        <v>1006</v>
      </c>
      <c r="M52" s="473">
        <v>9.4499999999999993</v>
      </c>
      <c r="N52" s="1363" t="s">
        <v>1007</v>
      </c>
      <c r="O52" s="973" t="s">
        <v>485</v>
      </c>
      <c r="P52" s="973" t="s">
        <v>486</v>
      </c>
      <c r="Q52" s="491"/>
      <c r="R52" s="977" t="s">
        <v>1199</v>
      </c>
      <c r="S52" s="977" t="s">
        <v>1285</v>
      </c>
      <c r="T52" s="987" t="s">
        <v>2261</v>
      </c>
      <c r="U52" s="473">
        <v>6.86</v>
      </c>
      <c r="V52" s="987" t="s">
        <v>2262</v>
      </c>
      <c r="W52" s="973" t="s">
        <v>485</v>
      </c>
      <c r="X52" s="973" t="s">
        <v>486</v>
      </c>
      <c r="Y52" s="491"/>
      <c r="Z52" s="975" t="s">
        <v>1086</v>
      </c>
      <c r="AA52" s="1095" t="s">
        <v>1286</v>
      </c>
      <c r="AB52" s="972" t="s">
        <v>949</v>
      </c>
      <c r="AC52" s="473">
        <v>8.8000000000000007</v>
      </c>
      <c r="AD52" s="983" t="s">
        <v>950</v>
      </c>
      <c r="AE52" s="973" t="s">
        <v>485</v>
      </c>
      <c r="AF52" s="973" t="s">
        <v>486</v>
      </c>
      <c r="AG52" s="490"/>
      <c r="AH52" s="976" t="s">
        <v>1201</v>
      </c>
      <c r="AI52" s="979" t="s">
        <v>1397</v>
      </c>
      <c r="AJ52" s="433" t="s">
        <v>1757</v>
      </c>
      <c r="AK52" s="434">
        <v>11.87</v>
      </c>
      <c r="AL52" s="433" t="s">
        <v>1758</v>
      </c>
      <c r="AM52" s="973" t="s">
        <v>485</v>
      </c>
      <c r="AN52" s="973" t="s">
        <v>486</v>
      </c>
      <c r="AO52" s="1363"/>
      <c r="AP52" s="976" t="s">
        <v>1076</v>
      </c>
      <c r="AQ52" s="825" t="s">
        <v>1287</v>
      </c>
      <c r="AR52" s="1363" t="s">
        <v>50</v>
      </c>
      <c r="AS52" s="473">
        <v>13.07</v>
      </c>
      <c r="AT52" s="1363" t="s">
        <v>63</v>
      </c>
      <c r="AU52" s="973" t="s">
        <v>485</v>
      </c>
      <c r="AV52" s="973" t="s">
        <v>486</v>
      </c>
      <c r="AW52" s="1363"/>
      <c r="AX52" s="976" t="s">
        <v>1129</v>
      </c>
      <c r="AY52" s="825" t="s">
        <v>1398</v>
      </c>
      <c r="AZ52" s="981" t="s">
        <v>1641</v>
      </c>
      <c r="BA52" s="433">
        <v>12.48</v>
      </c>
      <c r="BB52" s="981" t="s">
        <v>1642</v>
      </c>
      <c r="BC52" s="973" t="s">
        <v>485</v>
      </c>
      <c r="BD52" s="973" t="s">
        <v>486</v>
      </c>
      <c r="BE52" s="1656"/>
      <c r="BF52" s="1632"/>
      <c r="BG52" s="533"/>
      <c r="BH52" s="327"/>
      <c r="BI52" s="383"/>
      <c r="BJ52" s="327"/>
      <c r="BK52" s="1633"/>
      <c r="BL52" s="1633"/>
    </row>
    <row r="53" spans="1:64" s="251" customFormat="1" ht="10.5" customHeight="1">
      <c r="A53" s="386"/>
      <c r="B53" s="791" t="s">
        <v>1090</v>
      </c>
      <c r="C53" s="533" t="s">
        <v>1284</v>
      </c>
      <c r="D53" s="535" t="s">
        <v>2104</v>
      </c>
      <c r="E53" s="389">
        <v>5.84</v>
      </c>
      <c r="F53" s="535" t="s">
        <v>1585</v>
      </c>
      <c r="G53" s="530" t="s">
        <v>485</v>
      </c>
      <c r="H53" s="530" t="s">
        <v>486</v>
      </c>
      <c r="I53" s="386"/>
      <c r="J53" s="791" t="s">
        <v>1085</v>
      </c>
      <c r="K53" s="531" t="s">
        <v>1285</v>
      </c>
      <c r="L53" s="327" t="s">
        <v>1053</v>
      </c>
      <c r="M53" s="383">
        <v>9.4499999999999993</v>
      </c>
      <c r="N53" s="327" t="s">
        <v>1054</v>
      </c>
      <c r="O53" s="530" t="s">
        <v>485</v>
      </c>
      <c r="P53" s="530" t="s">
        <v>486</v>
      </c>
      <c r="Q53" s="386"/>
      <c r="R53" s="531" t="s">
        <v>1200</v>
      </c>
      <c r="S53" s="531" t="s">
        <v>1285</v>
      </c>
      <c r="T53" s="837" t="s">
        <v>2266</v>
      </c>
      <c r="U53" s="383">
        <v>6.96</v>
      </c>
      <c r="V53" s="837" t="s">
        <v>2267</v>
      </c>
      <c r="W53" s="530" t="s">
        <v>485</v>
      </c>
      <c r="X53" s="530" t="s">
        <v>486</v>
      </c>
      <c r="Y53" s="386"/>
      <c r="Z53" s="529" t="s">
        <v>1087</v>
      </c>
      <c r="AA53" s="529" t="s">
        <v>1286</v>
      </c>
      <c r="AB53" s="395" t="s">
        <v>567</v>
      </c>
      <c r="AC53" s="383">
        <v>8.69</v>
      </c>
      <c r="AD53" s="696" t="s">
        <v>568</v>
      </c>
      <c r="AE53" s="530" t="s">
        <v>485</v>
      </c>
      <c r="AF53" s="530" t="s">
        <v>486</v>
      </c>
      <c r="AG53" s="391"/>
      <c r="AH53" s="752" t="s">
        <v>1202</v>
      </c>
      <c r="AI53" s="532" t="s">
        <v>1397</v>
      </c>
      <c r="AJ53" s="388" t="s">
        <v>1759</v>
      </c>
      <c r="AK53" s="389">
        <v>11.59</v>
      </c>
      <c r="AL53" s="388" t="s">
        <v>1760</v>
      </c>
      <c r="AM53" s="530" t="s">
        <v>485</v>
      </c>
      <c r="AN53" s="530" t="s">
        <v>486</v>
      </c>
      <c r="AO53" s="391"/>
      <c r="AP53" s="752" t="s">
        <v>1077</v>
      </c>
      <c r="AQ53" s="533" t="s">
        <v>1287</v>
      </c>
      <c r="AR53" s="327" t="s">
        <v>51</v>
      </c>
      <c r="AS53" s="383">
        <v>13.07</v>
      </c>
      <c r="AT53" s="327" t="s">
        <v>64</v>
      </c>
      <c r="AU53" s="530" t="s">
        <v>485</v>
      </c>
      <c r="AV53" s="530" t="s">
        <v>486</v>
      </c>
      <c r="AW53" s="386"/>
      <c r="AX53" s="752" t="s">
        <v>1130</v>
      </c>
      <c r="AY53" s="533" t="s">
        <v>1398</v>
      </c>
      <c r="AZ53" s="751" t="s">
        <v>1666</v>
      </c>
      <c r="BA53" s="389">
        <v>12.48</v>
      </c>
      <c r="BB53" s="751" t="s">
        <v>1667</v>
      </c>
      <c r="BC53" s="530" t="s">
        <v>485</v>
      </c>
      <c r="BD53" s="530" t="s">
        <v>486</v>
      </c>
      <c r="BE53" s="532"/>
      <c r="BF53" s="532"/>
      <c r="BG53" s="533"/>
      <c r="BH53" s="388"/>
      <c r="BI53" s="389"/>
      <c r="BJ53" s="388"/>
      <c r="BK53" s="1576"/>
      <c r="BL53" s="1576"/>
    </row>
    <row r="54" spans="1:64" s="251" customFormat="1" ht="10.5" customHeight="1">
      <c r="A54" s="491"/>
      <c r="B54" s="980" t="s">
        <v>1091</v>
      </c>
      <c r="C54" s="825" t="s">
        <v>1284</v>
      </c>
      <c r="D54" s="974" t="s">
        <v>2110</v>
      </c>
      <c r="E54" s="434">
        <v>5.0999999999999996</v>
      </c>
      <c r="F54" s="974" t="s">
        <v>2111</v>
      </c>
      <c r="G54" s="973" t="s">
        <v>485</v>
      </c>
      <c r="H54" s="973" t="s">
        <v>486</v>
      </c>
      <c r="I54" s="491"/>
      <c r="J54" s="980" t="s">
        <v>1086</v>
      </c>
      <c r="K54" s="977" t="s">
        <v>1285</v>
      </c>
      <c r="L54" s="1654" t="s">
        <v>1249</v>
      </c>
      <c r="M54" s="473">
        <v>9.4499999999999993</v>
      </c>
      <c r="N54" s="1654" t="s">
        <v>1253</v>
      </c>
      <c r="O54" s="973" t="s">
        <v>485</v>
      </c>
      <c r="P54" s="973" t="s">
        <v>486</v>
      </c>
      <c r="Q54" s="491"/>
      <c r="R54" s="977" t="s">
        <v>1201</v>
      </c>
      <c r="S54" s="977" t="s">
        <v>1285</v>
      </c>
      <c r="T54" s="987" t="s">
        <v>2320</v>
      </c>
      <c r="U54" s="473">
        <v>6.99</v>
      </c>
      <c r="V54" s="987" t="s">
        <v>2321</v>
      </c>
      <c r="W54" s="973" t="s">
        <v>485</v>
      </c>
      <c r="X54" s="973" t="s">
        <v>486</v>
      </c>
      <c r="Y54" s="491"/>
      <c r="Z54" s="975" t="s">
        <v>1088</v>
      </c>
      <c r="AA54" s="985" t="s">
        <v>1286</v>
      </c>
      <c r="AB54" s="972" t="s">
        <v>569</v>
      </c>
      <c r="AC54" s="473">
        <v>8.69</v>
      </c>
      <c r="AD54" s="983" t="s">
        <v>570</v>
      </c>
      <c r="AE54" s="973" t="s">
        <v>485</v>
      </c>
      <c r="AF54" s="973" t="s">
        <v>486</v>
      </c>
      <c r="AG54" s="490"/>
      <c r="AH54" s="976" t="s">
        <v>1203</v>
      </c>
      <c r="AI54" s="979" t="s">
        <v>1397</v>
      </c>
      <c r="AJ54" s="974" t="s">
        <v>1765</v>
      </c>
      <c r="AK54" s="434">
        <v>11.5</v>
      </c>
      <c r="AL54" s="974" t="s">
        <v>1766</v>
      </c>
      <c r="AM54" s="973" t="s">
        <v>485</v>
      </c>
      <c r="AN54" s="973" t="s">
        <v>486</v>
      </c>
      <c r="AO54" s="490"/>
      <c r="AP54" s="976" t="s">
        <v>1078</v>
      </c>
      <c r="AQ54" s="825" t="s">
        <v>1287</v>
      </c>
      <c r="AR54" s="1654" t="s">
        <v>52</v>
      </c>
      <c r="AS54" s="473">
        <v>13.07</v>
      </c>
      <c r="AT54" s="1654" t="s">
        <v>65</v>
      </c>
      <c r="AU54" s="973" t="s">
        <v>485</v>
      </c>
      <c r="AV54" s="973" t="s">
        <v>486</v>
      </c>
      <c r="AW54" s="491"/>
      <c r="AX54" s="976" t="s">
        <v>1131</v>
      </c>
      <c r="AY54" s="825" t="s">
        <v>1398</v>
      </c>
      <c r="AZ54" s="981" t="s">
        <v>1680</v>
      </c>
      <c r="BA54" s="434">
        <v>12.48</v>
      </c>
      <c r="BB54" s="981" t="s">
        <v>1681</v>
      </c>
      <c r="BC54" s="973" t="s">
        <v>485</v>
      </c>
      <c r="BD54" s="973" t="s">
        <v>486</v>
      </c>
      <c r="BE54" s="532"/>
      <c r="BF54" s="532"/>
      <c r="BG54" s="532"/>
      <c r="BH54" s="388"/>
      <c r="BI54" s="389"/>
      <c r="BJ54" s="388"/>
      <c r="BK54" s="532"/>
      <c r="BL54" s="1576"/>
    </row>
    <row r="55" spans="1:64" s="251" customFormat="1" ht="14.1" customHeight="1">
      <c r="B55" s="791" t="s">
        <v>1093</v>
      </c>
      <c r="C55" s="533" t="s">
        <v>1284</v>
      </c>
      <c r="D55" s="535" t="s">
        <v>2274</v>
      </c>
      <c r="E55" s="389">
        <v>5.83</v>
      </c>
      <c r="F55" s="535" t="s">
        <v>2275</v>
      </c>
      <c r="G55" s="530" t="s">
        <v>485</v>
      </c>
      <c r="H55" s="530" t="s">
        <v>486</v>
      </c>
      <c r="I55" s="386"/>
      <c r="J55" s="791" t="s">
        <v>1087</v>
      </c>
      <c r="K55" s="531" t="s">
        <v>1285</v>
      </c>
      <c r="L55" s="327" t="s">
        <v>1250</v>
      </c>
      <c r="M55" s="383">
        <v>9.4499999999999993</v>
      </c>
      <c r="N55" s="327" t="s">
        <v>1254</v>
      </c>
      <c r="O55" s="530" t="s">
        <v>485</v>
      </c>
      <c r="P55" s="530" t="s">
        <v>486</v>
      </c>
      <c r="Q55" s="386"/>
      <c r="R55" s="791" t="s">
        <v>1202</v>
      </c>
      <c r="S55" s="531" t="s">
        <v>1285</v>
      </c>
      <c r="T55" s="327" t="s">
        <v>2366</v>
      </c>
      <c r="U55" s="383">
        <v>7</v>
      </c>
      <c r="V55" s="327" t="s">
        <v>2367</v>
      </c>
      <c r="W55" s="530" t="s">
        <v>485</v>
      </c>
      <c r="X55" s="530" t="s">
        <v>486</v>
      </c>
      <c r="Y55" s="386"/>
      <c r="Z55" s="791" t="s">
        <v>1089</v>
      </c>
      <c r="AA55" s="531" t="s">
        <v>1286</v>
      </c>
      <c r="AB55" s="327" t="s">
        <v>571</v>
      </c>
      <c r="AC55" s="383">
        <v>8.74</v>
      </c>
      <c r="AD55" s="327" t="s">
        <v>572</v>
      </c>
      <c r="AE55" s="530" t="s">
        <v>485</v>
      </c>
      <c r="AF55" s="530" t="s">
        <v>486</v>
      </c>
      <c r="AG55" s="386"/>
      <c r="AH55" s="791" t="s">
        <v>1731</v>
      </c>
      <c r="AI55" s="531" t="s">
        <v>1397</v>
      </c>
      <c r="AJ55" s="327" t="s">
        <v>1787</v>
      </c>
      <c r="AK55" s="383">
        <v>11.42</v>
      </c>
      <c r="AL55" s="327" t="s">
        <v>1788</v>
      </c>
      <c r="AM55" s="530" t="s">
        <v>485</v>
      </c>
      <c r="AN55" s="530" t="s">
        <v>486</v>
      </c>
      <c r="AO55" s="386"/>
      <c r="AP55" s="791" t="s">
        <v>1079</v>
      </c>
      <c r="AQ55" s="531" t="s">
        <v>1287</v>
      </c>
      <c r="AR55" s="327" t="s">
        <v>1</v>
      </c>
      <c r="AS55" s="383">
        <v>13.07</v>
      </c>
      <c r="AT55" s="327" t="s">
        <v>54</v>
      </c>
      <c r="AU55" s="530" t="s">
        <v>485</v>
      </c>
      <c r="AV55" s="530" t="s">
        <v>486</v>
      </c>
      <c r="AW55" s="386"/>
      <c r="AX55" s="791" t="s">
        <v>1132</v>
      </c>
      <c r="AY55" s="531" t="s">
        <v>1398</v>
      </c>
      <c r="AZ55" s="327" t="s">
        <v>1695</v>
      </c>
      <c r="BA55" s="383">
        <v>12.48</v>
      </c>
      <c r="BB55" s="327" t="s">
        <v>1696</v>
      </c>
      <c r="BC55" s="530" t="s">
        <v>485</v>
      </c>
      <c r="BD55" s="530" t="s">
        <v>486</v>
      </c>
      <c r="BE55" s="411"/>
      <c r="BF55" s="411"/>
      <c r="BG55" s="411"/>
      <c r="BH55" s="39"/>
      <c r="BI55" s="40"/>
      <c r="BJ55" s="39"/>
      <c r="BK55" s="411"/>
      <c r="BL55" s="1634"/>
    </row>
    <row r="56" spans="1:64" s="253" customFormat="1" ht="13.5" customHeight="1" thickBot="1">
      <c r="A56" s="512"/>
      <c r="B56" s="1365" t="s">
        <v>1094</v>
      </c>
      <c r="C56" s="1066" t="s">
        <v>1284</v>
      </c>
      <c r="D56" s="1045" t="s">
        <v>2259</v>
      </c>
      <c r="E56" s="707">
        <v>5.93</v>
      </c>
      <c r="F56" s="1045" t="s">
        <v>2260</v>
      </c>
      <c r="G56" s="998" t="s">
        <v>485</v>
      </c>
      <c r="H56" s="998" t="s">
        <v>486</v>
      </c>
      <c r="I56" s="1088"/>
      <c r="J56" s="1365" t="s">
        <v>1088</v>
      </c>
      <c r="K56" s="1033" t="s">
        <v>1285</v>
      </c>
      <c r="L56" s="1052" t="s">
        <v>1251</v>
      </c>
      <c r="M56" s="515">
        <v>9.4499999999999993</v>
      </c>
      <c r="N56" s="1052" t="s">
        <v>1255</v>
      </c>
      <c r="O56" s="998" t="s">
        <v>485</v>
      </c>
      <c r="P56" s="998" t="s">
        <v>486</v>
      </c>
      <c r="Q56" s="1088"/>
      <c r="R56" s="1365" t="s">
        <v>1203</v>
      </c>
      <c r="S56" s="1033" t="s">
        <v>1285</v>
      </c>
      <c r="T56" s="1052" t="s">
        <v>2419</v>
      </c>
      <c r="U56" s="515">
        <v>7.24</v>
      </c>
      <c r="V56" s="1052" t="s">
        <v>2420</v>
      </c>
      <c r="W56" s="998" t="s">
        <v>485</v>
      </c>
      <c r="X56" s="998" t="s">
        <v>486</v>
      </c>
      <c r="Y56" s="1088"/>
      <c r="Z56" s="1365" t="s">
        <v>1090</v>
      </c>
      <c r="AA56" s="1033" t="s">
        <v>1286</v>
      </c>
      <c r="AB56" s="1052" t="s">
        <v>573</v>
      </c>
      <c r="AC56" s="515">
        <v>8.74</v>
      </c>
      <c r="AD56" s="1052" t="s">
        <v>574</v>
      </c>
      <c r="AE56" s="998" t="s">
        <v>485</v>
      </c>
      <c r="AF56" s="998" t="s">
        <v>486</v>
      </c>
      <c r="AG56" s="1088"/>
      <c r="AH56" s="1365" t="s">
        <v>1257</v>
      </c>
      <c r="AI56" s="1033" t="s">
        <v>1397</v>
      </c>
      <c r="AJ56" s="1052" t="s">
        <v>1789</v>
      </c>
      <c r="AK56" s="515">
        <v>11.47</v>
      </c>
      <c r="AL56" s="1052" t="s">
        <v>1790</v>
      </c>
      <c r="AM56" s="998" t="s">
        <v>485</v>
      </c>
      <c r="AN56" s="998" t="s">
        <v>486</v>
      </c>
      <c r="AO56" s="1088"/>
      <c r="AP56" s="1365" t="s">
        <v>1080</v>
      </c>
      <c r="AQ56" s="1033" t="s">
        <v>1287</v>
      </c>
      <c r="AR56" s="1052" t="s">
        <v>2</v>
      </c>
      <c r="AS56" s="515">
        <v>13.07</v>
      </c>
      <c r="AT56" s="1052" t="s">
        <v>3</v>
      </c>
      <c r="AU56" s="998" t="s">
        <v>485</v>
      </c>
      <c r="AV56" s="998" t="s">
        <v>486</v>
      </c>
      <c r="AW56" s="1088"/>
      <c r="AX56" s="1365" t="s">
        <v>1133</v>
      </c>
      <c r="AY56" s="1033" t="s">
        <v>1398</v>
      </c>
      <c r="AZ56" s="1052" t="s">
        <v>1697</v>
      </c>
      <c r="BA56" s="515">
        <v>12.48</v>
      </c>
      <c r="BB56" s="1052" t="s">
        <v>1698</v>
      </c>
      <c r="BC56" s="998" t="s">
        <v>485</v>
      </c>
      <c r="BD56" s="998" t="s">
        <v>486</v>
      </c>
      <c r="BE56" s="411"/>
      <c r="BF56" s="411"/>
      <c r="BG56" s="411"/>
      <c r="BH56" s="39"/>
      <c r="BI56" s="39"/>
      <c r="BJ56" s="39"/>
      <c r="BK56" s="411"/>
      <c r="BL56" s="1634"/>
    </row>
    <row r="57" spans="1:64" ht="14.1" customHeight="1">
      <c r="BE57" s="411"/>
      <c r="BF57" s="411"/>
      <c r="BG57" s="411"/>
      <c r="BH57" s="39"/>
      <c r="BI57" s="40"/>
      <c r="BJ57" s="39"/>
      <c r="BK57" s="411"/>
      <c r="BL57" s="1634"/>
    </row>
    <row r="58" spans="1:64" ht="14.1" customHeight="1">
      <c r="A58" s="2106" t="s">
        <v>22</v>
      </c>
      <c r="B58" s="2106"/>
      <c r="C58" s="730" t="s">
        <v>1366</v>
      </c>
      <c r="D58" s="253"/>
      <c r="E58" s="397" t="s">
        <v>1304</v>
      </c>
      <c r="BE58" s="411"/>
      <c r="BF58" s="411"/>
      <c r="BG58" s="411"/>
      <c r="BH58" s="39"/>
      <c r="BI58" s="40"/>
      <c r="BJ58" s="39"/>
      <c r="BK58" s="411"/>
      <c r="BL58" s="1634"/>
    </row>
    <row r="59" spans="1:64" ht="12.6" customHeight="1">
      <c r="AW59" s="11"/>
      <c r="AX59" s="251"/>
      <c r="AY59" s="251"/>
      <c r="AZ59" s="251"/>
      <c r="BA59" s="251"/>
      <c r="BB59" s="251"/>
      <c r="BC59" s="251"/>
      <c r="BD59" s="251"/>
      <c r="BE59" s="251"/>
      <c r="BF59" s="356"/>
      <c r="BG59" s="251"/>
      <c r="BH59" s="39"/>
      <c r="BI59" s="39"/>
      <c r="BJ59" s="39"/>
      <c r="BK59" s="251"/>
      <c r="BL59" s="39"/>
    </row>
    <row r="60" spans="1:64" s="251" customFormat="1" ht="12.6" customHeight="1">
      <c r="I60" s="253"/>
      <c r="J60" s="253"/>
      <c r="K60" s="333"/>
      <c r="L60" s="253"/>
      <c r="M60" s="253"/>
      <c r="N60" s="253"/>
      <c r="O60" s="333"/>
      <c r="P60" s="253"/>
      <c r="AO60" s="253"/>
      <c r="AP60" s="253"/>
      <c r="AQ60" s="253"/>
      <c r="AR60" s="253"/>
      <c r="AS60" s="253"/>
      <c r="AT60" s="253"/>
      <c r="AU60" s="253"/>
      <c r="AV60" s="253"/>
      <c r="AW60" s="11"/>
      <c r="AX60" s="11"/>
      <c r="AY60" s="11"/>
      <c r="AZ60" s="11"/>
      <c r="BA60" s="11"/>
      <c r="BB60" s="11"/>
      <c r="BC60" s="11"/>
      <c r="BD60" s="11"/>
      <c r="BF60" s="356"/>
      <c r="BH60" s="39"/>
      <c r="BI60" s="40"/>
      <c r="BJ60" s="39"/>
      <c r="BL60" s="39"/>
    </row>
    <row r="61" spans="1:64" s="11" customFormat="1" ht="12.6" customHeight="1">
      <c r="J61" s="251"/>
      <c r="AO61" s="253"/>
      <c r="AP61" s="400"/>
      <c r="AQ61" s="253"/>
      <c r="AR61" s="253"/>
      <c r="AS61" s="253"/>
      <c r="AT61" s="253"/>
      <c r="AU61" s="253"/>
      <c r="AV61" s="253"/>
      <c r="AW61" s="92"/>
      <c r="BE61" s="251"/>
      <c r="BF61" s="356"/>
      <c r="BG61" s="251"/>
      <c r="BH61" s="39"/>
      <c r="BI61" s="40"/>
      <c r="BJ61" s="39"/>
      <c r="BK61" s="251"/>
      <c r="BL61" s="39"/>
    </row>
    <row r="62" spans="1:64" s="11" customFormat="1" ht="12.6" customHeight="1">
      <c r="J62" s="251"/>
      <c r="AO62" s="253"/>
      <c r="AP62" s="400"/>
      <c r="AQ62" s="253"/>
      <c r="AR62" s="253"/>
      <c r="AS62" s="253"/>
      <c r="AT62" s="253"/>
      <c r="AU62" s="253"/>
      <c r="AV62" s="253"/>
      <c r="AW62" s="92"/>
      <c r="AX62" s="92"/>
      <c r="AY62" s="92"/>
      <c r="AZ62" s="92"/>
      <c r="BA62" s="92"/>
      <c r="BB62" s="92"/>
      <c r="BC62" s="92"/>
      <c r="BD62" s="92"/>
      <c r="BE62" s="253"/>
      <c r="BF62" s="400"/>
      <c r="BG62" s="253"/>
      <c r="BH62" s="253"/>
      <c r="BI62" s="253"/>
      <c r="BJ62" s="253"/>
      <c r="BK62" s="253"/>
      <c r="BL62" s="253"/>
    </row>
    <row r="63" spans="1:64" s="92" customFormat="1" ht="12.6" customHeight="1">
      <c r="J63" s="268"/>
      <c r="AO63" s="253"/>
      <c r="AP63" s="400"/>
      <c r="AQ63" s="253"/>
      <c r="AR63" s="253"/>
      <c r="AS63" s="253"/>
      <c r="AT63" s="253"/>
      <c r="AU63" s="253"/>
      <c r="AV63" s="253"/>
      <c r="AW63" s="253"/>
      <c r="BE63" s="253"/>
      <c r="BF63" s="400"/>
      <c r="BG63" s="253"/>
      <c r="BH63" s="253"/>
      <c r="BI63" s="253"/>
      <c r="BJ63" s="253"/>
      <c r="BK63" s="253"/>
      <c r="BL63" s="253"/>
    </row>
    <row r="64" spans="1:64" s="92" customFormat="1" ht="9.75" customHeight="1">
      <c r="I64" s="268"/>
      <c r="J64" s="397"/>
      <c r="K64" s="268"/>
      <c r="L64" s="268"/>
      <c r="M64" s="268"/>
      <c r="N64" s="268"/>
      <c r="O64" s="268"/>
      <c r="P64" s="268"/>
      <c r="AO64" s="253"/>
      <c r="AP64" s="400"/>
      <c r="AQ64" s="253"/>
      <c r="AR64" s="253"/>
      <c r="AS64" s="253"/>
      <c r="AT64" s="253"/>
      <c r="AU64" s="253"/>
      <c r="AV64" s="253"/>
      <c r="AW64" s="253"/>
      <c r="AX64" s="400"/>
      <c r="AY64" s="253"/>
      <c r="AZ64" s="253"/>
      <c r="BA64" s="253"/>
      <c r="BB64" s="253"/>
      <c r="BC64" s="253"/>
      <c r="BD64" s="253"/>
      <c r="BE64" s="251"/>
      <c r="BF64" s="251"/>
      <c r="BG64" s="251"/>
      <c r="BH64" s="251"/>
      <c r="BI64" s="251"/>
      <c r="BJ64" s="251"/>
      <c r="BK64" s="251"/>
      <c r="BL64" s="251"/>
    </row>
    <row r="65" spans="2:64" ht="12" customHeight="1">
      <c r="BE65" s="390"/>
      <c r="BF65" s="387"/>
      <c r="BG65" s="372"/>
      <c r="BH65" s="327"/>
      <c r="BI65" s="327"/>
      <c r="BJ65" s="327"/>
      <c r="BK65" s="384"/>
      <c r="BL65" s="358"/>
    </row>
    <row r="66" spans="2:64" ht="12" customHeight="1">
      <c r="BE66" s="390"/>
      <c r="BF66" s="387"/>
      <c r="BG66" s="372"/>
      <c r="BH66" s="331"/>
      <c r="BI66" s="39"/>
      <c r="BJ66" s="331"/>
      <c r="BK66" s="378"/>
      <c r="BL66" s="358"/>
    </row>
    <row r="67" spans="2:64" ht="12" customHeight="1">
      <c r="BE67" s="390"/>
      <c r="BF67" s="387"/>
      <c r="BG67" s="372"/>
      <c r="BH67" s="396"/>
      <c r="BI67" s="358"/>
      <c r="BJ67" s="396"/>
      <c r="BK67" s="378"/>
      <c r="BL67" s="358"/>
    </row>
    <row r="68" spans="2:64" ht="12" customHeight="1">
      <c r="BE68" s="390"/>
      <c r="BF68" s="387"/>
      <c r="BG68" s="372"/>
      <c r="BH68" s="396"/>
      <c r="BI68" s="20"/>
      <c r="BJ68" s="396"/>
      <c r="BK68" s="378"/>
      <c r="BL68" s="358"/>
    </row>
    <row r="69" spans="2:64" ht="12" customHeight="1">
      <c r="BE69" s="390"/>
      <c r="BF69" s="387"/>
      <c r="BG69" s="372"/>
      <c r="BH69" s="396"/>
      <c r="BI69" s="358"/>
      <c r="BJ69" s="396"/>
      <c r="BK69" s="378"/>
      <c r="BL69" s="358"/>
    </row>
    <row r="70" spans="2:64" s="253" customFormat="1" ht="12" customHeight="1">
      <c r="B70" s="399"/>
      <c r="G70" s="399"/>
      <c r="J70" s="398"/>
      <c r="O70" s="399"/>
      <c r="R70" s="398"/>
      <c r="W70" s="399"/>
      <c r="Z70" s="400"/>
      <c r="AH70" s="400"/>
      <c r="AP70" s="400"/>
      <c r="AX70" s="400"/>
      <c r="BE70" s="358"/>
      <c r="BF70" s="387"/>
      <c r="BG70" s="372"/>
      <c r="BH70" s="331"/>
      <c r="BI70" s="39"/>
      <c r="BJ70" s="331"/>
      <c r="BK70" s="378"/>
      <c r="BL70" s="358"/>
    </row>
    <row r="71" spans="2:64" s="253" customFormat="1" ht="12" customHeight="1">
      <c r="B71" s="399"/>
      <c r="G71" s="399"/>
      <c r="J71" s="398"/>
      <c r="O71" s="399"/>
      <c r="R71" s="398"/>
      <c r="W71" s="399"/>
      <c r="Z71" s="400"/>
      <c r="AH71" s="400"/>
      <c r="AP71" s="400"/>
      <c r="AX71" s="400"/>
      <c r="BE71" s="358"/>
      <c r="BF71" s="387"/>
      <c r="BG71" s="372"/>
      <c r="BH71" s="331"/>
      <c r="BI71" s="40"/>
      <c r="BJ71" s="331"/>
      <c r="BK71" s="378"/>
      <c r="BL71" s="358"/>
    </row>
    <row r="72" spans="2:64" s="253" customFormat="1" ht="12" customHeight="1">
      <c r="B72" s="399"/>
      <c r="G72" s="399"/>
      <c r="J72" s="398"/>
      <c r="O72" s="399"/>
      <c r="R72" s="398"/>
      <c r="W72" s="399"/>
      <c r="Z72" s="400"/>
      <c r="AH72" s="400"/>
      <c r="AP72" s="400"/>
      <c r="AX72" s="400"/>
      <c r="BE72" s="358"/>
      <c r="BF72" s="387"/>
      <c r="BG72" s="372"/>
      <c r="BH72" s="331"/>
      <c r="BI72" s="40"/>
      <c r="BJ72" s="331"/>
      <c r="BK72" s="378"/>
      <c r="BL72" s="358"/>
    </row>
    <row r="73" spans="2:64" s="253" customFormat="1" ht="12" customHeight="1">
      <c r="B73" s="399"/>
      <c r="G73" s="399"/>
      <c r="J73" s="398"/>
      <c r="O73" s="399"/>
      <c r="R73" s="398"/>
      <c r="W73" s="399"/>
      <c r="Z73" s="400"/>
      <c r="AH73" s="400"/>
      <c r="AP73" s="400"/>
      <c r="AX73" s="400"/>
      <c r="BE73" s="358"/>
      <c r="BF73" s="387"/>
      <c r="BG73" s="372"/>
      <c r="BH73" s="331"/>
      <c r="BI73" s="40"/>
      <c r="BJ73" s="331"/>
      <c r="BK73" s="378"/>
      <c r="BL73" s="358"/>
    </row>
    <row r="74" spans="2:64" s="253" customFormat="1" ht="12" customHeight="1">
      <c r="B74" s="399"/>
      <c r="G74" s="399"/>
      <c r="J74" s="398"/>
      <c r="O74" s="399"/>
      <c r="R74" s="398"/>
      <c r="W74" s="399"/>
      <c r="Z74" s="400"/>
      <c r="AH74" s="400"/>
      <c r="AP74" s="400"/>
      <c r="BE74" s="358"/>
      <c r="BF74" s="387"/>
      <c r="BG74" s="372"/>
      <c r="BH74" s="331"/>
      <c r="BI74" s="40"/>
      <c r="BJ74" s="331"/>
      <c r="BK74" s="378"/>
      <c r="BL74" s="358"/>
    </row>
    <row r="75" spans="2:64" s="253" customFormat="1" ht="12" customHeight="1">
      <c r="B75" s="399"/>
      <c r="G75" s="399"/>
      <c r="J75" s="398"/>
      <c r="O75" s="399"/>
      <c r="R75" s="398"/>
      <c r="W75" s="399"/>
      <c r="Z75" s="400"/>
      <c r="AH75" s="400"/>
      <c r="AX75" s="400"/>
      <c r="BE75" s="358"/>
      <c r="BF75" s="387"/>
      <c r="BG75" s="372"/>
      <c r="BH75" s="331"/>
      <c r="BI75" s="40"/>
      <c r="BJ75" s="331"/>
      <c r="BK75" s="378"/>
      <c r="BL75" s="358"/>
    </row>
    <row r="76" spans="2:64" s="253" customFormat="1" ht="12" customHeight="1">
      <c r="B76" s="399"/>
      <c r="G76" s="399"/>
      <c r="J76" s="398"/>
      <c r="O76" s="399"/>
      <c r="R76" s="398"/>
      <c r="W76" s="399"/>
      <c r="Z76" s="400"/>
      <c r="AH76" s="400"/>
      <c r="AP76" s="400"/>
      <c r="AX76" s="400"/>
      <c r="BF76" s="387"/>
      <c r="BG76" s="372"/>
      <c r="BH76" s="331"/>
      <c r="BI76" s="40"/>
      <c r="BJ76" s="331"/>
      <c r="BK76" s="378"/>
      <c r="BL76" s="358"/>
    </row>
    <row r="77" spans="2:64" s="253" customFormat="1" ht="12" customHeight="1">
      <c r="B77" s="399"/>
      <c r="G77" s="399"/>
      <c r="J77" s="398"/>
      <c r="O77" s="399"/>
      <c r="R77" s="398"/>
      <c r="W77" s="399"/>
      <c r="Z77" s="400"/>
      <c r="AH77" s="400"/>
      <c r="AP77" s="400"/>
      <c r="AX77" s="400"/>
      <c r="BF77" s="387"/>
      <c r="BG77" s="372"/>
      <c r="BH77" s="331"/>
      <c r="BI77" s="40"/>
      <c r="BJ77" s="331"/>
      <c r="BK77" s="378"/>
      <c r="BL77" s="358"/>
    </row>
    <row r="78" spans="2:64" s="253" customFormat="1" ht="12" customHeight="1">
      <c r="B78" s="399"/>
      <c r="G78" s="399"/>
      <c r="J78" s="398"/>
      <c r="O78" s="399"/>
      <c r="R78" s="398"/>
      <c r="W78" s="399"/>
      <c r="Z78" s="400"/>
      <c r="AH78" s="400"/>
      <c r="AP78" s="400"/>
      <c r="AW78" s="382"/>
      <c r="AX78" s="400"/>
      <c r="BF78" s="387"/>
      <c r="BG78" s="372"/>
      <c r="BH78" s="331"/>
      <c r="BI78" s="40"/>
      <c r="BJ78" s="331"/>
      <c r="BK78" s="378"/>
      <c r="BL78" s="358"/>
    </row>
    <row r="79" spans="2:64" ht="12" customHeight="1">
      <c r="AW79" s="382"/>
      <c r="AY79" s="382"/>
      <c r="AZ79" s="382"/>
      <c r="BA79" s="382"/>
      <c r="BB79" s="382"/>
      <c r="BC79" s="382"/>
      <c r="BD79" s="382"/>
      <c r="BF79" s="387"/>
      <c r="BG79" s="372"/>
      <c r="BH79" s="331"/>
      <c r="BI79" s="40"/>
      <c r="BJ79" s="331"/>
      <c r="BK79" s="378"/>
      <c r="BL79" s="358"/>
    </row>
    <row r="80" spans="2:64" s="142" customFormat="1" ht="12" customHeight="1">
      <c r="I80" s="382"/>
      <c r="J80" s="400"/>
      <c r="K80" s="382"/>
      <c r="L80" s="382"/>
      <c r="M80" s="382"/>
      <c r="N80" s="382"/>
      <c r="O80" s="382"/>
      <c r="P80" s="382"/>
      <c r="Q80" s="382"/>
      <c r="R80" s="400"/>
      <c r="S80" s="382"/>
      <c r="T80" s="382"/>
      <c r="U80" s="382"/>
      <c r="V80" s="382"/>
      <c r="W80" s="382"/>
      <c r="X80" s="382"/>
      <c r="AO80" s="382"/>
      <c r="AP80" s="400"/>
      <c r="AQ80" s="382"/>
      <c r="AR80" s="382"/>
      <c r="AS80" s="382"/>
      <c r="AT80" s="382"/>
      <c r="AU80" s="382"/>
      <c r="AV80" s="382"/>
      <c r="AW80" s="382"/>
      <c r="AX80" s="400"/>
      <c r="AY80" s="382"/>
      <c r="AZ80" s="382"/>
      <c r="BA80" s="382"/>
      <c r="BB80" s="382"/>
      <c r="BC80" s="382"/>
      <c r="BD80" s="382"/>
      <c r="BE80" s="253"/>
      <c r="BF80" s="400"/>
      <c r="BG80" s="253"/>
      <c r="BH80" s="253"/>
      <c r="BI80" s="253"/>
      <c r="BJ80" s="253"/>
      <c r="BK80" s="253"/>
      <c r="BL80" s="253"/>
    </row>
    <row r="81" spans="9:64" s="142" customFormat="1" ht="12" customHeight="1">
      <c r="I81" s="382"/>
      <c r="J81" s="400"/>
      <c r="K81" s="382"/>
      <c r="L81" s="382"/>
      <c r="M81" s="382"/>
      <c r="N81" s="382"/>
      <c r="O81" s="382"/>
      <c r="P81" s="382"/>
      <c r="Q81" s="382"/>
      <c r="R81" s="400"/>
      <c r="S81" s="382"/>
      <c r="T81" s="382"/>
      <c r="U81" s="382"/>
      <c r="V81" s="382"/>
      <c r="W81" s="382"/>
      <c r="X81" s="382"/>
      <c r="Y81" s="382"/>
      <c r="Z81" s="400"/>
      <c r="AA81" s="382"/>
      <c r="AB81" s="382"/>
      <c r="AC81" s="382"/>
      <c r="AD81" s="382"/>
      <c r="AE81" s="382"/>
      <c r="AF81" s="382"/>
      <c r="AO81" s="382"/>
      <c r="AP81" s="400"/>
      <c r="AQ81" s="382"/>
      <c r="AR81" s="382"/>
      <c r="AS81" s="382"/>
      <c r="AT81" s="382"/>
      <c r="AU81" s="382"/>
      <c r="AV81" s="382"/>
      <c r="AW81" s="382"/>
      <c r="AX81" s="400"/>
      <c r="AY81" s="382"/>
      <c r="AZ81" s="382"/>
      <c r="BA81" s="382"/>
      <c r="BB81" s="382"/>
      <c r="BC81" s="382"/>
      <c r="BD81" s="382"/>
      <c r="BE81" s="253"/>
      <c r="BF81" s="400"/>
      <c r="BG81" s="253"/>
      <c r="BH81" s="253"/>
      <c r="BI81" s="253"/>
      <c r="BJ81" s="253"/>
      <c r="BK81" s="253"/>
      <c r="BL81" s="253"/>
    </row>
    <row r="82" spans="9:64" s="142" customFormat="1" ht="12" customHeight="1">
      <c r="I82" s="382"/>
      <c r="J82" s="400"/>
      <c r="K82" s="382"/>
      <c r="L82" s="382"/>
      <c r="M82" s="382"/>
      <c r="N82" s="382"/>
      <c r="O82" s="382"/>
      <c r="P82" s="382"/>
      <c r="Q82" s="382"/>
      <c r="R82" s="400"/>
      <c r="S82" s="382"/>
      <c r="T82" s="382"/>
      <c r="U82" s="382"/>
      <c r="V82" s="382"/>
      <c r="W82" s="382"/>
      <c r="X82" s="382"/>
      <c r="Y82" s="382"/>
      <c r="Z82" s="400"/>
      <c r="AA82" s="382"/>
      <c r="AB82" s="382"/>
      <c r="AC82" s="382"/>
      <c r="AD82" s="382"/>
      <c r="AE82" s="382"/>
      <c r="AF82" s="382"/>
      <c r="AO82" s="382"/>
      <c r="AP82" s="400"/>
      <c r="AQ82" s="382"/>
      <c r="AR82" s="382"/>
      <c r="AS82" s="382"/>
      <c r="AT82" s="382"/>
      <c r="AU82" s="382"/>
      <c r="AV82" s="382"/>
      <c r="AW82" s="382"/>
      <c r="AX82" s="400"/>
      <c r="AY82" s="382"/>
      <c r="AZ82" s="382"/>
      <c r="BA82" s="382"/>
      <c r="BB82" s="382"/>
      <c r="BC82" s="382"/>
      <c r="BD82" s="382"/>
      <c r="BE82" s="253"/>
      <c r="BF82" s="400"/>
      <c r="BG82" s="253"/>
      <c r="BH82" s="253"/>
      <c r="BI82" s="253"/>
      <c r="BJ82" s="253"/>
      <c r="BK82" s="253"/>
      <c r="BL82" s="253"/>
    </row>
    <row r="83" spans="9:64" s="142" customFormat="1" ht="12" customHeight="1">
      <c r="I83" s="382"/>
      <c r="J83" s="400"/>
      <c r="K83" s="382"/>
      <c r="L83" s="382"/>
      <c r="M83" s="382"/>
      <c r="N83" s="382"/>
      <c r="O83" s="382"/>
      <c r="P83" s="382"/>
      <c r="Q83" s="382"/>
      <c r="R83" s="400"/>
      <c r="S83" s="382"/>
      <c r="T83" s="382"/>
      <c r="U83" s="382"/>
      <c r="V83" s="382"/>
      <c r="W83" s="382"/>
      <c r="X83" s="382"/>
      <c r="Y83" s="382"/>
      <c r="Z83" s="400"/>
      <c r="AA83" s="382"/>
      <c r="AB83" s="382"/>
      <c r="AC83" s="382"/>
      <c r="AD83" s="382"/>
      <c r="AE83" s="382"/>
      <c r="AF83" s="382"/>
      <c r="AG83" s="382"/>
      <c r="AH83" s="400"/>
      <c r="AI83" s="382"/>
      <c r="AJ83" s="382"/>
      <c r="AK83" s="382"/>
      <c r="AL83" s="382"/>
      <c r="AM83" s="382"/>
      <c r="AN83" s="382"/>
      <c r="AO83" s="358"/>
      <c r="AP83" s="400"/>
      <c r="AQ83" s="382"/>
      <c r="AR83" s="382"/>
      <c r="AS83" s="382"/>
      <c r="AT83" s="382"/>
      <c r="AU83" s="401"/>
      <c r="AV83" s="382"/>
      <c r="AW83" s="382"/>
      <c r="AX83" s="400"/>
      <c r="AY83" s="382"/>
      <c r="AZ83" s="382"/>
      <c r="BA83" s="382"/>
      <c r="BB83" s="382"/>
      <c r="BC83" s="382"/>
      <c r="BD83" s="382"/>
      <c r="BE83" s="253"/>
      <c r="BF83" s="400"/>
      <c r="BG83" s="253"/>
      <c r="BH83" s="253"/>
      <c r="BI83" s="253"/>
      <c r="BJ83" s="253"/>
      <c r="BK83" s="253"/>
      <c r="BL83" s="253"/>
    </row>
    <row r="84" spans="9:64" s="142" customFormat="1" ht="12" customHeight="1">
      <c r="I84" s="382"/>
      <c r="J84" s="400"/>
      <c r="K84" s="382"/>
      <c r="L84" s="382"/>
      <c r="M84" s="382"/>
      <c r="N84" s="382"/>
      <c r="O84" s="382"/>
      <c r="P84" s="382"/>
      <c r="Q84" s="382"/>
      <c r="R84" s="400"/>
      <c r="S84" s="382"/>
      <c r="T84" s="382"/>
      <c r="U84" s="382"/>
      <c r="V84" s="382"/>
      <c r="W84" s="382"/>
      <c r="X84" s="382"/>
      <c r="Y84" s="382"/>
      <c r="Z84" s="400"/>
      <c r="AA84" s="382"/>
      <c r="AB84" s="382"/>
      <c r="AC84" s="382"/>
      <c r="AD84" s="382"/>
      <c r="AE84" s="382"/>
      <c r="AF84" s="382"/>
      <c r="AO84" s="358"/>
      <c r="AP84" s="400"/>
      <c r="AQ84" s="382"/>
      <c r="AR84" s="382"/>
      <c r="AS84" s="382"/>
      <c r="AT84" s="382"/>
      <c r="AU84" s="401"/>
      <c r="AV84" s="382"/>
      <c r="AW84" s="382"/>
      <c r="AX84" s="400"/>
      <c r="AY84" s="382"/>
      <c r="AZ84" s="382"/>
      <c r="BA84" s="382"/>
      <c r="BB84" s="382"/>
      <c r="BC84" s="382"/>
      <c r="BD84" s="382"/>
      <c r="BE84" s="382"/>
      <c r="BF84" s="400"/>
      <c r="BG84" s="382"/>
      <c r="BH84" s="382"/>
      <c r="BI84" s="382"/>
      <c r="BJ84" s="382"/>
      <c r="BK84" s="382"/>
      <c r="BL84" s="382"/>
    </row>
    <row r="85" spans="9:64" s="142" customFormat="1" ht="12" customHeight="1">
      <c r="I85" s="382"/>
      <c r="J85" s="400"/>
      <c r="K85" s="382"/>
      <c r="L85" s="382"/>
      <c r="M85" s="382"/>
      <c r="N85" s="382"/>
      <c r="O85" s="382"/>
      <c r="P85" s="382"/>
      <c r="Q85" s="382"/>
      <c r="R85" s="400"/>
      <c r="S85" s="382"/>
      <c r="T85" s="382"/>
      <c r="U85" s="382"/>
      <c r="V85" s="382"/>
      <c r="W85" s="382"/>
      <c r="X85" s="382"/>
      <c r="Y85" s="382"/>
      <c r="Z85" s="400"/>
      <c r="AA85" s="382"/>
      <c r="AB85" s="382"/>
      <c r="AC85" s="382"/>
      <c r="AD85" s="382"/>
      <c r="AE85" s="382"/>
      <c r="AF85" s="382"/>
      <c r="AO85" s="358"/>
      <c r="AP85" s="400"/>
      <c r="AQ85" s="382"/>
      <c r="AR85" s="382"/>
      <c r="AS85" s="382"/>
      <c r="AT85" s="382"/>
      <c r="AU85" s="401"/>
      <c r="AV85" s="382"/>
      <c r="AW85" s="382"/>
      <c r="AX85" s="400"/>
      <c r="AY85" s="382"/>
      <c r="AZ85" s="382"/>
      <c r="BA85" s="382"/>
      <c r="BB85" s="382"/>
      <c r="BC85" s="382"/>
      <c r="BD85" s="382"/>
      <c r="BE85" s="382"/>
      <c r="BF85" s="400"/>
      <c r="BG85" s="382"/>
      <c r="BH85" s="382"/>
      <c r="BI85" s="382"/>
      <c r="BJ85" s="382"/>
      <c r="BK85" s="382"/>
      <c r="BL85" s="382"/>
    </row>
    <row r="86" spans="9:64" s="142" customFormat="1" ht="12" customHeight="1">
      <c r="I86" s="382"/>
      <c r="J86" s="400"/>
      <c r="K86" s="382"/>
      <c r="L86" s="382"/>
      <c r="M86" s="382"/>
      <c r="N86" s="382"/>
      <c r="O86" s="382"/>
      <c r="P86" s="382"/>
      <c r="Q86" s="382"/>
      <c r="R86" s="400"/>
      <c r="S86" s="382"/>
      <c r="T86" s="382"/>
      <c r="U86" s="382"/>
      <c r="V86" s="382"/>
      <c r="W86" s="382"/>
      <c r="X86" s="382"/>
      <c r="Y86" s="382"/>
      <c r="Z86" s="400"/>
      <c r="AA86" s="382"/>
      <c r="AB86" s="382"/>
      <c r="AC86" s="382"/>
      <c r="AD86" s="382"/>
      <c r="AE86" s="382"/>
      <c r="AF86" s="382"/>
      <c r="AO86" s="382"/>
      <c r="AP86" s="400"/>
      <c r="AQ86" s="382"/>
      <c r="AR86" s="382"/>
      <c r="AS86" s="382"/>
      <c r="AT86" s="382"/>
      <c r="AU86" s="382"/>
      <c r="AV86" s="382"/>
      <c r="AW86" s="382"/>
      <c r="AX86" s="400"/>
      <c r="AY86" s="382"/>
      <c r="AZ86" s="382"/>
      <c r="BA86" s="382"/>
      <c r="BB86" s="382"/>
      <c r="BC86" s="382"/>
      <c r="BD86" s="382"/>
      <c r="BE86" s="382"/>
      <c r="BF86" s="400"/>
      <c r="BG86" s="382"/>
      <c r="BH86" s="382"/>
      <c r="BI86" s="382"/>
      <c r="BJ86" s="382"/>
      <c r="BK86" s="382"/>
      <c r="BL86" s="382"/>
    </row>
    <row r="87" spans="9:64" s="142" customFormat="1" ht="12" customHeight="1">
      <c r="I87" s="382"/>
      <c r="J87" s="400"/>
      <c r="K87" s="382"/>
      <c r="L87" s="382"/>
      <c r="M87" s="382"/>
      <c r="N87" s="382"/>
      <c r="O87" s="382"/>
      <c r="P87" s="382"/>
      <c r="Q87" s="382"/>
      <c r="R87" s="400"/>
      <c r="S87" s="382"/>
      <c r="T87" s="382"/>
      <c r="U87" s="382"/>
      <c r="V87" s="382"/>
      <c r="W87" s="382"/>
      <c r="X87" s="382"/>
      <c r="Y87" s="382"/>
      <c r="Z87" s="400"/>
      <c r="AA87" s="382"/>
      <c r="AB87" s="382"/>
      <c r="AC87" s="382"/>
      <c r="AD87" s="382"/>
      <c r="AE87" s="382"/>
      <c r="AF87" s="382"/>
      <c r="AO87" s="382"/>
      <c r="AP87" s="400"/>
      <c r="AQ87" s="382"/>
      <c r="AR87" s="382"/>
      <c r="AS87" s="382"/>
      <c r="AT87" s="382"/>
      <c r="AU87" s="382"/>
      <c r="AV87" s="382"/>
      <c r="AW87" s="382"/>
      <c r="AX87" s="400"/>
      <c r="AY87" s="382"/>
      <c r="AZ87" s="382"/>
      <c r="BA87" s="382"/>
      <c r="BB87" s="382"/>
      <c r="BC87" s="382"/>
      <c r="BD87" s="382"/>
      <c r="BE87" s="358"/>
      <c r="BF87" s="400"/>
      <c r="BG87" s="382"/>
      <c r="BH87" s="382"/>
      <c r="BI87" s="382"/>
      <c r="BJ87" s="382"/>
      <c r="BK87" s="401"/>
      <c r="BL87" s="382"/>
    </row>
    <row r="88" spans="9:64" s="142" customFormat="1" ht="12" customHeight="1">
      <c r="I88" s="382"/>
      <c r="J88" s="400"/>
      <c r="K88" s="382"/>
      <c r="L88" s="382"/>
      <c r="M88" s="382"/>
      <c r="N88" s="382"/>
      <c r="O88" s="382"/>
      <c r="P88" s="382"/>
      <c r="Q88" s="382"/>
      <c r="R88" s="400"/>
      <c r="S88" s="382"/>
      <c r="T88" s="382"/>
      <c r="U88" s="382"/>
      <c r="V88" s="382"/>
      <c r="W88" s="382"/>
      <c r="X88" s="382"/>
      <c r="Y88" s="382"/>
      <c r="Z88" s="400"/>
      <c r="AA88" s="382"/>
      <c r="AB88" s="382"/>
      <c r="AC88" s="382"/>
      <c r="AD88" s="382"/>
      <c r="AE88" s="382"/>
      <c r="AF88" s="382"/>
      <c r="AO88" s="382"/>
      <c r="AP88" s="400"/>
      <c r="AQ88" s="382"/>
      <c r="AR88" s="382"/>
      <c r="AS88" s="382"/>
      <c r="AT88" s="382"/>
      <c r="AU88" s="382"/>
      <c r="AV88" s="382"/>
      <c r="AW88" s="382"/>
      <c r="AX88" s="400"/>
      <c r="AY88" s="382"/>
      <c r="AZ88" s="382"/>
      <c r="BA88" s="382"/>
      <c r="BB88" s="382"/>
      <c r="BC88" s="382"/>
      <c r="BD88" s="382"/>
      <c r="BE88" s="358"/>
      <c r="BF88" s="400"/>
      <c r="BG88" s="382"/>
      <c r="BH88" s="382"/>
      <c r="BI88" s="382"/>
      <c r="BJ88" s="382"/>
      <c r="BK88" s="401"/>
      <c r="BL88" s="382"/>
    </row>
    <row r="89" spans="9:64" s="142" customFormat="1" ht="12" customHeight="1">
      <c r="I89" s="382"/>
      <c r="J89" s="400"/>
      <c r="K89" s="382"/>
      <c r="L89" s="382"/>
      <c r="M89" s="382"/>
      <c r="N89" s="382"/>
      <c r="O89" s="382"/>
      <c r="P89" s="382"/>
      <c r="Q89" s="382"/>
      <c r="R89" s="400"/>
      <c r="S89" s="382"/>
      <c r="T89" s="382"/>
      <c r="U89" s="382"/>
      <c r="V89" s="382"/>
      <c r="W89" s="382"/>
      <c r="X89" s="382"/>
      <c r="Y89" s="382"/>
      <c r="Z89" s="400"/>
      <c r="AA89" s="382"/>
      <c r="AB89" s="382"/>
      <c r="AC89" s="382"/>
      <c r="AD89" s="382"/>
      <c r="AE89" s="382"/>
      <c r="AF89" s="382"/>
      <c r="AO89" s="382"/>
      <c r="AP89" s="400"/>
      <c r="AQ89" s="382"/>
      <c r="AR89" s="382"/>
      <c r="AS89" s="382"/>
      <c r="AT89" s="382"/>
      <c r="AU89" s="382"/>
      <c r="AV89" s="382"/>
      <c r="AW89" s="382"/>
      <c r="AX89" s="400"/>
      <c r="AY89" s="382"/>
      <c r="AZ89" s="382"/>
      <c r="BA89" s="382"/>
      <c r="BB89" s="382"/>
      <c r="BC89" s="382"/>
      <c r="BD89" s="382"/>
      <c r="BE89" s="358"/>
      <c r="BF89" s="400"/>
      <c r="BG89" s="382"/>
      <c r="BH89" s="382"/>
      <c r="BI89" s="382"/>
      <c r="BJ89" s="382"/>
      <c r="BK89" s="401"/>
      <c r="BL89" s="382"/>
    </row>
    <row r="90" spans="9:64" s="142" customFormat="1" ht="12" customHeight="1">
      <c r="I90" s="382"/>
      <c r="J90" s="400"/>
      <c r="K90" s="382"/>
      <c r="L90" s="382"/>
      <c r="M90" s="382"/>
      <c r="N90" s="382"/>
      <c r="O90" s="382"/>
      <c r="P90" s="382"/>
      <c r="Q90" s="382"/>
      <c r="R90" s="400"/>
      <c r="S90" s="382"/>
      <c r="T90" s="382"/>
      <c r="U90" s="382"/>
      <c r="V90" s="382"/>
      <c r="W90" s="382"/>
      <c r="X90" s="382"/>
      <c r="Y90" s="382"/>
      <c r="Z90" s="400"/>
      <c r="AA90" s="382"/>
      <c r="AB90" s="382"/>
      <c r="AC90" s="382"/>
      <c r="AD90" s="382"/>
      <c r="AE90" s="382"/>
      <c r="AF90" s="382"/>
      <c r="AO90" s="382"/>
      <c r="AP90" s="400"/>
      <c r="AQ90" s="382"/>
      <c r="AR90" s="382"/>
      <c r="AS90" s="382"/>
      <c r="AT90" s="382"/>
      <c r="AU90" s="382"/>
      <c r="AV90" s="382"/>
      <c r="AW90" s="382"/>
      <c r="AX90" s="400"/>
      <c r="AY90" s="382"/>
      <c r="AZ90" s="382"/>
      <c r="BA90" s="382"/>
      <c r="BB90" s="382"/>
      <c r="BC90" s="382"/>
      <c r="BD90" s="382"/>
      <c r="BE90" s="382"/>
      <c r="BF90" s="400"/>
      <c r="BG90" s="382"/>
      <c r="BH90" s="382"/>
      <c r="BI90" s="382"/>
      <c r="BJ90" s="382"/>
      <c r="BK90" s="382"/>
      <c r="BL90" s="382"/>
    </row>
    <row r="91" spans="9:64" s="142" customFormat="1" ht="12" customHeight="1">
      <c r="I91" s="382"/>
      <c r="J91" s="400"/>
      <c r="K91" s="382"/>
      <c r="L91" s="382"/>
      <c r="M91" s="382"/>
      <c r="N91" s="382"/>
      <c r="O91" s="382"/>
      <c r="P91" s="382"/>
      <c r="Q91" s="382"/>
      <c r="R91" s="400"/>
      <c r="S91" s="382"/>
      <c r="T91" s="382"/>
      <c r="U91" s="382"/>
      <c r="V91" s="382"/>
      <c r="W91" s="382"/>
      <c r="X91" s="382"/>
      <c r="Y91" s="382"/>
      <c r="Z91" s="400"/>
      <c r="AA91" s="382"/>
      <c r="AB91" s="382"/>
      <c r="AC91" s="382"/>
      <c r="AD91" s="382"/>
      <c r="AE91" s="382"/>
      <c r="AF91" s="382"/>
      <c r="AO91" s="382"/>
      <c r="AP91" s="400"/>
      <c r="AQ91" s="382"/>
      <c r="AR91" s="382"/>
      <c r="AS91" s="382"/>
      <c r="AT91" s="382"/>
      <c r="AU91" s="382"/>
      <c r="AV91" s="382"/>
      <c r="AW91" s="382"/>
      <c r="AX91" s="400"/>
      <c r="AY91" s="382"/>
      <c r="AZ91" s="382"/>
      <c r="BA91" s="382"/>
      <c r="BB91" s="382"/>
      <c r="BC91" s="382"/>
      <c r="BD91" s="382"/>
      <c r="BE91" s="382"/>
      <c r="BF91" s="400"/>
      <c r="BG91" s="382"/>
      <c r="BH91" s="382"/>
      <c r="BI91" s="382"/>
      <c r="BJ91" s="382"/>
      <c r="BK91" s="382"/>
      <c r="BL91" s="382"/>
    </row>
    <row r="92" spans="9:64" s="142" customFormat="1" ht="12" customHeight="1">
      <c r="I92" s="382"/>
      <c r="J92" s="400"/>
      <c r="K92" s="382"/>
      <c r="L92" s="382"/>
      <c r="M92" s="382"/>
      <c r="N92" s="382"/>
      <c r="O92" s="382"/>
      <c r="P92" s="382"/>
      <c r="Q92" s="382"/>
      <c r="R92" s="400"/>
      <c r="S92" s="382"/>
      <c r="T92" s="382"/>
      <c r="U92" s="382"/>
      <c r="V92" s="382"/>
      <c r="W92" s="382"/>
      <c r="X92" s="382"/>
      <c r="Y92" s="382"/>
      <c r="Z92" s="400"/>
      <c r="AA92" s="382"/>
      <c r="AB92" s="382"/>
      <c r="AC92" s="382"/>
      <c r="AD92" s="382"/>
      <c r="AE92" s="382"/>
      <c r="AF92" s="382"/>
      <c r="AG92" s="382"/>
      <c r="AH92" s="400"/>
      <c r="AI92" s="382"/>
      <c r="AJ92" s="382"/>
      <c r="AK92" s="382"/>
      <c r="AL92" s="382"/>
      <c r="AM92" s="382"/>
      <c r="AN92" s="382"/>
      <c r="AO92" s="382"/>
      <c r="AP92" s="400"/>
      <c r="AQ92" s="382"/>
      <c r="AR92" s="382"/>
      <c r="AS92" s="382"/>
      <c r="AT92" s="382"/>
      <c r="AU92" s="382"/>
      <c r="AV92" s="382"/>
      <c r="AW92" s="382"/>
      <c r="AX92" s="400"/>
      <c r="AY92" s="382"/>
      <c r="AZ92" s="382"/>
      <c r="BA92" s="382"/>
      <c r="BB92" s="382"/>
      <c r="BC92" s="382"/>
      <c r="BD92" s="382"/>
      <c r="BE92" s="382"/>
      <c r="BF92" s="400"/>
      <c r="BG92" s="382"/>
      <c r="BH92" s="382"/>
      <c r="BI92" s="382"/>
      <c r="BJ92" s="382"/>
      <c r="BK92" s="382"/>
      <c r="BL92" s="382"/>
    </row>
    <row r="93" spans="9:64" s="142" customFormat="1" ht="12" customHeight="1">
      <c r="I93" s="382"/>
      <c r="J93" s="400"/>
      <c r="K93" s="382"/>
      <c r="L93" s="382"/>
      <c r="M93" s="382"/>
      <c r="N93" s="382"/>
      <c r="O93" s="382"/>
      <c r="P93" s="382"/>
      <c r="Q93" s="382"/>
      <c r="R93" s="400"/>
      <c r="S93" s="382"/>
      <c r="T93" s="382"/>
      <c r="U93" s="382"/>
      <c r="V93" s="382"/>
      <c r="W93" s="382"/>
      <c r="X93" s="382"/>
      <c r="Y93" s="382"/>
      <c r="Z93" s="400"/>
      <c r="AA93" s="382"/>
      <c r="AB93" s="382"/>
      <c r="AC93" s="382"/>
      <c r="AD93" s="382"/>
      <c r="AE93" s="382"/>
      <c r="AF93" s="382"/>
      <c r="AG93" s="382"/>
      <c r="AH93" s="400"/>
      <c r="AI93" s="382"/>
      <c r="AJ93" s="382"/>
      <c r="AK93" s="382"/>
      <c r="AL93" s="382"/>
      <c r="AM93" s="382"/>
      <c r="AN93" s="382"/>
      <c r="AO93" s="382"/>
      <c r="AP93" s="400"/>
      <c r="AQ93" s="382"/>
      <c r="AR93" s="382"/>
      <c r="AS93" s="382"/>
      <c r="AT93" s="382"/>
      <c r="AU93" s="382"/>
      <c r="AV93" s="382"/>
      <c r="AW93" s="382"/>
      <c r="AX93" s="400"/>
      <c r="AY93" s="382"/>
      <c r="AZ93" s="382"/>
      <c r="BA93" s="382"/>
      <c r="BB93" s="382"/>
      <c r="BC93" s="382"/>
      <c r="BD93" s="382"/>
      <c r="BE93" s="382"/>
      <c r="BF93" s="400"/>
      <c r="BG93" s="382"/>
      <c r="BH93" s="382"/>
      <c r="BI93" s="382"/>
      <c r="BJ93" s="382"/>
      <c r="BK93" s="382"/>
      <c r="BL93" s="382"/>
    </row>
    <row r="94" spans="9:64" s="142" customFormat="1" ht="12" customHeight="1">
      <c r="I94" s="382"/>
      <c r="J94" s="400"/>
      <c r="K94" s="382"/>
      <c r="L94" s="382"/>
      <c r="M94" s="382"/>
      <c r="N94" s="382"/>
      <c r="O94" s="382"/>
      <c r="P94" s="382"/>
      <c r="Q94" s="382"/>
      <c r="R94" s="400"/>
      <c r="S94" s="382"/>
      <c r="T94" s="382"/>
      <c r="U94" s="382"/>
      <c r="V94" s="382"/>
      <c r="W94" s="382"/>
      <c r="X94" s="382"/>
      <c r="Y94" s="382"/>
      <c r="Z94" s="400"/>
      <c r="AA94" s="382"/>
      <c r="AB94" s="382"/>
      <c r="AC94" s="382"/>
      <c r="AD94" s="382"/>
      <c r="AE94" s="382"/>
      <c r="AF94" s="382"/>
      <c r="AG94" s="382"/>
      <c r="AH94" s="400"/>
      <c r="AI94" s="382"/>
      <c r="AJ94" s="382"/>
      <c r="AK94" s="382"/>
      <c r="AL94" s="382"/>
      <c r="AM94" s="382"/>
      <c r="AN94" s="382"/>
      <c r="AO94" s="382"/>
      <c r="AP94" s="400"/>
      <c r="AQ94" s="382"/>
      <c r="AR94" s="382"/>
      <c r="AS94" s="382"/>
      <c r="AT94" s="382"/>
      <c r="AU94" s="382"/>
      <c r="AV94" s="382"/>
      <c r="AW94" s="382"/>
      <c r="AX94" s="400"/>
      <c r="AY94" s="382"/>
      <c r="AZ94" s="382"/>
      <c r="BA94" s="382"/>
      <c r="BB94" s="382"/>
      <c r="BC94" s="382"/>
      <c r="BD94" s="382"/>
      <c r="BE94" s="382"/>
      <c r="BF94" s="400"/>
      <c r="BG94" s="382"/>
      <c r="BH94" s="382"/>
      <c r="BI94" s="382"/>
      <c r="BJ94" s="382"/>
      <c r="BK94" s="382"/>
      <c r="BL94" s="382"/>
    </row>
    <row r="95" spans="9:64" s="142" customFormat="1" ht="12" customHeight="1">
      <c r="I95" s="382"/>
      <c r="J95" s="400"/>
      <c r="K95" s="382"/>
      <c r="L95" s="382"/>
      <c r="M95" s="382"/>
      <c r="N95" s="382"/>
      <c r="O95" s="382"/>
      <c r="P95" s="382"/>
      <c r="Q95" s="382"/>
      <c r="R95" s="400"/>
      <c r="S95" s="382"/>
      <c r="T95" s="382"/>
      <c r="U95" s="382"/>
      <c r="V95" s="382"/>
      <c r="W95" s="382"/>
      <c r="X95" s="382"/>
      <c r="Y95" s="382"/>
      <c r="Z95" s="400"/>
      <c r="AA95" s="382"/>
      <c r="AB95" s="382"/>
      <c r="AC95" s="382"/>
      <c r="AD95" s="382"/>
      <c r="AE95" s="382"/>
      <c r="AF95" s="382"/>
      <c r="AG95" s="382"/>
      <c r="AH95" s="400"/>
      <c r="AI95" s="382"/>
      <c r="AJ95" s="382"/>
      <c r="AK95" s="382"/>
      <c r="AL95" s="382"/>
      <c r="AM95" s="382"/>
      <c r="AN95" s="382"/>
      <c r="AO95" s="382"/>
      <c r="AP95" s="400"/>
      <c r="AQ95" s="382"/>
      <c r="AR95" s="382"/>
      <c r="AS95" s="382"/>
      <c r="AT95" s="382"/>
      <c r="AU95" s="382"/>
      <c r="AV95" s="382"/>
      <c r="AW95" s="382"/>
      <c r="AX95" s="400"/>
      <c r="AY95" s="382"/>
      <c r="AZ95" s="382"/>
      <c r="BA95" s="382"/>
      <c r="BB95" s="382"/>
      <c r="BC95" s="382"/>
      <c r="BD95" s="382"/>
      <c r="BE95" s="382"/>
      <c r="BF95" s="400"/>
      <c r="BG95" s="382"/>
      <c r="BH95" s="382"/>
      <c r="BI95" s="382"/>
      <c r="BJ95" s="382"/>
      <c r="BK95" s="382"/>
      <c r="BL95" s="382"/>
    </row>
    <row r="96" spans="9:64" s="142" customFormat="1" ht="12" customHeight="1">
      <c r="I96" s="382"/>
      <c r="J96" s="400"/>
      <c r="K96" s="382"/>
      <c r="L96" s="382"/>
      <c r="M96" s="382"/>
      <c r="N96" s="382"/>
      <c r="O96" s="382"/>
      <c r="P96" s="382"/>
      <c r="Q96" s="382"/>
      <c r="R96" s="400"/>
      <c r="S96" s="382"/>
      <c r="T96" s="382"/>
      <c r="U96" s="382"/>
      <c r="V96" s="382"/>
      <c r="W96" s="382"/>
      <c r="X96" s="382"/>
      <c r="Y96" s="382"/>
      <c r="Z96" s="400"/>
      <c r="AA96" s="382"/>
      <c r="AB96" s="382"/>
      <c r="AC96" s="382"/>
      <c r="AD96" s="382"/>
      <c r="AE96" s="382"/>
      <c r="AF96" s="382"/>
      <c r="AG96" s="382"/>
      <c r="AH96" s="400"/>
      <c r="AI96" s="382"/>
      <c r="AJ96" s="382"/>
      <c r="AK96" s="382"/>
      <c r="AL96" s="382"/>
      <c r="AM96" s="382"/>
      <c r="AN96" s="382"/>
      <c r="AO96" s="382"/>
      <c r="AP96" s="400"/>
      <c r="AQ96" s="382"/>
      <c r="AR96" s="382"/>
      <c r="AS96" s="382"/>
      <c r="AT96" s="382"/>
      <c r="AU96" s="382"/>
      <c r="AV96" s="382"/>
      <c r="AW96" s="382"/>
      <c r="AX96" s="400"/>
      <c r="AY96" s="382"/>
      <c r="AZ96" s="382"/>
      <c r="BA96" s="382"/>
      <c r="BB96" s="382"/>
      <c r="BC96" s="382"/>
      <c r="BD96" s="382"/>
      <c r="BE96" s="382"/>
      <c r="BF96" s="400"/>
      <c r="BG96" s="382"/>
      <c r="BH96" s="382"/>
      <c r="BI96" s="382"/>
      <c r="BJ96" s="382"/>
      <c r="BK96" s="382"/>
      <c r="BL96" s="382"/>
    </row>
    <row r="97" spans="9:64" s="142" customFormat="1" ht="12" customHeight="1">
      <c r="I97" s="382"/>
      <c r="J97" s="400"/>
      <c r="K97" s="382"/>
      <c r="L97" s="382"/>
      <c r="M97" s="382"/>
      <c r="N97" s="382"/>
      <c r="O97" s="382"/>
      <c r="P97" s="382"/>
      <c r="Q97" s="382"/>
      <c r="R97" s="400"/>
      <c r="S97" s="382"/>
      <c r="T97" s="382"/>
      <c r="U97" s="382"/>
      <c r="V97" s="382"/>
      <c r="W97" s="382"/>
      <c r="X97" s="382"/>
      <c r="Y97" s="382"/>
      <c r="Z97" s="400"/>
      <c r="AA97" s="382"/>
      <c r="AB97" s="382"/>
      <c r="AC97" s="382"/>
      <c r="AD97" s="382"/>
      <c r="AE97" s="382"/>
      <c r="AF97" s="382"/>
      <c r="AG97" s="382"/>
      <c r="AH97" s="400"/>
      <c r="AI97" s="382"/>
      <c r="AJ97" s="382"/>
      <c r="AK97" s="382"/>
      <c r="AL97" s="382"/>
      <c r="AM97" s="382"/>
      <c r="AN97" s="382"/>
      <c r="AO97" s="382"/>
      <c r="AP97" s="400"/>
      <c r="AQ97" s="382"/>
      <c r="AR97" s="382"/>
      <c r="AS97" s="382"/>
      <c r="AT97" s="382"/>
      <c r="AU97" s="382"/>
      <c r="AV97" s="382"/>
      <c r="AW97" s="382"/>
      <c r="AX97" s="400"/>
      <c r="AY97" s="382"/>
      <c r="AZ97" s="382"/>
      <c r="BA97" s="382"/>
      <c r="BB97" s="382"/>
      <c r="BC97" s="382"/>
      <c r="BD97" s="382"/>
      <c r="BE97" s="382"/>
      <c r="BF97" s="400"/>
      <c r="BG97" s="382"/>
      <c r="BH97" s="382"/>
      <c r="BI97" s="382"/>
      <c r="BJ97" s="382"/>
      <c r="BK97" s="382"/>
      <c r="BL97" s="382"/>
    </row>
    <row r="98" spans="9:64" s="142" customFormat="1" ht="12" customHeight="1">
      <c r="I98" s="382"/>
      <c r="J98" s="400"/>
      <c r="K98" s="382"/>
      <c r="L98" s="382"/>
      <c r="M98" s="382"/>
      <c r="N98" s="382"/>
      <c r="O98" s="382"/>
      <c r="P98" s="382"/>
      <c r="Q98" s="382"/>
      <c r="R98" s="400"/>
      <c r="S98" s="382"/>
      <c r="T98" s="382"/>
      <c r="U98" s="382"/>
      <c r="V98" s="382"/>
      <c r="W98" s="382"/>
      <c r="X98" s="382"/>
      <c r="Y98" s="382"/>
      <c r="Z98" s="400"/>
      <c r="AA98" s="382"/>
      <c r="AB98" s="382"/>
      <c r="AC98" s="382"/>
      <c r="AD98" s="382"/>
      <c r="AE98" s="382"/>
      <c r="AF98" s="382"/>
      <c r="AG98" s="382"/>
      <c r="AH98" s="400"/>
      <c r="AI98" s="382"/>
      <c r="AJ98" s="382"/>
      <c r="AK98" s="382"/>
      <c r="AL98" s="382"/>
      <c r="AM98" s="382"/>
      <c r="AN98" s="382"/>
      <c r="AO98" s="382"/>
      <c r="AP98" s="400"/>
      <c r="AQ98" s="382"/>
      <c r="AR98" s="382"/>
      <c r="AS98" s="382"/>
      <c r="AT98" s="382"/>
      <c r="AU98" s="382"/>
      <c r="AV98" s="382"/>
      <c r="AW98" s="382"/>
      <c r="AX98" s="400"/>
      <c r="AY98" s="382"/>
      <c r="AZ98" s="382"/>
      <c r="BA98" s="382"/>
      <c r="BB98" s="382"/>
      <c r="BC98" s="382"/>
      <c r="BD98" s="382"/>
      <c r="BE98" s="382"/>
      <c r="BF98" s="400"/>
      <c r="BG98" s="382"/>
      <c r="BH98" s="382"/>
      <c r="BI98" s="382"/>
      <c r="BJ98" s="382"/>
      <c r="BK98" s="382"/>
      <c r="BL98" s="382"/>
    </row>
    <row r="99" spans="9:64" s="142" customFormat="1" ht="12" customHeight="1">
      <c r="I99" s="382"/>
      <c r="J99" s="400"/>
      <c r="K99" s="382"/>
      <c r="L99" s="382"/>
      <c r="M99" s="382"/>
      <c r="N99" s="382"/>
      <c r="O99" s="382"/>
      <c r="P99" s="382"/>
      <c r="Q99" s="382"/>
      <c r="R99" s="400"/>
      <c r="S99" s="382"/>
      <c r="T99" s="382"/>
      <c r="U99" s="382"/>
      <c r="V99" s="382"/>
      <c r="W99" s="382"/>
      <c r="X99" s="382"/>
      <c r="Y99" s="382"/>
      <c r="Z99" s="400"/>
      <c r="AA99" s="382"/>
      <c r="AB99" s="382"/>
      <c r="AC99" s="382"/>
      <c r="AD99" s="382"/>
      <c r="AE99" s="382"/>
      <c r="AF99" s="382"/>
      <c r="AG99" s="382"/>
      <c r="AH99" s="400"/>
      <c r="AI99" s="382"/>
      <c r="AJ99" s="382"/>
      <c r="AK99" s="382"/>
      <c r="AL99" s="382"/>
      <c r="AM99" s="382"/>
      <c r="AN99" s="382"/>
      <c r="AO99" s="382"/>
      <c r="AP99" s="400"/>
      <c r="AQ99" s="382"/>
      <c r="AR99" s="382"/>
      <c r="AS99" s="382"/>
      <c r="AT99" s="382"/>
      <c r="AU99" s="382"/>
      <c r="AV99" s="382"/>
      <c r="AW99" s="382"/>
      <c r="AX99" s="400"/>
      <c r="AY99" s="382"/>
      <c r="AZ99" s="382"/>
      <c r="BA99" s="382"/>
      <c r="BB99" s="382"/>
      <c r="BC99" s="382"/>
      <c r="BD99" s="382"/>
      <c r="BE99" s="382"/>
      <c r="BF99" s="400"/>
      <c r="BG99" s="382"/>
      <c r="BH99" s="382"/>
      <c r="BI99" s="382"/>
      <c r="BJ99" s="382"/>
      <c r="BK99" s="382"/>
      <c r="BL99" s="382"/>
    </row>
    <row r="100" spans="9:64" s="142" customFormat="1" ht="12" customHeight="1">
      <c r="I100" s="382"/>
      <c r="J100" s="400"/>
      <c r="K100" s="382"/>
      <c r="L100" s="382"/>
      <c r="M100" s="382"/>
      <c r="N100" s="382"/>
      <c r="O100" s="382"/>
      <c r="P100" s="382"/>
      <c r="Q100" s="382"/>
      <c r="R100" s="400"/>
      <c r="S100" s="382"/>
      <c r="T100" s="382"/>
      <c r="U100" s="382"/>
      <c r="V100" s="382"/>
      <c r="W100" s="382"/>
      <c r="X100" s="382"/>
      <c r="Y100" s="382"/>
      <c r="Z100" s="400"/>
      <c r="AA100" s="382"/>
      <c r="AB100" s="382"/>
      <c r="AC100" s="382"/>
      <c r="AD100" s="382"/>
      <c r="AE100" s="382"/>
      <c r="AF100" s="382"/>
      <c r="AG100" s="382"/>
      <c r="AH100" s="400"/>
      <c r="AI100" s="382"/>
      <c r="AJ100" s="382"/>
      <c r="AK100" s="382"/>
      <c r="AL100" s="382"/>
      <c r="AM100" s="382"/>
      <c r="AN100" s="382"/>
      <c r="AO100" s="382"/>
      <c r="AP100" s="400"/>
      <c r="AQ100" s="382"/>
      <c r="AR100" s="382"/>
      <c r="AS100" s="382"/>
      <c r="AT100" s="382"/>
      <c r="AU100" s="382"/>
      <c r="AV100" s="382"/>
      <c r="AW100" s="382"/>
      <c r="AX100" s="400"/>
      <c r="AY100" s="382"/>
      <c r="AZ100" s="382"/>
      <c r="BA100" s="382"/>
      <c r="BB100" s="382"/>
      <c r="BC100" s="382"/>
      <c r="BD100" s="382"/>
      <c r="BE100" s="382"/>
      <c r="BF100" s="400"/>
      <c r="BG100" s="382"/>
      <c r="BH100" s="382"/>
      <c r="BI100" s="382"/>
      <c r="BJ100" s="382"/>
      <c r="BK100" s="382"/>
      <c r="BL100" s="382"/>
    </row>
    <row r="101" spans="9:64" s="142" customFormat="1" ht="12" customHeight="1">
      <c r="I101" s="382"/>
      <c r="J101" s="400"/>
      <c r="K101" s="382"/>
      <c r="L101" s="382"/>
      <c r="M101" s="382"/>
      <c r="N101" s="382"/>
      <c r="O101" s="382"/>
      <c r="P101" s="382"/>
      <c r="Q101" s="382"/>
      <c r="R101" s="400"/>
      <c r="S101" s="382"/>
      <c r="T101" s="382"/>
      <c r="U101" s="382"/>
      <c r="V101" s="382"/>
      <c r="W101" s="382"/>
      <c r="X101" s="382"/>
      <c r="Y101" s="382"/>
      <c r="Z101" s="400"/>
      <c r="AA101" s="382"/>
      <c r="AB101" s="382"/>
      <c r="AC101" s="382"/>
      <c r="AD101" s="382"/>
      <c r="AE101" s="382"/>
      <c r="AF101" s="382"/>
      <c r="AG101" s="382"/>
      <c r="AH101" s="400"/>
      <c r="AI101" s="382"/>
      <c r="AJ101" s="382"/>
      <c r="AK101" s="382"/>
      <c r="AL101" s="382"/>
      <c r="AM101" s="382"/>
      <c r="AN101" s="382"/>
      <c r="AO101" s="382"/>
      <c r="AP101" s="400"/>
      <c r="AQ101" s="382"/>
      <c r="AR101" s="382"/>
      <c r="AS101" s="382"/>
      <c r="AT101" s="382"/>
      <c r="AU101" s="382"/>
      <c r="AV101" s="382"/>
      <c r="AW101" s="382"/>
      <c r="AX101" s="400"/>
      <c r="AY101" s="382"/>
      <c r="AZ101" s="382"/>
      <c r="BA101" s="382"/>
      <c r="BB101" s="382"/>
      <c r="BC101" s="382"/>
      <c r="BD101" s="382"/>
      <c r="BE101" s="382"/>
      <c r="BF101" s="400"/>
      <c r="BG101" s="382"/>
      <c r="BH101" s="382"/>
      <c r="BI101" s="382"/>
      <c r="BJ101" s="382"/>
      <c r="BK101" s="382"/>
      <c r="BL101" s="382"/>
    </row>
    <row r="102" spans="9:64" s="142" customFormat="1" ht="12" customHeight="1">
      <c r="I102" s="382"/>
      <c r="J102" s="400"/>
      <c r="K102" s="382"/>
      <c r="L102" s="382"/>
      <c r="M102" s="382"/>
      <c r="N102" s="382"/>
      <c r="O102" s="382"/>
      <c r="P102" s="382"/>
      <c r="Q102" s="382"/>
      <c r="R102" s="400"/>
      <c r="S102" s="382"/>
      <c r="T102" s="382"/>
      <c r="U102" s="382"/>
      <c r="V102" s="382"/>
      <c r="W102" s="382"/>
      <c r="X102" s="382"/>
      <c r="Y102" s="382"/>
      <c r="Z102" s="400"/>
      <c r="AA102" s="382"/>
      <c r="AB102" s="382"/>
      <c r="AC102" s="382"/>
      <c r="AD102" s="382"/>
      <c r="AE102" s="382"/>
      <c r="AF102" s="382"/>
      <c r="AG102" s="382"/>
      <c r="AH102" s="400"/>
      <c r="AI102" s="382"/>
      <c r="AJ102" s="382"/>
      <c r="AK102" s="382"/>
      <c r="AL102" s="382"/>
      <c r="AM102" s="382"/>
      <c r="AN102" s="382"/>
      <c r="AO102" s="382"/>
      <c r="AP102" s="400"/>
      <c r="AQ102" s="382"/>
      <c r="AR102" s="382"/>
      <c r="AS102" s="382"/>
      <c r="AT102" s="382"/>
      <c r="AU102" s="382"/>
      <c r="AV102" s="382"/>
      <c r="AW102" s="382"/>
      <c r="AX102" s="400"/>
      <c r="AY102" s="382"/>
      <c r="AZ102" s="382"/>
      <c r="BA102" s="382"/>
      <c r="BB102" s="382"/>
      <c r="BC102" s="382"/>
      <c r="BD102" s="382"/>
      <c r="BE102" s="382"/>
      <c r="BF102" s="400"/>
      <c r="BG102" s="382"/>
      <c r="BH102" s="382"/>
      <c r="BI102" s="382"/>
      <c r="BJ102" s="382"/>
      <c r="BK102" s="382"/>
      <c r="BL102" s="382"/>
    </row>
    <row r="103" spans="9:64" s="142" customFormat="1" ht="12" customHeight="1">
      <c r="I103" s="382"/>
      <c r="J103" s="400"/>
      <c r="K103" s="382"/>
      <c r="L103" s="382"/>
      <c r="M103" s="382"/>
      <c r="N103" s="382"/>
      <c r="O103" s="382"/>
      <c r="P103" s="382"/>
      <c r="Q103" s="382"/>
      <c r="R103" s="400"/>
      <c r="S103" s="382"/>
      <c r="T103" s="382"/>
      <c r="U103" s="382"/>
      <c r="V103" s="382"/>
      <c r="W103" s="382"/>
      <c r="X103" s="382"/>
      <c r="Y103" s="382"/>
      <c r="Z103" s="400"/>
      <c r="AA103" s="382"/>
      <c r="AB103" s="382"/>
      <c r="AC103" s="382"/>
      <c r="AD103" s="382"/>
      <c r="AE103" s="382"/>
      <c r="AF103" s="382"/>
      <c r="AG103" s="382"/>
      <c r="AH103" s="400"/>
      <c r="AI103" s="382"/>
      <c r="AJ103" s="382"/>
      <c r="AK103" s="382"/>
      <c r="AL103" s="382"/>
      <c r="AM103" s="382"/>
      <c r="AN103" s="382"/>
      <c r="AO103" s="382"/>
      <c r="AP103" s="400"/>
      <c r="AQ103" s="382"/>
      <c r="AR103" s="382"/>
      <c r="AS103" s="382"/>
      <c r="AT103" s="382"/>
      <c r="AU103" s="382"/>
      <c r="AV103" s="382"/>
      <c r="AW103" s="382"/>
      <c r="AX103" s="400"/>
      <c r="AY103" s="382"/>
      <c r="AZ103" s="382"/>
      <c r="BA103" s="382"/>
      <c r="BB103" s="382"/>
      <c r="BC103" s="382"/>
      <c r="BD103" s="382"/>
      <c r="BE103" s="382"/>
      <c r="BF103" s="400"/>
      <c r="BG103" s="382"/>
      <c r="BH103" s="382"/>
      <c r="BI103" s="382"/>
      <c r="BJ103" s="382"/>
      <c r="BK103" s="382"/>
      <c r="BL103" s="382"/>
    </row>
    <row r="104" spans="9:64" s="142" customFormat="1" ht="12" customHeight="1">
      <c r="I104" s="382"/>
      <c r="J104" s="400"/>
      <c r="K104" s="382"/>
      <c r="L104" s="382"/>
      <c r="M104" s="382"/>
      <c r="N104" s="382"/>
      <c r="O104" s="382"/>
      <c r="P104" s="382"/>
      <c r="Q104" s="382"/>
      <c r="R104" s="400"/>
      <c r="S104" s="382"/>
      <c r="T104" s="382"/>
      <c r="U104" s="382"/>
      <c r="V104" s="382"/>
      <c r="W104" s="382"/>
      <c r="X104" s="382"/>
      <c r="Y104" s="382"/>
      <c r="Z104" s="400"/>
      <c r="AA104" s="382"/>
      <c r="AB104" s="382"/>
      <c r="AC104" s="382"/>
      <c r="AD104" s="382"/>
      <c r="AE104" s="382"/>
      <c r="AF104" s="382"/>
      <c r="AG104" s="382"/>
      <c r="AH104" s="400"/>
      <c r="AI104" s="382"/>
      <c r="AJ104" s="382"/>
      <c r="AK104" s="382"/>
      <c r="AL104" s="382"/>
      <c r="AM104" s="382"/>
      <c r="AN104" s="382"/>
      <c r="AO104" s="382"/>
      <c r="AP104" s="400"/>
      <c r="AQ104" s="382"/>
      <c r="AR104" s="382"/>
      <c r="AS104" s="382"/>
      <c r="AT104" s="382"/>
      <c r="AU104" s="382"/>
      <c r="AV104" s="382"/>
      <c r="AW104" s="382"/>
      <c r="AX104" s="400"/>
      <c r="AY104" s="382"/>
      <c r="AZ104" s="382"/>
      <c r="BA104" s="382"/>
      <c r="BB104" s="382"/>
      <c r="BC104" s="382"/>
      <c r="BD104" s="382"/>
      <c r="BE104" s="382"/>
      <c r="BF104" s="400"/>
      <c r="BG104" s="382"/>
      <c r="BH104" s="382"/>
      <c r="BI104" s="382"/>
      <c r="BJ104" s="382"/>
      <c r="BK104" s="382"/>
      <c r="BL104" s="382"/>
    </row>
    <row r="105" spans="9:64" s="142" customFormat="1" ht="12" customHeight="1">
      <c r="I105" s="382"/>
      <c r="J105" s="400"/>
      <c r="K105" s="382"/>
      <c r="L105" s="382"/>
      <c r="M105" s="382"/>
      <c r="N105" s="382"/>
      <c r="O105" s="382"/>
      <c r="P105" s="382"/>
      <c r="Q105" s="382"/>
      <c r="R105" s="400"/>
      <c r="S105" s="382"/>
      <c r="T105" s="382"/>
      <c r="U105" s="382"/>
      <c r="V105" s="382"/>
      <c r="W105" s="382"/>
      <c r="X105" s="382"/>
      <c r="Y105" s="382"/>
      <c r="Z105" s="400"/>
      <c r="AA105" s="382"/>
      <c r="AB105" s="382"/>
      <c r="AC105" s="382"/>
      <c r="AD105" s="382"/>
      <c r="AE105" s="382"/>
      <c r="AF105" s="382"/>
      <c r="AG105" s="382"/>
      <c r="AH105" s="400"/>
      <c r="AI105" s="382"/>
      <c r="AJ105" s="382"/>
      <c r="AK105" s="382"/>
      <c r="AL105" s="382"/>
      <c r="AM105" s="382"/>
      <c r="AN105" s="382"/>
      <c r="AO105" s="382"/>
      <c r="AP105" s="400"/>
      <c r="AQ105" s="382"/>
      <c r="AR105" s="382"/>
      <c r="AS105" s="382"/>
      <c r="AT105" s="382"/>
      <c r="AU105" s="382"/>
      <c r="AV105" s="382"/>
      <c r="AW105" s="382"/>
      <c r="AX105" s="400"/>
      <c r="AY105" s="382"/>
      <c r="AZ105" s="382"/>
      <c r="BA105" s="382"/>
      <c r="BB105" s="382"/>
      <c r="BC105" s="382"/>
      <c r="BD105" s="382"/>
      <c r="BE105" s="382"/>
      <c r="BF105" s="400"/>
      <c r="BG105" s="382"/>
      <c r="BH105" s="382"/>
      <c r="BI105" s="382"/>
      <c r="BJ105" s="382"/>
      <c r="BK105" s="382"/>
      <c r="BL105" s="382"/>
    </row>
    <row r="106" spans="9:64" s="142" customFormat="1" ht="12" customHeight="1">
      <c r="I106" s="382"/>
      <c r="J106" s="400"/>
      <c r="K106" s="382"/>
      <c r="L106" s="382"/>
      <c r="M106" s="382"/>
      <c r="N106" s="382"/>
      <c r="O106" s="382"/>
      <c r="P106" s="382"/>
      <c r="Q106" s="382"/>
      <c r="R106" s="400"/>
      <c r="S106" s="382"/>
      <c r="T106" s="382"/>
      <c r="U106" s="382"/>
      <c r="V106" s="382"/>
      <c r="W106" s="382"/>
      <c r="X106" s="382"/>
      <c r="Y106" s="382"/>
      <c r="Z106" s="400"/>
      <c r="AA106" s="382"/>
      <c r="AB106" s="382"/>
      <c r="AC106" s="382"/>
      <c r="AD106" s="382"/>
      <c r="AE106" s="382"/>
      <c r="AF106" s="382"/>
      <c r="AG106" s="382"/>
      <c r="AH106" s="400"/>
      <c r="AI106" s="382"/>
      <c r="AJ106" s="382"/>
      <c r="AK106" s="382"/>
      <c r="AL106" s="382"/>
      <c r="AM106" s="382"/>
      <c r="AN106" s="382"/>
      <c r="AO106" s="382"/>
      <c r="AP106" s="400"/>
      <c r="AQ106" s="382"/>
      <c r="AR106" s="382"/>
      <c r="AS106" s="382"/>
      <c r="AT106" s="382"/>
      <c r="AU106" s="382"/>
      <c r="AV106" s="382"/>
      <c r="AW106" s="382"/>
      <c r="AX106" s="400"/>
      <c r="AY106" s="382"/>
      <c r="AZ106" s="382"/>
      <c r="BA106" s="382"/>
      <c r="BB106" s="382"/>
      <c r="BC106" s="382"/>
      <c r="BD106" s="382"/>
      <c r="BE106" s="382"/>
      <c r="BF106" s="400"/>
      <c r="BG106" s="382"/>
      <c r="BH106" s="382"/>
      <c r="BI106" s="382"/>
      <c r="BJ106" s="382"/>
      <c r="BK106" s="382"/>
      <c r="BL106" s="382"/>
    </row>
    <row r="107" spans="9:64" s="142" customFormat="1" ht="12" customHeight="1">
      <c r="I107" s="382"/>
      <c r="J107" s="400"/>
      <c r="K107" s="382"/>
      <c r="L107" s="382"/>
      <c r="M107" s="382"/>
      <c r="N107" s="382"/>
      <c r="O107" s="382"/>
      <c r="P107" s="382"/>
      <c r="Q107" s="382"/>
      <c r="R107" s="400"/>
      <c r="S107" s="382"/>
      <c r="T107" s="382"/>
      <c r="U107" s="382"/>
      <c r="V107" s="382"/>
      <c r="W107" s="382"/>
      <c r="X107" s="382"/>
      <c r="Y107" s="382"/>
      <c r="Z107" s="400"/>
      <c r="AA107" s="382"/>
      <c r="AB107" s="382"/>
      <c r="AC107" s="382"/>
      <c r="AD107" s="382"/>
      <c r="AE107" s="382"/>
      <c r="AF107" s="382"/>
      <c r="AG107" s="382"/>
      <c r="AH107" s="400"/>
      <c r="AI107" s="382"/>
      <c r="AJ107" s="382"/>
      <c r="AK107" s="382"/>
      <c r="AL107" s="382"/>
      <c r="AM107" s="382"/>
      <c r="AN107" s="382"/>
      <c r="AO107" s="382"/>
      <c r="AP107" s="400"/>
      <c r="AQ107" s="382"/>
      <c r="AR107" s="382"/>
      <c r="AS107" s="382"/>
      <c r="AT107" s="382"/>
      <c r="AU107" s="382"/>
      <c r="AV107" s="382"/>
      <c r="AW107" s="382"/>
      <c r="AX107" s="400"/>
      <c r="AY107" s="382"/>
      <c r="AZ107" s="382"/>
      <c r="BA107" s="382"/>
      <c r="BB107" s="382"/>
      <c r="BC107" s="382"/>
      <c r="BD107" s="382"/>
      <c r="BE107" s="382"/>
      <c r="BF107" s="400"/>
      <c r="BG107" s="382"/>
      <c r="BH107" s="382"/>
      <c r="BI107" s="382"/>
      <c r="BJ107" s="382"/>
      <c r="BK107" s="382"/>
      <c r="BL107" s="382"/>
    </row>
    <row r="108" spans="9:64" s="142" customFormat="1" ht="12" customHeight="1">
      <c r="I108" s="382"/>
      <c r="J108" s="400"/>
      <c r="K108" s="382"/>
      <c r="L108" s="382"/>
      <c r="M108" s="382"/>
      <c r="N108" s="382"/>
      <c r="O108" s="382"/>
      <c r="P108" s="382"/>
      <c r="Q108" s="382"/>
      <c r="R108" s="400"/>
      <c r="S108" s="382"/>
      <c r="T108" s="382"/>
      <c r="U108" s="382"/>
      <c r="V108" s="382"/>
      <c r="W108" s="382"/>
      <c r="X108" s="382"/>
      <c r="Y108" s="382"/>
      <c r="Z108" s="400"/>
      <c r="AA108" s="382"/>
      <c r="AB108" s="382"/>
      <c r="AC108" s="382"/>
      <c r="AD108" s="382"/>
      <c r="AE108" s="382"/>
      <c r="AF108" s="382"/>
      <c r="AG108" s="382"/>
      <c r="AH108" s="400"/>
      <c r="AI108" s="382"/>
      <c r="AJ108" s="382"/>
      <c r="AK108" s="382"/>
      <c r="AL108" s="382"/>
      <c r="AM108" s="382"/>
      <c r="AN108" s="382"/>
      <c r="AO108" s="382"/>
      <c r="AP108" s="400"/>
      <c r="AQ108" s="382"/>
      <c r="AR108" s="382"/>
      <c r="AS108" s="382"/>
      <c r="AT108" s="382"/>
      <c r="AU108" s="382"/>
      <c r="AV108" s="382"/>
      <c r="AW108" s="382"/>
      <c r="AX108" s="400"/>
      <c r="AY108" s="382"/>
      <c r="AZ108" s="382"/>
      <c r="BA108" s="382"/>
      <c r="BB108" s="382"/>
      <c r="BC108" s="382"/>
      <c r="BD108" s="382"/>
      <c r="BE108" s="382"/>
      <c r="BF108" s="400"/>
      <c r="BG108" s="382"/>
      <c r="BH108" s="382"/>
      <c r="BI108" s="382"/>
      <c r="BJ108" s="382"/>
      <c r="BK108" s="382"/>
      <c r="BL108" s="382"/>
    </row>
    <row r="109" spans="9:64" s="142" customFormat="1" ht="12" customHeight="1">
      <c r="I109" s="382"/>
      <c r="J109" s="400"/>
      <c r="K109" s="382"/>
      <c r="L109" s="382"/>
      <c r="M109" s="382"/>
      <c r="N109" s="382"/>
      <c r="O109" s="382"/>
      <c r="P109" s="382"/>
      <c r="Q109" s="382"/>
      <c r="R109" s="400"/>
      <c r="S109" s="382"/>
      <c r="T109" s="382"/>
      <c r="U109" s="382"/>
      <c r="V109" s="382"/>
      <c r="W109" s="382"/>
      <c r="X109" s="382"/>
      <c r="Y109" s="382"/>
      <c r="Z109" s="400"/>
      <c r="AA109" s="382"/>
      <c r="AB109" s="382"/>
      <c r="AC109" s="382"/>
      <c r="AD109" s="382"/>
      <c r="AE109" s="382"/>
      <c r="AF109" s="382"/>
      <c r="AG109" s="382"/>
      <c r="AH109" s="400"/>
      <c r="AI109" s="382"/>
      <c r="AJ109" s="382"/>
      <c r="AK109" s="382"/>
      <c r="AL109" s="382"/>
      <c r="AM109" s="382"/>
      <c r="AN109" s="382"/>
      <c r="AO109" s="382"/>
      <c r="AP109" s="400"/>
      <c r="AQ109" s="382"/>
      <c r="AR109" s="382"/>
      <c r="AS109" s="382"/>
      <c r="AT109" s="382"/>
      <c r="AU109" s="382"/>
      <c r="AV109" s="382"/>
      <c r="AW109" s="382"/>
      <c r="AX109" s="400"/>
      <c r="AY109" s="382"/>
      <c r="AZ109" s="382"/>
      <c r="BA109" s="382"/>
      <c r="BB109" s="382"/>
      <c r="BC109" s="382"/>
      <c r="BD109" s="382"/>
      <c r="BE109" s="382"/>
      <c r="BF109" s="400"/>
      <c r="BG109" s="382"/>
      <c r="BH109" s="382"/>
      <c r="BI109" s="382"/>
      <c r="BJ109" s="382"/>
      <c r="BK109" s="382"/>
      <c r="BL109" s="382"/>
    </row>
    <row r="110" spans="9:64" s="142" customFormat="1" ht="12" customHeight="1">
      <c r="I110" s="382"/>
      <c r="J110" s="400"/>
      <c r="K110" s="382"/>
      <c r="L110" s="382"/>
      <c r="M110" s="382"/>
      <c r="N110" s="382"/>
      <c r="O110" s="382"/>
      <c r="P110" s="382"/>
      <c r="Q110" s="382"/>
      <c r="R110" s="400"/>
      <c r="S110" s="382"/>
      <c r="T110" s="382"/>
      <c r="U110" s="382"/>
      <c r="V110" s="382"/>
      <c r="W110" s="382"/>
      <c r="X110" s="382"/>
      <c r="Y110" s="382"/>
      <c r="Z110" s="400"/>
      <c r="AA110" s="382"/>
      <c r="AB110" s="382"/>
      <c r="AC110" s="382"/>
      <c r="AD110" s="382"/>
      <c r="AE110" s="382"/>
      <c r="AF110" s="382"/>
      <c r="AG110" s="382"/>
      <c r="AH110" s="400"/>
      <c r="AI110" s="382"/>
      <c r="AJ110" s="382"/>
      <c r="AK110" s="382"/>
      <c r="AL110" s="382"/>
      <c r="AM110" s="382"/>
      <c r="AN110" s="382"/>
      <c r="AO110" s="382"/>
      <c r="AP110" s="400"/>
      <c r="AQ110" s="382"/>
      <c r="AR110" s="382"/>
      <c r="AS110" s="382"/>
      <c r="AT110" s="382"/>
      <c r="AU110" s="382"/>
      <c r="AV110" s="382"/>
      <c r="AW110" s="382"/>
      <c r="AX110" s="400"/>
      <c r="AY110" s="382"/>
      <c r="AZ110" s="382"/>
      <c r="BA110" s="382"/>
      <c r="BB110" s="382"/>
      <c r="BC110" s="382"/>
      <c r="BD110" s="382"/>
      <c r="BE110" s="382"/>
      <c r="BF110" s="400"/>
      <c r="BG110" s="382"/>
      <c r="BH110" s="382"/>
      <c r="BI110" s="382"/>
      <c r="BJ110" s="382"/>
      <c r="BK110" s="382"/>
      <c r="BL110" s="382"/>
    </row>
    <row r="111" spans="9:64" s="142" customFormat="1" ht="12" customHeight="1">
      <c r="I111" s="382"/>
      <c r="J111" s="400"/>
      <c r="K111" s="382"/>
      <c r="L111" s="382"/>
      <c r="M111" s="382"/>
      <c r="N111" s="382"/>
      <c r="O111" s="382"/>
      <c r="P111" s="382"/>
      <c r="Q111" s="382"/>
      <c r="R111" s="400"/>
      <c r="S111" s="382"/>
      <c r="T111" s="382"/>
      <c r="U111" s="382"/>
      <c r="V111" s="382"/>
      <c r="W111" s="382"/>
      <c r="X111" s="382"/>
      <c r="Y111" s="382"/>
      <c r="Z111" s="400"/>
      <c r="AA111" s="382"/>
      <c r="AB111" s="382"/>
      <c r="AC111" s="382"/>
      <c r="AD111" s="382"/>
      <c r="AE111" s="382"/>
      <c r="AF111" s="382"/>
      <c r="AG111" s="382"/>
      <c r="AH111" s="400"/>
      <c r="AI111" s="382"/>
      <c r="AJ111" s="382"/>
      <c r="AK111" s="382"/>
      <c r="AL111" s="382"/>
      <c r="AM111" s="382"/>
      <c r="AN111" s="382"/>
      <c r="AO111" s="382"/>
      <c r="AP111" s="400"/>
      <c r="AQ111" s="382"/>
      <c r="AR111" s="382"/>
      <c r="AS111" s="382"/>
      <c r="AT111" s="382"/>
      <c r="AU111" s="382"/>
      <c r="AV111" s="382"/>
      <c r="AW111" s="382"/>
      <c r="AX111" s="400"/>
      <c r="AY111" s="382"/>
      <c r="AZ111" s="382"/>
      <c r="BA111" s="382"/>
      <c r="BB111" s="382"/>
      <c r="BC111" s="382"/>
      <c r="BD111" s="382"/>
      <c r="BE111" s="382"/>
      <c r="BF111" s="400"/>
      <c r="BG111" s="382"/>
      <c r="BH111" s="382"/>
      <c r="BI111" s="382"/>
      <c r="BJ111" s="382"/>
      <c r="BK111" s="382"/>
      <c r="BL111" s="382"/>
    </row>
    <row r="112" spans="9:64" s="142" customFormat="1" ht="12" customHeight="1">
      <c r="I112" s="382"/>
      <c r="J112" s="400"/>
      <c r="K112" s="382"/>
      <c r="L112" s="382"/>
      <c r="M112" s="382"/>
      <c r="N112" s="382"/>
      <c r="O112" s="382"/>
      <c r="P112" s="382"/>
      <c r="Q112" s="382"/>
      <c r="R112" s="400"/>
      <c r="S112" s="382"/>
      <c r="T112" s="382"/>
      <c r="U112" s="382"/>
      <c r="V112" s="382"/>
      <c r="W112" s="382"/>
      <c r="X112" s="382"/>
      <c r="Y112" s="382"/>
      <c r="Z112" s="400"/>
      <c r="AA112" s="382"/>
      <c r="AB112" s="382"/>
      <c r="AC112" s="382"/>
      <c r="AD112" s="382"/>
      <c r="AE112" s="382"/>
      <c r="AF112" s="382"/>
      <c r="AG112" s="382"/>
      <c r="AH112" s="400"/>
      <c r="AI112" s="382"/>
      <c r="AJ112" s="382"/>
      <c r="AK112" s="382"/>
      <c r="AL112" s="382"/>
      <c r="AM112" s="382"/>
      <c r="AN112" s="382"/>
      <c r="AO112" s="382"/>
      <c r="AP112" s="400"/>
      <c r="AQ112" s="382"/>
      <c r="AR112" s="382"/>
      <c r="AS112" s="382"/>
      <c r="AT112" s="382"/>
      <c r="AU112" s="382"/>
      <c r="AV112" s="382"/>
      <c r="AW112" s="382"/>
      <c r="AX112" s="400"/>
      <c r="AY112" s="382"/>
      <c r="AZ112" s="382"/>
      <c r="BA112" s="382"/>
      <c r="BB112" s="382"/>
      <c r="BC112" s="382"/>
      <c r="BD112" s="382"/>
      <c r="BE112" s="382"/>
      <c r="BF112" s="400"/>
      <c r="BG112" s="382"/>
      <c r="BH112" s="382"/>
      <c r="BI112" s="382"/>
      <c r="BJ112" s="382"/>
      <c r="BK112" s="382"/>
      <c r="BL112" s="382"/>
    </row>
    <row r="113" spans="2:64" s="142" customFormat="1" ht="12" customHeight="1">
      <c r="I113" s="382"/>
      <c r="J113" s="400"/>
      <c r="K113" s="382"/>
      <c r="L113" s="382"/>
      <c r="M113" s="382"/>
      <c r="N113" s="382"/>
      <c r="O113" s="382"/>
      <c r="P113" s="382"/>
      <c r="Q113" s="382"/>
      <c r="R113" s="400"/>
      <c r="S113" s="382"/>
      <c r="T113" s="382"/>
      <c r="U113" s="382"/>
      <c r="V113" s="382"/>
      <c r="W113" s="382"/>
      <c r="X113" s="382"/>
      <c r="Y113" s="382"/>
      <c r="Z113" s="400"/>
      <c r="AA113" s="382"/>
      <c r="AB113" s="382"/>
      <c r="AC113" s="382"/>
      <c r="AD113" s="382"/>
      <c r="AE113" s="382"/>
      <c r="AF113" s="382"/>
      <c r="AG113" s="382"/>
      <c r="AH113" s="400"/>
      <c r="AI113" s="382"/>
      <c r="AJ113" s="382"/>
      <c r="AK113" s="382"/>
      <c r="AL113" s="382"/>
      <c r="AM113" s="382"/>
      <c r="AN113" s="382"/>
      <c r="AO113" s="382"/>
      <c r="AP113" s="400"/>
      <c r="AQ113" s="382"/>
      <c r="AR113" s="382"/>
      <c r="AS113" s="382"/>
      <c r="AT113" s="382"/>
      <c r="AU113" s="382"/>
      <c r="AV113" s="382"/>
      <c r="AW113" s="382"/>
      <c r="AX113" s="400"/>
      <c r="AY113" s="382"/>
      <c r="AZ113" s="382"/>
      <c r="BA113" s="382"/>
      <c r="BB113" s="382"/>
      <c r="BC113" s="382"/>
      <c r="BD113" s="382"/>
      <c r="BE113" s="382"/>
      <c r="BF113" s="400"/>
      <c r="BG113" s="382"/>
      <c r="BH113" s="382"/>
      <c r="BI113" s="382"/>
      <c r="BJ113" s="382"/>
      <c r="BK113" s="382"/>
      <c r="BL113" s="382"/>
    </row>
    <row r="114" spans="2:64" s="142" customFormat="1" ht="12" customHeight="1">
      <c r="E114" s="10"/>
      <c r="F114" s="10"/>
      <c r="G114" s="52"/>
      <c r="H114" s="10"/>
      <c r="I114" s="382"/>
      <c r="J114" s="400"/>
      <c r="K114" s="382"/>
      <c r="L114" s="382"/>
      <c r="M114" s="382"/>
      <c r="N114" s="382"/>
      <c r="O114" s="382"/>
      <c r="P114" s="382"/>
      <c r="Q114" s="382"/>
      <c r="R114" s="400"/>
      <c r="S114" s="382"/>
      <c r="T114" s="382"/>
      <c r="U114" s="382"/>
      <c r="V114" s="382"/>
      <c r="W114" s="382"/>
      <c r="X114" s="382"/>
      <c r="Y114" s="382"/>
      <c r="Z114" s="400"/>
      <c r="AA114" s="382"/>
      <c r="AB114" s="382"/>
      <c r="AC114" s="382"/>
      <c r="AD114" s="382"/>
      <c r="AE114" s="382"/>
      <c r="AF114" s="382"/>
      <c r="AG114" s="382"/>
      <c r="AH114" s="400"/>
      <c r="AI114" s="382"/>
      <c r="AJ114" s="382"/>
      <c r="AK114" s="382"/>
      <c r="AL114" s="382"/>
      <c r="AM114" s="382"/>
      <c r="AN114" s="382"/>
      <c r="AO114" s="382"/>
      <c r="AP114" s="400"/>
      <c r="AQ114" s="382"/>
      <c r="AR114" s="382"/>
      <c r="AS114" s="382"/>
      <c r="AT114" s="382"/>
      <c r="AU114" s="382"/>
      <c r="AV114" s="382"/>
      <c r="AW114" s="253"/>
      <c r="AX114" s="398"/>
      <c r="AY114" s="382"/>
      <c r="AZ114" s="382"/>
      <c r="BA114" s="382"/>
      <c r="BB114" s="382"/>
      <c r="BC114" s="401"/>
      <c r="BD114" s="382"/>
      <c r="BE114" s="382"/>
      <c r="BF114" s="400"/>
      <c r="BG114" s="382"/>
      <c r="BH114" s="382"/>
      <c r="BI114" s="382"/>
      <c r="BJ114" s="382"/>
      <c r="BK114" s="382"/>
      <c r="BL114" s="382"/>
    </row>
    <row r="115" spans="2:64" s="142" customFormat="1" ht="12" customHeight="1">
      <c r="B115" s="304"/>
      <c r="G115" s="304"/>
      <c r="I115" s="382"/>
      <c r="J115" s="400"/>
      <c r="K115" s="382"/>
      <c r="L115" s="382"/>
      <c r="M115" s="382"/>
      <c r="N115" s="382"/>
      <c r="O115" s="382"/>
      <c r="P115" s="382"/>
      <c r="Q115" s="382"/>
      <c r="R115" s="400"/>
      <c r="S115" s="382"/>
      <c r="T115" s="382"/>
      <c r="U115" s="382"/>
      <c r="V115" s="382"/>
      <c r="W115" s="382"/>
      <c r="X115" s="382"/>
      <c r="Y115" s="382"/>
      <c r="Z115" s="400"/>
      <c r="AA115" s="382"/>
      <c r="AB115" s="382"/>
      <c r="AC115" s="382"/>
      <c r="AD115" s="382"/>
      <c r="AE115" s="382"/>
      <c r="AF115" s="382"/>
      <c r="AG115" s="382"/>
      <c r="AH115" s="398"/>
      <c r="AI115" s="382"/>
      <c r="AJ115" s="382"/>
      <c r="AK115" s="382"/>
      <c r="AL115" s="382"/>
      <c r="AM115" s="401"/>
      <c r="AN115" s="382"/>
      <c r="AO115" s="382"/>
      <c r="AP115" s="400"/>
      <c r="AQ115" s="382"/>
      <c r="AR115" s="382"/>
      <c r="AS115" s="382"/>
      <c r="AT115" s="382"/>
      <c r="AU115" s="382"/>
      <c r="AV115" s="382"/>
      <c r="AW115" s="402"/>
      <c r="AX115" s="400"/>
      <c r="AY115" s="253"/>
      <c r="AZ115" s="253"/>
      <c r="BA115" s="253"/>
      <c r="BB115" s="253"/>
      <c r="BC115" s="253"/>
      <c r="BD115" s="253"/>
      <c r="BE115" s="382"/>
      <c r="BF115" s="400"/>
      <c r="BG115" s="382"/>
      <c r="BH115" s="382"/>
      <c r="BI115" s="382"/>
      <c r="BJ115" s="382"/>
      <c r="BK115" s="382"/>
      <c r="BL115" s="382"/>
    </row>
    <row r="116" spans="2:64" ht="12" customHeight="1">
      <c r="AW116" s="402"/>
      <c r="AX116" s="403"/>
      <c r="AY116" s="402"/>
      <c r="AZ116" s="402"/>
      <c r="BA116" s="402"/>
      <c r="BB116" s="402"/>
      <c r="BC116" s="402"/>
      <c r="BD116" s="402"/>
      <c r="BE116" s="382"/>
      <c r="BG116" s="382"/>
      <c r="BH116" s="382"/>
      <c r="BI116" s="382"/>
      <c r="BJ116" s="382"/>
      <c r="BK116" s="382"/>
      <c r="BL116" s="382"/>
    </row>
    <row r="117" spans="2:64" s="302" customFormat="1" ht="6.95" customHeight="1">
      <c r="B117" s="52"/>
      <c r="G117" s="52"/>
      <c r="I117" s="402"/>
      <c r="J117" s="403"/>
      <c r="K117" s="402"/>
      <c r="L117" s="402"/>
      <c r="M117" s="402"/>
      <c r="N117" s="402"/>
      <c r="O117" s="402"/>
      <c r="P117" s="402"/>
      <c r="Q117" s="402"/>
      <c r="R117" s="403"/>
      <c r="S117" s="402"/>
      <c r="T117" s="402"/>
      <c r="U117" s="402"/>
      <c r="V117" s="402"/>
      <c r="W117" s="402"/>
      <c r="X117" s="402"/>
      <c r="Y117" s="402"/>
      <c r="Z117" s="403"/>
      <c r="AA117" s="402"/>
      <c r="AB117" s="402"/>
      <c r="AC117" s="402"/>
      <c r="AD117" s="402"/>
      <c r="AE117" s="402"/>
      <c r="AF117" s="402"/>
      <c r="AG117" s="402"/>
      <c r="AH117" s="403"/>
      <c r="AI117" s="402"/>
      <c r="AJ117" s="402"/>
      <c r="AK117" s="402"/>
      <c r="AL117" s="402"/>
      <c r="AM117" s="402"/>
      <c r="AN117" s="402"/>
      <c r="AO117" s="402"/>
      <c r="AP117" s="403"/>
      <c r="AQ117" s="402"/>
      <c r="AR117" s="402"/>
      <c r="AS117" s="402"/>
      <c r="AT117" s="402"/>
      <c r="AU117" s="402"/>
      <c r="AV117" s="402"/>
      <c r="AW117" s="399"/>
      <c r="AX117" s="403"/>
      <c r="AY117" s="402"/>
      <c r="AZ117" s="402"/>
      <c r="BA117" s="402"/>
      <c r="BB117" s="402"/>
      <c r="BC117" s="402"/>
      <c r="BD117" s="402"/>
      <c r="BE117" s="382"/>
      <c r="BF117" s="400"/>
      <c r="BG117" s="382"/>
      <c r="BH117" s="382"/>
      <c r="BI117" s="382"/>
      <c r="BJ117" s="382"/>
      <c r="BK117" s="382"/>
      <c r="BL117" s="382"/>
    </row>
    <row r="118" spans="2:64" s="302" customFormat="1" ht="6.95" customHeight="1">
      <c r="B118" s="52"/>
      <c r="D118" s="313"/>
      <c r="E118" s="313"/>
      <c r="F118" s="313"/>
      <c r="G118" s="304"/>
      <c r="H118" s="313"/>
      <c r="I118" s="402"/>
      <c r="J118" s="403"/>
      <c r="K118" s="402"/>
      <c r="L118" s="402"/>
      <c r="M118" s="402"/>
      <c r="N118" s="402"/>
      <c r="O118" s="402"/>
      <c r="P118" s="402"/>
      <c r="Q118" s="402"/>
      <c r="R118" s="403"/>
      <c r="S118" s="402"/>
      <c r="T118" s="402"/>
      <c r="U118" s="402"/>
      <c r="V118" s="402"/>
      <c r="W118" s="402"/>
      <c r="X118" s="402"/>
      <c r="Y118" s="402"/>
      <c r="Z118" s="403"/>
      <c r="AA118" s="402"/>
      <c r="AB118" s="402"/>
      <c r="AC118" s="402"/>
      <c r="AD118" s="402"/>
      <c r="AE118" s="402"/>
      <c r="AF118" s="402"/>
      <c r="AG118" s="402"/>
      <c r="AH118" s="403"/>
      <c r="AI118" s="402"/>
      <c r="AJ118" s="402"/>
      <c r="AK118" s="402"/>
      <c r="AL118" s="402"/>
      <c r="AM118" s="402"/>
      <c r="AN118" s="402"/>
      <c r="AO118" s="402"/>
      <c r="AP118" s="403"/>
      <c r="AQ118" s="402"/>
      <c r="AR118" s="402"/>
      <c r="AS118" s="402"/>
      <c r="AT118" s="402"/>
      <c r="AU118" s="402"/>
      <c r="AV118" s="402"/>
      <c r="AW118" s="399"/>
      <c r="AX118" s="404"/>
      <c r="AY118" s="399"/>
      <c r="AZ118" s="399"/>
      <c r="BA118" s="399"/>
      <c r="BB118" s="399"/>
      <c r="BC118" s="399"/>
      <c r="BD118" s="399"/>
      <c r="BE118" s="382"/>
      <c r="BF118" s="400"/>
      <c r="BG118" s="382"/>
      <c r="BH118" s="382"/>
      <c r="BI118" s="382"/>
      <c r="BJ118" s="382"/>
      <c r="BK118" s="382"/>
      <c r="BL118" s="382"/>
    </row>
    <row r="119" spans="2:64" s="52" customFormat="1" ht="7.5" customHeight="1">
      <c r="I119" s="399"/>
      <c r="J119" s="404"/>
      <c r="K119" s="399"/>
      <c r="L119" s="399"/>
      <c r="M119" s="399"/>
      <c r="N119" s="399"/>
      <c r="O119" s="399"/>
      <c r="P119" s="399"/>
      <c r="Q119" s="399"/>
      <c r="R119" s="404"/>
      <c r="S119" s="399"/>
      <c r="T119" s="399"/>
      <c r="U119" s="399"/>
      <c r="V119" s="399"/>
      <c r="W119" s="399"/>
      <c r="X119" s="399"/>
      <c r="Y119" s="399"/>
      <c r="Z119" s="404"/>
      <c r="AA119" s="399"/>
      <c r="AB119" s="399"/>
      <c r="AC119" s="399"/>
      <c r="AD119" s="399"/>
      <c r="AE119" s="399"/>
      <c r="AF119" s="399"/>
      <c r="AG119" s="399"/>
      <c r="AH119" s="404"/>
      <c r="AI119" s="399"/>
      <c r="AJ119" s="399"/>
      <c r="AK119" s="399"/>
      <c r="AL119" s="399"/>
      <c r="AM119" s="399"/>
      <c r="AN119" s="399"/>
      <c r="AO119" s="399"/>
      <c r="AP119" s="404"/>
      <c r="AQ119" s="399"/>
      <c r="AR119" s="399"/>
      <c r="AS119" s="399"/>
      <c r="AT119" s="399"/>
      <c r="AU119" s="399"/>
      <c r="AV119" s="399"/>
      <c r="AW119" s="399"/>
      <c r="AX119" s="404"/>
      <c r="AY119" s="399"/>
      <c r="AZ119" s="399"/>
      <c r="BA119" s="399"/>
      <c r="BB119" s="399"/>
      <c r="BC119" s="399"/>
      <c r="BD119" s="399"/>
      <c r="BE119" s="382"/>
      <c r="BF119" s="400"/>
      <c r="BG119" s="382"/>
      <c r="BH119" s="382"/>
      <c r="BI119" s="382"/>
      <c r="BJ119" s="382"/>
      <c r="BK119" s="382"/>
      <c r="BL119" s="382"/>
    </row>
    <row r="120" spans="2:64" s="52" customFormat="1" ht="7.5" customHeight="1">
      <c r="I120" s="399"/>
      <c r="J120" s="404"/>
      <c r="K120" s="399"/>
      <c r="L120" s="399"/>
      <c r="M120" s="399"/>
      <c r="N120" s="399"/>
      <c r="O120" s="399"/>
      <c r="P120" s="399"/>
      <c r="Q120" s="399"/>
      <c r="R120" s="404"/>
      <c r="S120" s="399"/>
      <c r="T120" s="399"/>
      <c r="U120" s="399"/>
      <c r="V120" s="399"/>
      <c r="W120" s="399"/>
      <c r="X120" s="399"/>
      <c r="Y120" s="399"/>
      <c r="Z120" s="404"/>
      <c r="AA120" s="399"/>
      <c r="AB120" s="399"/>
      <c r="AC120" s="399"/>
      <c r="AD120" s="399"/>
      <c r="AE120" s="399"/>
      <c r="AF120" s="399"/>
      <c r="AG120" s="399"/>
      <c r="AH120" s="404"/>
      <c r="AI120" s="399"/>
      <c r="AJ120" s="399"/>
      <c r="AK120" s="399"/>
      <c r="AL120" s="399"/>
      <c r="AM120" s="399"/>
      <c r="AN120" s="399"/>
      <c r="AO120" s="399"/>
      <c r="AP120" s="404"/>
      <c r="AQ120" s="399"/>
      <c r="AR120" s="399"/>
      <c r="AS120" s="399"/>
      <c r="AT120" s="399"/>
      <c r="AU120" s="399"/>
      <c r="AV120" s="399"/>
      <c r="AW120" s="399"/>
      <c r="AX120" s="404"/>
      <c r="AY120" s="399"/>
      <c r="AZ120" s="399"/>
      <c r="BA120" s="399"/>
      <c r="BB120" s="399"/>
      <c r="BC120" s="399"/>
      <c r="BD120" s="399"/>
      <c r="BE120" s="253"/>
      <c r="BF120" s="400"/>
      <c r="BG120" s="253"/>
      <c r="BH120" s="253"/>
      <c r="BI120" s="253"/>
      <c r="BJ120" s="253"/>
      <c r="BK120" s="253"/>
      <c r="BL120" s="253"/>
    </row>
    <row r="121" spans="2:64" s="52" customFormat="1" ht="7.5" customHeight="1">
      <c r="I121" s="399"/>
      <c r="J121" s="404"/>
      <c r="K121" s="399"/>
      <c r="L121" s="399"/>
      <c r="M121" s="399"/>
      <c r="N121" s="399"/>
      <c r="O121" s="399"/>
      <c r="P121" s="399"/>
      <c r="Q121" s="399"/>
      <c r="R121" s="404"/>
      <c r="S121" s="399"/>
      <c r="T121" s="399"/>
      <c r="U121" s="399"/>
      <c r="V121" s="399"/>
      <c r="W121" s="399"/>
      <c r="X121" s="399"/>
      <c r="Y121" s="399"/>
      <c r="Z121" s="404"/>
      <c r="AA121" s="399"/>
      <c r="AB121" s="399"/>
      <c r="AC121" s="399"/>
      <c r="AD121" s="399"/>
      <c r="AE121" s="399"/>
      <c r="AF121" s="399"/>
      <c r="AG121" s="399"/>
      <c r="AH121" s="404"/>
      <c r="AI121" s="399"/>
      <c r="AJ121" s="399"/>
      <c r="AK121" s="399"/>
      <c r="AL121" s="399"/>
      <c r="AM121" s="399"/>
      <c r="AN121" s="399"/>
      <c r="AO121" s="399"/>
      <c r="AP121" s="404"/>
      <c r="AQ121" s="399"/>
      <c r="AR121" s="399"/>
      <c r="AS121" s="399"/>
      <c r="AT121" s="399"/>
      <c r="AU121" s="399"/>
      <c r="AV121" s="399"/>
      <c r="AW121" s="399"/>
      <c r="AX121" s="404"/>
      <c r="AY121" s="399"/>
      <c r="AZ121" s="399"/>
      <c r="BA121" s="399"/>
      <c r="BB121" s="399"/>
      <c r="BC121" s="399"/>
      <c r="BD121" s="399"/>
      <c r="BE121" s="402"/>
      <c r="BF121" s="403"/>
      <c r="BG121" s="402"/>
      <c r="BH121" s="402"/>
      <c r="BI121" s="402"/>
      <c r="BJ121" s="402"/>
      <c r="BK121" s="402"/>
      <c r="BL121" s="402"/>
    </row>
    <row r="122" spans="2:64" s="52" customFormat="1" ht="7.5" customHeight="1">
      <c r="I122" s="399"/>
      <c r="J122" s="404"/>
      <c r="K122" s="399"/>
      <c r="L122" s="399"/>
      <c r="M122" s="399"/>
      <c r="N122" s="399"/>
      <c r="O122" s="399"/>
      <c r="P122" s="399"/>
      <c r="Q122" s="399"/>
      <c r="R122" s="404"/>
      <c r="S122" s="399"/>
      <c r="T122" s="399"/>
      <c r="U122" s="399"/>
      <c r="V122" s="399"/>
      <c r="W122" s="399"/>
      <c r="X122" s="399"/>
      <c r="Y122" s="399"/>
      <c r="Z122" s="404"/>
      <c r="AA122" s="399"/>
      <c r="AB122" s="399"/>
      <c r="AC122" s="399"/>
      <c r="AD122" s="399"/>
      <c r="AE122" s="399"/>
      <c r="AF122" s="399"/>
      <c r="AG122" s="399"/>
      <c r="AH122" s="404"/>
      <c r="AI122" s="399"/>
      <c r="AJ122" s="399"/>
      <c r="AK122" s="399"/>
      <c r="AL122" s="399"/>
      <c r="AM122" s="399"/>
      <c r="AN122" s="399"/>
      <c r="AO122" s="399"/>
      <c r="AP122" s="404"/>
      <c r="AQ122" s="399"/>
      <c r="AR122" s="399"/>
      <c r="AS122" s="399"/>
      <c r="AT122" s="399"/>
      <c r="AU122" s="399"/>
      <c r="AV122" s="399"/>
      <c r="AW122" s="399"/>
      <c r="AX122" s="404"/>
      <c r="AY122" s="399"/>
      <c r="AZ122" s="399"/>
      <c r="BA122" s="399"/>
      <c r="BB122" s="399"/>
      <c r="BC122" s="399"/>
      <c r="BD122" s="399"/>
      <c r="BE122" s="402"/>
      <c r="BF122" s="403"/>
      <c r="BG122" s="402"/>
      <c r="BH122" s="402"/>
      <c r="BI122" s="402"/>
      <c r="BJ122" s="402"/>
      <c r="BK122" s="402"/>
      <c r="BL122" s="402"/>
    </row>
    <row r="123" spans="2:64" s="52" customFormat="1" ht="7.5" customHeight="1">
      <c r="I123" s="399"/>
      <c r="J123" s="404"/>
      <c r="K123" s="399"/>
      <c r="L123" s="399"/>
      <c r="M123" s="399"/>
      <c r="N123" s="399"/>
      <c r="O123" s="399"/>
      <c r="P123" s="399"/>
      <c r="Q123" s="399"/>
      <c r="R123" s="404"/>
      <c r="S123" s="399"/>
      <c r="T123" s="399"/>
      <c r="U123" s="399"/>
      <c r="V123" s="399"/>
      <c r="W123" s="399"/>
      <c r="X123" s="399"/>
      <c r="Y123" s="399"/>
      <c r="Z123" s="404"/>
      <c r="AA123" s="399"/>
      <c r="AB123" s="399"/>
      <c r="AC123" s="399"/>
      <c r="AD123" s="399"/>
      <c r="AE123" s="399"/>
      <c r="AF123" s="399"/>
      <c r="AG123" s="399"/>
      <c r="AH123" s="404"/>
      <c r="AI123" s="399"/>
      <c r="AJ123" s="399"/>
      <c r="AK123" s="399"/>
      <c r="AL123" s="399"/>
      <c r="AM123" s="399"/>
      <c r="AN123" s="399"/>
      <c r="AO123" s="399"/>
      <c r="AP123" s="404"/>
      <c r="AQ123" s="399"/>
      <c r="AR123" s="399"/>
      <c r="AS123" s="399"/>
      <c r="AT123" s="399"/>
      <c r="AU123" s="399"/>
      <c r="AV123" s="399"/>
      <c r="AW123" s="401"/>
      <c r="AX123" s="404"/>
      <c r="AY123" s="399"/>
      <c r="AZ123" s="399"/>
      <c r="BA123" s="399"/>
      <c r="BB123" s="399"/>
      <c r="BC123" s="399"/>
      <c r="BD123" s="399"/>
      <c r="BE123" s="399"/>
      <c r="BF123" s="404"/>
      <c r="BG123" s="399"/>
      <c r="BH123" s="399"/>
      <c r="BI123" s="399"/>
      <c r="BJ123" s="399"/>
      <c r="BK123" s="399"/>
      <c r="BL123" s="399"/>
    </row>
    <row r="124" spans="2:64" s="52" customFormat="1" ht="7.5" customHeight="1">
      <c r="I124" s="399"/>
      <c r="J124" s="404"/>
      <c r="K124" s="399"/>
      <c r="L124" s="399"/>
      <c r="M124" s="399"/>
      <c r="N124" s="399"/>
      <c r="O124" s="399"/>
      <c r="P124" s="399"/>
      <c r="Q124" s="399"/>
      <c r="R124" s="404"/>
      <c r="S124" s="399"/>
      <c r="T124" s="399"/>
      <c r="U124" s="399"/>
      <c r="V124" s="399"/>
      <c r="W124" s="399"/>
      <c r="X124" s="399"/>
      <c r="Y124" s="399"/>
      <c r="Z124" s="404"/>
      <c r="AA124" s="399"/>
      <c r="AB124" s="399"/>
      <c r="AC124" s="399"/>
      <c r="AD124" s="399"/>
      <c r="AE124" s="399"/>
      <c r="AF124" s="399"/>
      <c r="AG124" s="399"/>
      <c r="AH124" s="404"/>
      <c r="AI124" s="399"/>
      <c r="AJ124" s="399"/>
      <c r="AK124" s="399"/>
      <c r="AL124" s="399"/>
      <c r="AM124" s="399"/>
      <c r="AN124" s="399"/>
      <c r="AO124" s="399"/>
      <c r="AP124" s="404"/>
      <c r="AQ124" s="399"/>
      <c r="AR124" s="399"/>
      <c r="AS124" s="399"/>
      <c r="AT124" s="399"/>
      <c r="AU124" s="399"/>
      <c r="AV124" s="399"/>
      <c r="AW124" s="401"/>
      <c r="AX124" s="404"/>
      <c r="AY124" s="401"/>
      <c r="AZ124" s="401"/>
      <c r="BA124" s="401"/>
      <c r="BB124" s="401"/>
      <c r="BC124" s="401"/>
      <c r="BD124" s="401"/>
      <c r="BE124" s="399"/>
      <c r="BF124" s="404"/>
      <c r="BG124" s="399"/>
      <c r="BH124" s="399"/>
      <c r="BI124" s="399"/>
      <c r="BJ124" s="399"/>
      <c r="BK124" s="399"/>
      <c r="BL124" s="399"/>
    </row>
    <row r="125" spans="2:64" s="304" customFormat="1" ht="7.5" customHeight="1">
      <c r="I125" s="401"/>
      <c r="J125" s="404"/>
      <c r="K125" s="401"/>
      <c r="L125" s="401"/>
      <c r="M125" s="401"/>
      <c r="N125" s="401"/>
      <c r="O125" s="401"/>
      <c r="P125" s="401"/>
      <c r="Q125" s="401"/>
      <c r="R125" s="404"/>
      <c r="S125" s="401"/>
      <c r="T125" s="401"/>
      <c r="U125" s="401"/>
      <c r="V125" s="401"/>
      <c r="W125" s="401"/>
      <c r="X125" s="401"/>
      <c r="Y125" s="401"/>
      <c r="Z125" s="404"/>
      <c r="AA125" s="401"/>
      <c r="AB125" s="401"/>
      <c r="AC125" s="401"/>
      <c r="AD125" s="401"/>
      <c r="AE125" s="401"/>
      <c r="AF125" s="401"/>
      <c r="AG125" s="401"/>
      <c r="AH125" s="404"/>
      <c r="AI125" s="401"/>
      <c r="AJ125" s="401"/>
      <c r="AK125" s="401"/>
      <c r="AL125" s="401"/>
      <c r="AM125" s="401"/>
      <c r="AN125" s="401"/>
      <c r="AO125" s="401"/>
      <c r="AP125" s="404"/>
      <c r="AQ125" s="401"/>
      <c r="AR125" s="401"/>
      <c r="AS125" s="401"/>
      <c r="AT125" s="401"/>
      <c r="AU125" s="401"/>
      <c r="AV125" s="401"/>
      <c r="AW125" s="401"/>
      <c r="AX125" s="404"/>
      <c r="AY125" s="401"/>
      <c r="AZ125" s="401"/>
      <c r="BA125" s="401"/>
      <c r="BB125" s="401"/>
      <c r="BC125" s="401"/>
      <c r="BD125" s="401"/>
      <c r="BE125" s="399"/>
      <c r="BF125" s="404"/>
      <c r="BG125" s="399"/>
      <c r="BH125" s="399"/>
      <c r="BI125" s="399"/>
      <c r="BJ125" s="399"/>
      <c r="BK125" s="399"/>
      <c r="BL125" s="399"/>
    </row>
    <row r="126" spans="2:64" s="304" customFormat="1" ht="7.5" customHeight="1">
      <c r="I126" s="401"/>
      <c r="J126" s="404"/>
      <c r="K126" s="401"/>
      <c r="L126" s="401"/>
      <c r="M126" s="401"/>
      <c r="N126" s="401"/>
      <c r="O126" s="401"/>
      <c r="P126" s="401"/>
      <c r="Q126" s="401"/>
      <c r="R126" s="398"/>
      <c r="S126" s="401"/>
      <c r="T126" s="401"/>
      <c r="U126" s="401"/>
      <c r="V126" s="401"/>
      <c r="W126" s="401"/>
      <c r="X126" s="401"/>
      <c r="Y126" s="401"/>
      <c r="Z126" s="404"/>
      <c r="AA126" s="401"/>
      <c r="AB126" s="401"/>
      <c r="AC126" s="401"/>
      <c r="AD126" s="401"/>
      <c r="AE126" s="401"/>
      <c r="AF126" s="401"/>
      <c r="AG126" s="401"/>
      <c r="AH126" s="404"/>
      <c r="AI126" s="401"/>
      <c r="AJ126" s="401"/>
      <c r="AK126" s="401"/>
      <c r="AL126" s="401"/>
      <c r="AM126" s="401"/>
      <c r="AN126" s="401"/>
      <c r="AO126" s="401"/>
      <c r="AP126" s="404"/>
      <c r="AQ126" s="401"/>
      <c r="AR126" s="401"/>
      <c r="AS126" s="401"/>
      <c r="AT126" s="401"/>
      <c r="AU126" s="401"/>
      <c r="AV126" s="401"/>
      <c r="AW126" s="401"/>
      <c r="AX126" s="404"/>
      <c r="AY126" s="401"/>
      <c r="AZ126" s="401"/>
      <c r="BA126" s="401"/>
      <c r="BB126" s="401"/>
      <c r="BC126" s="401"/>
      <c r="BD126" s="401"/>
      <c r="BE126" s="399"/>
      <c r="BF126" s="404"/>
      <c r="BG126" s="399"/>
      <c r="BH126" s="399"/>
      <c r="BI126" s="399"/>
      <c r="BJ126" s="399"/>
      <c r="BK126" s="399"/>
      <c r="BL126" s="399"/>
    </row>
    <row r="127" spans="2:64" s="304" customFormat="1" ht="7.5" customHeight="1">
      <c r="I127" s="401"/>
      <c r="J127" s="404"/>
      <c r="K127" s="401"/>
      <c r="L127" s="401"/>
      <c r="M127" s="401"/>
      <c r="N127" s="401"/>
      <c r="O127" s="401"/>
      <c r="P127" s="401"/>
      <c r="Q127" s="401"/>
      <c r="R127" s="398"/>
      <c r="S127" s="401"/>
      <c r="T127" s="401"/>
      <c r="U127" s="401"/>
      <c r="V127" s="401"/>
      <c r="W127" s="401"/>
      <c r="X127" s="401"/>
      <c r="Y127" s="401"/>
      <c r="Z127" s="404"/>
      <c r="AA127" s="401"/>
      <c r="AB127" s="401"/>
      <c r="AC127" s="401"/>
      <c r="AD127" s="401"/>
      <c r="AE127" s="401"/>
      <c r="AF127" s="401"/>
      <c r="AG127" s="401"/>
      <c r="AH127" s="404"/>
      <c r="AI127" s="401"/>
      <c r="AJ127" s="401"/>
      <c r="AK127" s="401"/>
      <c r="AL127" s="401"/>
      <c r="AM127" s="401"/>
      <c r="AN127" s="401"/>
      <c r="AO127" s="401"/>
      <c r="AP127" s="404"/>
      <c r="AQ127" s="401"/>
      <c r="AR127" s="401"/>
      <c r="AS127" s="401"/>
      <c r="AT127" s="401"/>
      <c r="AU127" s="401"/>
      <c r="AV127" s="401"/>
      <c r="AW127" s="405"/>
      <c r="AX127" s="404"/>
      <c r="AY127" s="401"/>
      <c r="AZ127" s="401"/>
      <c r="BA127" s="401"/>
      <c r="BB127" s="401"/>
      <c r="BC127" s="401"/>
      <c r="BD127" s="401"/>
      <c r="BE127" s="399"/>
      <c r="BF127" s="404"/>
      <c r="BG127" s="399"/>
      <c r="BH127" s="399"/>
      <c r="BI127" s="399"/>
      <c r="BJ127" s="399"/>
      <c r="BK127" s="399"/>
      <c r="BL127" s="399"/>
    </row>
    <row r="128" spans="2:64" s="304" customFormat="1" ht="7.5" customHeight="1">
      <c r="I128" s="401"/>
      <c r="J128" s="404"/>
      <c r="K128" s="401"/>
      <c r="L128" s="401"/>
      <c r="M128" s="401"/>
      <c r="N128" s="401"/>
      <c r="O128" s="401"/>
      <c r="P128" s="401"/>
      <c r="Q128" s="401"/>
      <c r="R128" s="398"/>
      <c r="S128" s="401"/>
      <c r="T128" s="401"/>
      <c r="U128" s="401"/>
      <c r="V128" s="401"/>
      <c r="W128" s="401"/>
      <c r="X128" s="401"/>
      <c r="Y128" s="401"/>
      <c r="Z128" s="404"/>
      <c r="AA128" s="401"/>
      <c r="AB128" s="401"/>
      <c r="AC128" s="401"/>
      <c r="AD128" s="401"/>
      <c r="AE128" s="401"/>
      <c r="AF128" s="401"/>
      <c r="AG128" s="401"/>
      <c r="AH128" s="404"/>
      <c r="AI128" s="401"/>
      <c r="AJ128" s="401"/>
      <c r="AK128" s="401"/>
      <c r="AL128" s="401"/>
      <c r="AM128" s="401"/>
      <c r="AN128" s="401"/>
      <c r="AO128" s="401"/>
      <c r="AP128" s="404"/>
      <c r="AQ128" s="401"/>
      <c r="AR128" s="401"/>
      <c r="AS128" s="401"/>
      <c r="AT128" s="401"/>
      <c r="AU128" s="401"/>
      <c r="AV128" s="401"/>
      <c r="AW128" s="401"/>
      <c r="AX128" s="406"/>
      <c r="AY128" s="405"/>
      <c r="AZ128" s="405"/>
      <c r="BA128" s="405"/>
      <c r="BB128" s="405"/>
      <c r="BC128" s="405"/>
      <c r="BD128" s="405"/>
      <c r="BE128" s="399"/>
      <c r="BF128" s="404"/>
      <c r="BG128" s="399"/>
      <c r="BH128" s="399"/>
      <c r="BI128" s="399"/>
      <c r="BJ128" s="399"/>
      <c r="BK128" s="399"/>
      <c r="BL128" s="399"/>
    </row>
    <row r="129" spans="1:64" s="305" customFormat="1" ht="7.5" customHeight="1">
      <c r="I129" s="405"/>
      <c r="J129" s="406"/>
      <c r="K129" s="405"/>
      <c r="L129" s="405"/>
      <c r="M129" s="405"/>
      <c r="N129" s="405"/>
      <c r="O129" s="405"/>
      <c r="P129" s="405"/>
      <c r="Q129" s="405"/>
      <c r="R129" s="397"/>
      <c r="S129" s="405"/>
      <c r="T129" s="405"/>
      <c r="U129" s="405"/>
      <c r="V129" s="405"/>
      <c r="W129" s="405"/>
      <c r="X129" s="405"/>
      <c r="Y129" s="405"/>
      <c r="Z129" s="406"/>
      <c r="AA129" s="405"/>
      <c r="AB129" s="405"/>
      <c r="AC129" s="405"/>
      <c r="AD129" s="405"/>
      <c r="AE129" s="405"/>
      <c r="AF129" s="405"/>
      <c r="AG129" s="405"/>
      <c r="AH129" s="406"/>
      <c r="AI129" s="405"/>
      <c r="AJ129" s="405"/>
      <c r="AK129" s="405"/>
      <c r="AL129" s="405"/>
      <c r="AM129" s="405"/>
      <c r="AN129" s="405"/>
      <c r="AO129" s="405"/>
      <c r="AP129" s="406"/>
      <c r="AQ129" s="405"/>
      <c r="AR129" s="405"/>
      <c r="AS129" s="405"/>
      <c r="AT129" s="405"/>
      <c r="AU129" s="405"/>
      <c r="AV129" s="405"/>
      <c r="AW129" s="402"/>
      <c r="AX129" s="404"/>
      <c r="AY129" s="401"/>
      <c r="AZ129" s="401"/>
      <c r="BA129" s="401"/>
      <c r="BB129" s="401"/>
      <c r="BC129" s="401"/>
      <c r="BD129" s="401"/>
      <c r="BE129" s="401"/>
      <c r="BF129" s="404"/>
      <c r="BG129" s="401"/>
      <c r="BH129" s="401"/>
      <c r="BI129" s="401"/>
      <c r="BJ129" s="401"/>
      <c r="BK129" s="401"/>
      <c r="BL129" s="401"/>
    </row>
    <row r="130" spans="1:64" s="304" customFormat="1" ht="7.5" customHeight="1">
      <c r="I130" s="401"/>
      <c r="J130" s="404"/>
      <c r="K130" s="401"/>
      <c r="L130" s="401"/>
      <c r="M130" s="401"/>
      <c r="N130" s="401"/>
      <c r="O130" s="401"/>
      <c r="P130" s="401"/>
      <c r="Q130" s="401"/>
      <c r="R130" s="398"/>
      <c r="S130" s="401"/>
      <c r="T130" s="401"/>
      <c r="U130" s="401"/>
      <c r="V130" s="401"/>
      <c r="W130" s="401"/>
      <c r="X130" s="401"/>
      <c r="Y130" s="401"/>
      <c r="Z130" s="404"/>
      <c r="AA130" s="401"/>
      <c r="AB130" s="401"/>
      <c r="AC130" s="401"/>
      <c r="AD130" s="401"/>
      <c r="AE130" s="401"/>
      <c r="AF130" s="401"/>
      <c r="AG130" s="401"/>
      <c r="AH130" s="404"/>
      <c r="AI130" s="401"/>
      <c r="AJ130" s="401"/>
      <c r="AK130" s="401"/>
      <c r="AL130" s="401"/>
      <c r="AM130" s="401"/>
      <c r="AN130" s="401"/>
      <c r="AO130" s="401"/>
      <c r="AP130" s="404"/>
      <c r="AQ130" s="401"/>
      <c r="AR130" s="401"/>
      <c r="AS130" s="401"/>
      <c r="AT130" s="401"/>
      <c r="AU130" s="401"/>
      <c r="AV130" s="401"/>
      <c r="AW130" s="402"/>
      <c r="AX130" s="403"/>
      <c r="AY130" s="402"/>
      <c r="AZ130" s="402"/>
      <c r="BA130" s="402"/>
      <c r="BB130" s="402"/>
      <c r="BC130" s="402"/>
      <c r="BD130" s="402"/>
      <c r="BE130" s="401"/>
      <c r="BF130" s="404"/>
      <c r="BG130" s="401"/>
      <c r="BH130" s="401"/>
      <c r="BI130" s="401"/>
      <c r="BJ130" s="401"/>
      <c r="BK130" s="401"/>
      <c r="BL130" s="401"/>
    </row>
    <row r="131" spans="1:64" s="302" customFormat="1" ht="6.95" customHeight="1">
      <c r="B131" s="52"/>
      <c r="G131" s="52"/>
      <c r="I131" s="402"/>
      <c r="J131" s="403"/>
      <c r="K131" s="402"/>
      <c r="L131" s="402"/>
      <c r="M131" s="402"/>
      <c r="N131" s="402"/>
      <c r="O131" s="402"/>
      <c r="P131" s="402"/>
      <c r="Q131" s="402"/>
      <c r="R131" s="398"/>
      <c r="S131" s="402"/>
      <c r="T131" s="402"/>
      <c r="U131" s="402"/>
      <c r="V131" s="402"/>
      <c r="W131" s="399"/>
      <c r="X131" s="402"/>
      <c r="Y131" s="402"/>
      <c r="Z131" s="403"/>
      <c r="AA131" s="402"/>
      <c r="AB131" s="402"/>
      <c r="AC131" s="402"/>
      <c r="AD131" s="402"/>
      <c r="AE131" s="402"/>
      <c r="AF131" s="402"/>
      <c r="AG131" s="402"/>
      <c r="AH131" s="403"/>
      <c r="AI131" s="402"/>
      <c r="AJ131" s="402"/>
      <c r="AK131" s="402"/>
      <c r="AL131" s="402"/>
      <c r="AM131" s="402"/>
      <c r="AN131" s="402"/>
      <c r="AO131" s="402"/>
      <c r="AP131" s="403"/>
      <c r="AQ131" s="402"/>
      <c r="AR131" s="402"/>
      <c r="AS131" s="402"/>
      <c r="AT131" s="402"/>
      <c r="AU131" s="402"/>
      <c r="AV131" s="402"/>
      <c r="AW131" s="402"/>
      <c r="AX131" s="403"/>
      <c r="AY131" s="402"/>
      <c r="AZ131" s="402"/>
      <c r="BA131" s="402"/>
      <c r="BB131" s="402"/>
      <c r="BC131" s="402"/>
      <c r="BD131" s="402"/>
      <c r="BE131" s="401"/>
      <c r="BF131" s="404"/>
      <c r="BG131" s="401"/>
      <c r="BH131" s="401"/>
      <c r="BI131" s="401"/>
      <c r="BJ131" s="401"/>
      <c r="BK131" s="401"/>
      <c r="BL131" s="401"/>
    </row>
    <row r="132" spans="1:64" s="302" customFormat="1" ht="6.95" customHeight="1">
      <c r="B132" s="52"/>
      <c r="G132" s="52"/>
      <c r="I132" s="402"/>
      <c r="J132" s="403"/>
      <c r="K132" s="402"/>
      <c r="L132" s="402"/>
      <c r="M132" s="402"/>
      <c r="N132" s="402"/>
      <c r="O132" s="402"/>
      <c r="P132" s="402"/>
      <c r="Q132" s="407"/>
      <c r="R132" s="387"/>
      <c r="S132" s="408"/>
      <c r="T132" s="402"/>
      <c r="U132" s="402"/>
      <c r="V132" s="402"/>
      <c r="W132" s="399"/>
      <c r="X132" s="402"/>
      <c r="Y132" s="402"/>
      <c r="Z132" s="403"/>
      <c r="AA132" s="402"/>
      <c r="AB132" s="402"/>
      <c r="AC132" s="402"/>
      <c r="AD132" s="402"/>
      <c r="AE132" s="402"/>
      <c r="AF132" s="402"/>
      <c r="AG132" s="402"/>
      <c r="AH132" s="403"/>
      <c r="AI132" s="402"/>
      <c r="AJ132" s="402"/>
      <c r="AK132" s="402"/>
      <c r="AL132" s="402"/>
      <c r="AM132" s="402"/>
      <c r="AN132" s="402"/>
      <c r="AO132" s="402"/>
      <c r="AP132" s="403"/>
      <c r="AQ132" s="402"/>
      <c r="AR132" s="402"/>
      <c r="AS132" s="402"/>
      <c r="AT132" s="402"/>
      <c r="AU132" s="402"/>
      <c r="AV132" s="402"/>
      <c r="AW132" s="402"/>
      <c r="AX132" s="403"/>
      <c r="AY132" s="402"/>
      <c r="AZ132" s="402"/>
      <c r="BA132" s="402"/>
      <c r="BB132" s="402"/>
      <c r="BC132" s="402"/>
      <c r="BD132" s="402"/>
      <c r="BE132" s="401"/>
      <c r="BF132" s="404"/>
      <c r="BG132" s="401"/>
      <c r="BH132" s="401"/>
      <c r="BI132" s="401"/>
      <c r="BJ132" s="401"/>
      <c r="BK132" s="401"/>
      <c r="BL132" s="401"/>
    </row>
    <row r="133" spans="1:64" s="302" customFormat="1" ht="6.95" customHeight="1">
      <c r="B133" s="52"/>
      <c r="G133" s="52"/>
      <c r="I133" s="402"/>
      <c r="J133" s="403"/>
      <c r="K133" s="402"/>
      <c r="L133" s="402"/>
      <c r="M133" s="402"/>
      <c r="N133" s="402"/>
      <c r="O133" s="402"/>
      <c r="P133" s="402"/>
      <c r="Q133" s="407"/>
      <c r="R133" s="387"/>
      <c r="S133" s="408"/>
      <c r="T133" s="402"/>
      <c r="U133" s="402"/>
      <c r="V133" s="402"/>
      <c r="W133" s="399"/>
      <c r="X133" s="402"/>
      <c r="Y133" s="402"/>
      <c r="Z133" s="403"/>
      <c r="AA133" s="402"/>
      <c r="AB133" s="402"/>
      <c r="AC133" s="402"/>
      <c r="AD133" s="402"/>
      <c r="AE133" s="402"/>
      <c r="AF133" s="402"/>
      <c r="AG133" s="402"/>
      <c r="AH133" s="403"/>
      <c r="AI133" s="402"/>
      <c r="AJ133" s="402"/>
      <c r="AK133" s="402"/>
      <c r="AL133" s="402"/>
      <c r="AM133" s="402"/>
      <c r="AN133" s="402"/>
      <c r="AO133" s="402"/>
      <c r="AP133" s="403"/>
      <c r="AQ133" s="402"/>
      <c r="AR133" s="402"/>
      <c r="AS133" s="402"/>
      <c r="AT133" s="402"/>
      <c r="AU133" s="402"/>
      <c r="AV133" s="402"/>
      <c r="AW133" s="402"/>
      <c r="AX133" s="403"/>
      <c r="AY133" s="402"/>
      <c r="AZ133" s="402"/>
      <c r="BA133" s="402"/>
      <c r="BB133" s="402"/>
      <c r="BC133" s="402"/>
      <c r="BD133" s="402"/>
      <c r="BE133" s="405"/>
      <c r="BF133" s="406"/>
      <c r="BG133" s="405"/>
      <c r="BH133" s="405"/>
      <c r="BI133" s="405"/>
      <c r="BJ133" s="405"/>
      <c r="BK133" s="405"/>
      <c r="BL133" s="405"/>
    </row>
    <row r="134" spans="1:64" s="302" customFormat="1" ht="6.95" customHeight="1">
      <c r="B134" s="52"/>
      <c r="G134" s="52"/>
      <c r="I134" s="402"/>
      <c r="J134" s="403"/>
      <c r="K134" s="402"/>
      <c r="L134" s="402"/>
      <c r="M134" s="402"/>
      <c r="N134" s="402"/>
      <c r="O134" s="402"/>
      <c r="P134" s="402"/>
      <c r="Q134" s="407"/>
      <c r="R134" s="387"/>
      <c r="S134" s="408"/>
      <c r="T134" s="402"/>
      <c r="U134" s="402"/>
      <c r="V134" s="402"/>
      <c r="W134" s="399"/>
      <c r="X134" s="402"/>
      <c r="Y134" s="402"/>
      <c r="Z134" s="403"/>
      <c r="AA134" s="402"/>
      <c r="AB134" s="402"/>
      <c r="AC134" s="402"/>
      <c r="AD134" s="402"/>
      <c r="AE134" s="402"/>
      <c r="AF134" s="402"/>
      <c r="AG134" s="402"/>
      <c r="AH134" s="403"/>
      <c r="AI134" s="402"/>
      <c r="AJ134" s="402"/>
      <c r="AK134" s="402"/>
      <c r="AL134" s="402"/>
      <c r="AM134" s="402"/>
      <c r="AN134" s="402"/>
      <c r="AO134" s="402"/>
      <c r="AP134" s="403"/>
      <c r="AQ134" s="402"/>
      <c r="AR134" s="402"/>
      <c r="AS134" s="402"/>
      <c r="AT134" s="402"/>
      <c r="AU134" s="402"/>
      <c r="AV134" s="402"/>
      <c r="AW134" s="402"/>
      <c r="AX134" s="403"/>
      <c r="AY134" s="402"/>
      <c r="AZ134" s="402"/>
      <c r="BA134" s="402"/>
      <c r="BB134" s="402"/>
      <c r="BC134" s="402"/>
      <c r="BD134" s="402"/>
      <c r="BE134" s="401"/>
      <c r="BF134" s="404"/>
      <c r="BG134" s="401"/>
      <c r="BH134" s="401"/>
      <c r="BI134" s="401"/>
      <c r="BJ134" s="401"/>
      <c r="BK134" s="401"/>
      <c r="BL134" s="401"/>
    </row>
    <row r="135" spans="1:64" s="302" customFormat="1" ht="6.95" customHeight="1">
      <c r="B135" s="52"/>
      <c r="G135" s="52"/>
      <c r="I135" s="402"/>
      <c r="J135" s="403"/>
      <c r="K135" s="402"/>
      <c r="L135" s="402"/>
      <c r="M135" s="402"/>
      <c r="N135" s="402"/>
      <c r="O135" s="402"/>
      <c r="P135" s="402"/>
      <c r="Q135" s="407"/>
      <c r="R135" s="387"/>
      <c r="S135" s="408"/>
      <c r="T135" s="407"/>
      <c r="U135" s="407"/>
      <c r="V135" s="407"/>
      <c r="W135" s="378"/>
      <c r="X135" s="407"/>
      <c r="Y135" s="402"/>
      <c r="Z135" s="403"/>
      <c r="AA135" s="402"/>
      <c r="AB135" s="402"/>
      <c r="AC135" s="402"/>
      <c r="AD135" s="402"/>
      <c r="AE135" s="402"/>
      <c r="AF135" s="402"/>
      <c r="AG135" s="402"/>
      <c r="AH135" s="403"/>
      <c r="AI135" s="402"/>
      <c r="AJ135" s="402"/>
      <c r="AK135" s="402"/>
      <c r="AL135" s="402"/>
      <c r="AM135" s="402"/>
      <c r="AN135" s="402"/>
      <c r="AO135" s="402"/>
      <c r="AP135" s="403"/>
      <c r="AQ135" s="402"/>
      <c r="AR135" s="402"/>
      <c r="AS135" s="402"/>
      <c r="AT135" s="402"/>
      <c r="AU135" s="402"/>
      <c r="AV135" s="402"/>
      <c r="AW135" s="402"/>
      <c r="AX135" s="403"/>
      <c r="AY135" s="402"/>
      <c r="AZ135" s="402"/>
      <c r="BA135" s="402"/>
      <c r="BB135" s="402"/>
      <c r="BC135" s="402"/>
      <c r="BD135" s="402"/>
      <c r="BE135" s="402"/>
      <c r="BF135" s="403"/>
      <c r="BG135" s="402"/>
      <c r="BH135" s="402"/>
      <c r="BI135" s="402"/>
      <c r="BJ135" s="402"/>
      <c r="BK135" s="402"/>
      <c r="BL135" s="402"/>
    </row>
    <row r="136" spans="1:64" s="302" customFormat="1" ht="6.95" customHeight="1">
      <c r="B136" s="52"/>
      <c r="G136" s="52"/>
      <c r="I136" s="402"/>
      <c r="J136" s="403"/>
      <c r="K136" s="402"/>
      <c r="L136" s="402"/>
      <c r="M136" s="402"/>
      <c r="N136" s="402"/>
      <c r="O136" s="402"/>
      <c r="P136" s="402"/>
      <c r="Q136" s="402"/>
      <c r="R136" s="398"/>
      <c r="S136" s="402"/>
      <c r="T136" s="402"/>
      <c r="U136" s="402"/>
      <c r="V136" s="402"/>
      <c r="W136" s="399"/>
      <c r="X136" s="402"/>
      <c r="Y136" s="402"/>
      <c r="Z136" s="403"/>
      <c r="AA136" s="402"/>
      <c r="AB136" s="402"/>
      <c r="AC136" s="402"/>
      <c r="AD136" s="402"/>
      <c r="AE136" s="402"/>
      <c r="AF136" s="402"/>
      <c r="AG136" s="402"/>
      <c r="AH136" s="403"/>
      <c r="AI136" s="402"/>
      <c r="AJ136" s="402"/>
      <c r="AK136" s="402"/>
      <c r="AL136" s="402"/>
      <c r="AM136" s="402"/>
      <c r="AN136" s="402"/>
      <c r="AO136" s="402"/>
      <c r="AP136" s="403"/>
      <c r="AQ136" s="402"/>
      <c r="AR136" s="402"/>
      <c r="AS136" s="402"/>
      <c r="AT136" s="402"/>
      <c r="AU136" s="402"/>
      <c r="AV136" s="402"/>
      <c r="AW136" s="402"/>
      <c r="AX136" s="403"/>
      <c r="AY136" s="402"/>
      <c r="AZ136" s="402"/>
      <c r="BA136" s="402"/>
      <c r="BB136" s="402"/>
      <c r="BC136" s="402"/>
      <c r="BD136" s="402"/>
      <c r="BE136" s="402"/>
      <c r="BF136" s="403"/>
      <c r="BG136" s="402"/>
      <c r="BH136" s="402"/>
      <c r="BI136" s="402"/>
      <c r="BJ136" s="402"/>
      <c r="BK136" s="402"/>
      <c r="BL136" s="402"/>
    </row>
    <row r="137" spans="1:64" s="302" customFormat="1" ht="6.95" customHeight="1">
      <c r="A137" s="303"/>
      <c r="B137" s="52"/>
      <c r="G137" s="52"/>
      <c r="I137" s="402"/>
      <c r="J137" s="403"/>
      <c r="K137" s="402"/>
      <c r="L137" s="402"/>
      <c r="M137" s="402"/>
      <c r="N137" s="402"/>
      <c r="O137" s="402"/>
      <c r="P137" s="402"/>
      <c r="Q137" s="402"/>
      <c r="R137" s="398"/>
      <c r="S137" s="402"/>
      <c r="T137" s="402"/>
      <c r="U137" s="402"/>
      <c r="V137" s="402"/>
      <c r="W137" s="399"/>
      <c r="X137" s="402"/>
      <c r="Y137" s="402"/>
      <c r="Z137" s="403"/>
      <c r="AA137" s="402"/>
      <c r="AB137" s="402"/>
      <c r="AC137" s="402"/>
      <c r="AD137" s="402"/>
      <c r="AE137" s="402"/>
      <c r="AF137" s="402"/>
      <c r="AG137" s="402"/>
      <c r="AH137" s="403"/>
      <c r="AI137" s="402"/>
      <c r="AJ137" s="402"/>
      <c r="AK137" s="402"/>
      <c r="AL137" s="402"/>
      <c r="AM137" s="402"/>
      <c r="AN137" s="402"/>
      <c r="AO137" s="402"/>
      <c r="AP137" s="403"/>
      <c r="AQ137" s="402"/>
      <c r="AR137" s="402"/>
      <c r="AS137" s="402"/>
      <c r="AT137" s="402"/>
      <c r="AU137" s="402"/>
      <c r="AV137" s="402"/>
      <c r="AW137" s="402"/>
      <c r="AX137" s="403"/>
      <c r="AY137" s="402"/>
      <c r="AZ137" s="402"/>
      <c r="BA137" s="402"/>
      <c r="BB137" s="402"/>
      <c r="BC137" s="402"/>
      <c r="BD137" s="402"/>
      <c r="BE137" s="402"/>
      <c r="BF137" s="403"/>
      <c r="BG137" s="402"/>
      <c r="BH137" s="402"/>
      <c r="BI137" s="402"/>
      <c r="BJ137" s="402"/>
      <c r="BK137" s="402"/>
      <c r="BL137" s="402"/>
    </row>
    <row r="138" spans="1:64" s="302" customFormat="1" ht="6.95" customHeight="1">
      <c r="B138" s="52"/>
      <c r="G138" s="52"/>
      <c r="I138" s="402"/>
      <c r="J138" s="403"/>
      <c r="K138" s="402"/>
      <c r="L138" s="402"/>
      <c r="M138" s="402"/>
      <c r="N138" s="402"/>
      <c r="O138" s="402"/>
      <c r="P138" s="402"/>
      <c r="Q138" s="402"/>
      <c r="R138" s="398"/>
      <c r="S138" s="402"/>
      <c r="T138" s="402"/>
      <c r="U138" s="402"/>
      <c r="V138" s="402"/>
      <c r="W138" s="399"/>
      <c r="X138" s="402"/>
      <c r="Y138" s="402"/>
      <c r="Z138" s="403"/>
      <c r="AA138" s="402"/>
      <c r="AB138" s="402"/>
      <c r="AC138" s="402"/>
      <c r="AD138" s="402"/>
      <c r="AE138" s="402"/>
      <c r="AF138" s="402"/>
      <c r="AG138" s="402"/>
      <c r="AH138" s="403"/>
      <c r="AI138" s="402"/>
      <c r="AJ138" s="402"/>
      <c r="AK138" s="402"/>
      <c r="AL138" s="402"/>
      <c r="AM138" s="402"/>
      <c r="AN138" s="402"/>
      <c r="AO138" s="402"/>
      <c r="AP138" s="403"/>
      <c r="AQ138" s="402"/>
      <c r="AR138" s="402"/>
      <c r="AS138" s="402"/>
      <c r="AT138" s="402"/>
      <c r="AU138" s="402"/>
      <c r="AV138" s="402"/>
      <c r="AW138" s="399"/>
      <c r="AX138" s="403"/>
      <c r="AY138" s="402"/>
      <c r="AZ138" s="402"/>
      <c r="BA138" s="402"/>
      <c r="BB138" s="402"/>
      <c r="BC138" s="402"/>
      <c r="BD138" s="402"/>
      <c r="BE138" s="402"/>
      <c r="BF138" s="403"/>
      <c r="BG138" s="402"/>
      <c r="BH138" s="402"/>
      <c r="BI138" s="402"/>
      <c r="BJ138" s="402"/>
      <c r="BK138" s="402"/>
      <c r="BL138" s="402"/>
    </row>
    <row r="139" spans="1:64" s="302" customFormat="1" ht="9" customHeight="1">
      <c r="B139" s="52"/>
      <c r="G139" s="52"/>
      <c r="I139" s="402"/>
      <c r="J139" s="403"/>
      <c r="K139" s="402"/>
      <c r="L139" s="402"/>
      <c r="M139" s="402"/>
      <c r="N139" s="402"/>
      <c r="O139" s="402"/>
      <c r="P139" s="402"/>
      <c r="Q139" s="402"/>
      <c r="R139" s="398"/>
      <c r="S139" s="402"/>
      <c r="T139" s="402"/>
      <c r="U139" s="402"/>
      <c r="V139" s="402"/>
      <c r="W139" s="399"/>
      <c r="X139" s="402"/>
      <c r="Y139" s="402"/>
      <c r="Z139" s="403"/>
      <c r="AA139" s="402"/>
      <c r="AB139" s="402"/>
      <c r="AC139" s="402"/>
      <c r="AD139" s="402"/>
      <c r="AE139" s="402"/>
      <c r="AF139" s="402"/>
      <c r="AG139" s="402"/>
      <c r="AH139" s="403"/>
      <c r="AI139" s="402"/>
      <c r="AJ139" s="402"/>
      <c r="AK139" s="402"/>
      <c r="AL139" s="402"/>
      <c r="AM139" s="402"/>
      <c r="AN139" s="402"/>
      <c r="AO139" s="402"/>
      <c r="AP139" s="403"/>
      <c r="AQ139" s="402"/>
      <c r="AR139" s="402"/>
      <c r="AS139" s="402"/>
      <c r="AT139" s="402"/>
      <c r="AU139" s="402"/>
      <c r="AV139" s="402"/>
      <c r="AW139" s="399"/>
      <c r="AX139" s="404"/>
      <c r="AY139" s="399"/>
      <c r="AZ139" s="399"/>
      <c r="BA139" s="399"/>
      <c r="BB139" s="399"/>
      <c r="BC139" s="399"/>
      <c r="BD139" s="399"/>
      <c r="BE139" s="402"/>
      <c r="BF139" s="403"/>
      <c r="BG139" s="402"/>
      <c r="BH139" s="402"/>
      <c r="BI139" s="402"/>
      <c r="BJ139" s="402"/>
      <c r="BK139" s="402"/>
      <c r="BL139" s="402"/>
    </row>
    <row r="140" spans="1:64" s="52" customFormat="1" ht="8.1" customHeight="1">
      <c r="I140" s="399"/>
      <c r="J140" s="404"/>
      <c r="K140" s="399"/>
      <c r="L140" s="399"/>
      <c r="M140" s="399"/>
      <c r="N140" s="399"/>
      <c r="O140" s="399"/>
      <c r="P140" s="399"/>
      <c r="Q140" s="399"/>
      <c r="R140" s="398"/>
      <c r="S140" s="399"/>
      <c r="T140" s="399"/>
      <c r="U140" s="399"/>
      <c r="V140" s="399"/>
      <c r="W140" s="399"/>
      <c r="X140" s="399"/>
      <c r="Y140" s="399"/>
      <c r="Z140" s="404"/>
      <c r="AA140" s="399"/>
      <c r="AB140" s="399"/>
      <c r="AC140" s="399"/>
      <c r="AD140" s="399"/>
      <c r="AE140" s="399"/>
      <c r="AF140" s="399"/>
      <c r="AG140" s="399"/>
      <c r="AH140" s="404"/>
      <c r="AI140" s="399"/>
      <c r="AJ140" s="399"/>
      <c r="AK140" s="399"/>
      <c r="AL140" s="399"/>
      <c r="AM140" s="399"/>
      <c r="AN140" s="399"/>
      <c r="AO140" s="399"/>
      <c r="AP140" s="404"/>
      <c r="AQ140" s="399"/>
      <c r="AR140" s="399"/>
      <c r="AS140" s="399"/>
      <c r="AT140" s="399"/>
      <c r="AU140" s="399"/>
      <c r="AV140" s="399"/>
      <c r="AW140" s="399"/>
      <c r="AX140" s="404"/>
      <c r="AY140" s="399"/>
      <c r="AZ140" s="399"/>
      <c r="BA140" s="399"/>
      <c r="BB140" s="399"/>
      <c r="BC140" s="399"/>
      <c r="BD140" s="399"/>
      <c r="BE140" s="402"/>
      <c r="BF140" s="403"/>
      <c r="BG140" s="402"/>
      <c r="BH140" s="402"/>
      <c r="BI140" s="402"/>
      <c r="BJ140" s="402"/>
      <c r="BK140" s="402"/>
      <c r="BL140" s="402"/>
    </row>
    <row r="141" spans="1:64" s="52" customFormat="1" ht="8.1" customHeight="1">
      <c r="I141" s="399"/>
      <c r="J141" s="404"/>
      <c r="K141" s="399"/>
      <c r="L141" s="399"/>
      <c r="M141" s="399"/>
      <c r="N141" s="399"/>
      <c r="O141" s="399"/>
      <c r="P141" s="399"/>
      <c r="Q141" s="399"/>
      <c r="R141" s="398"/>
      <c r="S141" s="399"/>
      <c r="T141" s="399"/>
      <c r="U141" s="399"/>
      <c r="V141" s="399"/>
      <c r="W141" s="399"/>
      <c r="X141" s="399"/>
      <c r="Y141" s="399"/>
      <c r="Z141" s="404"/>
      <c r="AA141" s="399"/>
      <c r="AB141" s="399"/>
      <c r="AC141" s="399"/>
      <c r="AD141" s="399"/>
      <c r="AE141" s="399"/>
      <c r="AF141" s="399"/>
      <c r="AG141" s="399"/>
      <c r="AH141" s="404"/>
      <c r="AI141" s="399"/>
      <c r="AJ141" s="399"/>
      <c r="AK141" s="399"/>
      <c r="AL141" s="399"/>
      <c r="AM141" s="399"/>
      <c r="AN141" s="399"/>
      <c r="AO141" s="399"/>
      <c r="AP141" s="404"/>
      <c r="AQ141" s="399"/>
      <c r="AR141" s="399"/>
      <c r="AS141" s="399"/>
      <c r="AT141" s="399"/>
      <c r="AU141" s="399"/>
      <c r="AV141" s="399"/>
      <c r="AW141" s="399"/>
      <c r="AX141" s="404"/>
      <c r="AY141" s="399"/>
      <c r="AZ141" s="399"/>
      <c r="BA141" s="399"/>
      <c r="BB141" s="399"/>
      <c r="BC141" s="399"/>
      <c r="BD141" s="399"/>
      <c r="BE141" s="402"/>
      <c r="BF141" s="403"/>
      <c r="BG141" s="402"/>
      <c r="BH141" s="402"/>
      <c r="BI141" s="402"/>
      <c r="BJ141" s="402"/>
      <c r="BK141" s="402"/>
      <c r="BL141" s="402"/>
    </row>
    <row r="142" spans="1:64" s="52" customFormat="1" ht="8.1" customHeight="1">
      <c r="I142" s="399"/>
      <c r="J142" s="404"/>
      <c r="K142" s="399"/>
      <c r="L142" s="399"/>
      <c r="M142" s="399"/>
      <c r="N142" s="399"/>
      <c r="O142" s="399"/>
      <c r="P142" s="399"/>
      <c r="Q142" s="399"/>
      <c r="R142" s="398"/>
      <c r="S142" s="399"/>
      <c r="T142" s="399"/>
      <c r="U142" s="399"/>
      <c r="V142" s="399"/>
      <c r="W142" s="399"/>
      <c r="X142" s="399"/>
      <c r="Y142" s="399"/>
      <c r="Z142" s="404"/>
      <c r="AA142" s="399"/>
      <c r="AB142" s="399"/>
      <c r="AC142" s="399"/>
      <c r="AD142" s="399"/>
      <c r="AE142" s="399"/>
      <c r="AF142" s="399"/>
      <c r="AG142" s="399"/>
      <c r="AH142" s="404"/>
      <c r="AI142" s="399"/>
      <c r="AJ142" s="399"/>
      <c r="AK142" s="399"/>
      <c r="AL142" s="399"/>
      <c r="AM142" s="399"/>
      <c r="AN142" s="399"/>
      <c r="AO142" s="399"/>
      <c r="AP142" s="404"/>
      <c r="AQ142" s="399"/>
      <c r="AR142" s="399"/>
      <c r="AS142" s="399"/>
      <c r="AT142" s="399"/>
      <c r="AU142" s="399"/>
      <c r="AV142" s="399"/>
      <c r="AW142" s="399"/>
      <c r="AX142" s="404"/>
      <c r="AY142" s="399"/>
      <c r="AZ142" s="399"/>
      <c r="BA142" s="399"/>
      <c r="BB142" s="399"/>
      <c r="BC142" s="399"/>
      <c r="BD142" s="399"/>
      <c r="BE142" s="402"/>
      <c r="BF142" s="403"/>
      <c r="BG142" s="402"/>
      <c r="BH142" s="402"/>
      <c r="BI142" s="402"/>
      <c r="BJ142" s="402"/>
      <c r="BK142" s="402"/>
      <c r="BL142" s="402"/>
    </row>
    <row r="143" spans="1:64" s="52" customFormat="1" ht="8.1" customHeight="1">
      <c r="A143" s="301"/>
      <c r="I143" s="399"/>
      <c r="J143" s="404"/>
      <c r="K143" s="399"/>
      <c r="L143" s="399"/>
      <c r="M143" s="399"/>
      <c r="N143" s="399"/>
      <c r="O143" s="399"/>
      <c r="P143" s="399"/>
      <c r="Q143" s="399"/>
      <c r="R143" s="398"/>
      <c r="S143" s="399"/>
      <c r="T143" s="399"/>
      <c r="U143" s="399"/>
      <c r="V143" s="399"/>
      <c r="W143" s="399"/>
      <c r="X143" s="399"/>
      <c r="Y143" s="399"/>
      <c r="Z143" s="404"/>
      <c r="AA143" s="399"/>
      <c r="AB143" s="399"/>
      <c r="AC143" s="399"/>
      <c r="AD143" s="399"/>
      <c r="AE143" s="399"/>
      <c r="AF143" s="399"/>
      <c r="AG143" s="399"/>
      <c r="AH143" s="404"/>
      <c r="AI143" s="399"/>
      <c r="AJ143" s="399"/>
      <c r="AK143" s="399"/>
      <c r="AL143" s="399"/>
      <c r="AM143" s="399"/>
      <c r="AN143" s="399"/>
      <c r="AO143" s="399"/>
      <c r="AP143" s="404"/>
      <c r="AQ143" s="399"/>
      <c r="AR143" s="399"/>
      <c r="AS143" s="399"/>
      <c r="AT143" s="399"/>
      <c r="AU143" s="399"/>
      <c r="AV143" s="399"/>
      <c r="AW143" s="399"/>
      <c r="AX143" s="404"/>
      <c r="AY143" s="399"/>
      <c r="AZ143" s="399"/>
      <c r="BA143" s="399"/>
      <c r="BB143" s="399"/>
      <c r="BC143" s="399"/>
      <c r="BD143" s="399"/>
      <c r="BE143" s="402"/>
      <c r="BF143" s="403"/>
      <c r="BG143" s="402"/>
      <c r="BH143" s="402"/>
      <c r="BI143" s="402"/>
      <c r="BJ143" s="402"/>
      <c r="BK143" s="402"/>
      <c r="BL143" s="402"/>
    </row>
    <row r="144" spans="1:64" s="52" customFormat="1" ht="8.1" customHeight="1">
      <c r="I144" s="399"/>
      <c r="J144" s="404"/>
      <c r="K144" s="399"/>
      <c r="L144" s="399"/>
      <c r="M144" s="399"/>
      <c r="N144" s="399"/>
      <c r="O144" s="399"/>
      <c r="P144" s="399"/>
      <c r="Q144" s="399"/>
      <c r="R144" s="398"/>
      <c r="S144" s="399"/>
      <c r="T144" s="399"/>
      <c r="U144" s="399"/>
      <c r="V144" s="399"/>
      <c r="W144" s="399"/>
      <c r="X144" s="399"/>
      <c r="Y144" s="399"/>
      <c r="Z144" s="404"/>
      <c r="AA144" s="399"/>
      <c r="AB144" s="399"/>
      <c r="AC144" s="399"/>
      <c r="AD144" s="399"/>
      <c r="AE144" s="399"/>
      <c r="AF144" s="399"/>
      <c r="AG144" s="399"/>
      <c r="AH144" s="404"/>
      <c r="AI144" s="399"/>
      <c r="AJ144" s="399"/>
      <c r="AK144" s="399"/>
      <c r="AL144" s="399"/>
      <c r="AM144" s="399"/>
      <c r="AN144" s="399"/>
      <c r="AO144" s="399"/>
      <c r="AP144" s="404"/>
      <c r="AQ144" s="399"/>
      <c r="AR144" s="399"/>
      <c r="AS144" s="399"/>
      <c r="AT144" s="399"/>
      <c r="AU144" s="399"/>
      <c r="AV144" s="399"/>
      <c r="AW144" s="399"/>
      <c r="AX144" s="404"/>
      <c r="AY144" s="399"/>
      <c r="AZ144" s="399"/>
      <c r="BA144" s="399"/>
      <c r="BB144" s="399"/>
      <c r="BC144" s="399"/>
      <c r="BD144" s="399"/>
      <c r="BE144" s="399"/>
      <c r="BF144" s="404"/>
      <c r="BG144" s="399"/>
      <c r="BH144" s="399"/>
      <c r="BI144" s="399"/>
      <c r="BJ144" s="399"/>
      <c r="BK144" s="399"/>
      <c r="BL144" s="399"/>
    </row>
    <row r="145" spans="1:64" s="52" customFormat="1" ht="8.1" customHeight="1">
      <c r="I145" s="399"/>
      <c r="J145" s="404"/>
      <c r="K145" s="399"/>
      <c r="L145" s="399"/>
      <c r="M145" s="399"/>
      <c r="N145" s="399"/>
      <c r="O145" s="399"/>
      <c r="P145" s="399"/>
      <c r="Q145" s="399"/>
      <c r="R145" s="398"/>
      <c r="S145" s="399"/>
      <c r="T145" s="399"/>
      <c r="U145" s="399"/>
      <c r="V145" s="399"/>
      <c r="W145" s="399"/>
      <c r="X145" s="399"/>
      <c r="Y145" s="399"/>
      <c r="Z145" s="404"/>
      <c r="AA145" s="399"/>
      <c r="AB145" s="399"/>
      <c r="AC145" s="399"/>
      <c r="AD145" s="399"/>
      <c r="AE145" s="399"/>
      <c r="AF145" s="399"/>
      <c r="AG145" s="399"/>
      <c r="AH145" s="404"/>
      <c r="AI145" s="399"/>
      <c r="AJ145" s="399"/>
      <c r="AK145" s="399"/>
      <c r="AL145" s="399"/>
      <c r="AM145" s="399"/>
      <c r="AN145" s="399"/>
      <c r="AO145" s="399"/>
      <c r="AP145" s="404"/>
      <c r="AQ145" s="399"/>
      <c r="AR145" s="399"/>
      <c r="AS145" s="399"/>
      <c r="AT145" s="399"/>
      <c r="AU145" s="399"/>
      <c r="AV145" s="399"/>
      <c r="AW145" s="399"/>
      <c r="AX145" s="404"/>
      <c r="AY145" s="399"/>
      <c r="AZ145" s="399"/>
      <c r="BA145" s="399"/>
      <c r="BB145" s="399"/>
      <c r="BC145" s="399"/>
      <c r="BD145" s="399"/>
      <c r="BE145" s="399"/>
      <c r="BF145" s="404"/>
      <c r="BG145" s="399"/>
      <c r="BH145" s="399"/>
      <c r="BI145" s="399"/>
      <c r="BJ145" s="399"/>
      <c r="BK145" s="399"/>
      <c r="BL145" s="399"/>
    </row>
    <row r="146" spans="1:64" s="52" customFormat="1" ht="8.1" customHeight="1">
      <c r="I146" s="399"/>
      <c r="J146" s="404"/>
      <c r="K146" s="399"/>
      <c r="L146" s="399"/>
      <c r="M146" s="399"/>
      <c r="N146" s="399"/>
      <c r="O146" s="399"/>
      <c r="P146" s="399"/>
      <c r="Q146" s="399"/>
      <c r="R146" s="398"/>
      <c r="S146" s="399"/>
      <c r="T146" s="399"/>
      <c r="U146" s="399"/>
      <c r="V146" s="399"/>
      <c r="W146" s="399"/>
      <c r="X146" s="399"/>
      <c r="Y146" s="399"/>
      <c r="Z146" s="404"/>
      <c r="AA146" s="399"/>
      <c r="AB146" s="399"/>
      <c r="AC146" s="399"/>
      <c r="AD146" s="399"/>
      <c r="AE146" s="399"/>
      <c r="AF146" s="399"/>
      <c r="AG146" s="399"/>
      <c r="AH146" s="404"/>
      <c r="AI146" s="399"/>
      <c r="AJ146" s="399"/>
      <c r="AK146" s="399"/>
      <c r="AL146" s="399"/>
      <c r="AM146" s="399"/>
      <c r="AN146" s="399"/>
      <c r="AO146" s="399"/>
      <c r="AP146" s="404"/>
      <c r="AQ146" s="399"/>
      <c r="AR146" s="399"/>
      <c r="AS146" s="399"/>
      <c r="AT146" s="399"/>
      <c r="AU146" s="399"/>
      <c r="AV146" s="399"/>
      <c r="AW146" s="399"/>
      <c r="AX146" s="404"/>
      <c r="AY146" s="399"/>
      <c r="AZ146" s="399"/>
      <c r="BA146" s="399"/>
      <c r="BB146" s="399"/>
      <c r="BC146" s="399"/>
      <c r="BD146" s="399"/>
      <c r="BE146" s="399"/>
      <c r="BF146" s="404"/>
      <c r="BG146" s="399"/>
      <c r="BH146" s="399"/>
      <c r="BI146" s="399"/>
      <c r="BJ146" s="399"/>
      <c r="BK146" s="399"/>
      <c r="BL146" s="399"/>
    </row>
    <row r="147" spans="1:64" s="52" customFormat="1" ht="8.1" customHeight="1">
      <c r="I147" s="399"/>
      <c r="J147" s="404"/>
      <c r="K147" s="399"/>
      <c r="L147" s="399"/>
      <c r="M147" s="399"/>
      <c r="N147" s="399"/>
      <c r="O147" s="399"/>
      <c r="P147" s="399"/>
      <c r="Q147" s="399"/>
      <c r="R147" s="398"/>
      <c r="S147" s="399"/>
      <c r="T147" s="399"/>
      <c r="U147" s="399"/>
      <c r="V147" s="399"/>
      <c r="W147" s="399"/>
      <c r="X147" s="399"/>
      <c r="Y147" s="399"/>
      <c r="Z147" s="404"/>
      <c r="AA147" s="399"/>
      <c r="AB147" s="399"/>
      <c r="AC147" s="399"/>
      <c r="AD147" s="399"/>
      <c r="AE147" s="399"/>
      <c r="AF147" s="399"/>
      <c r="AG147" s="399"/>
      <c r="AH147" s="404"/>
      <c r="AI147" s="399"/>
      <c r="AJ147" s="399"/>
      <c r="AK147" s="399"/>
      <c r="AL147" s="399"/>
      <c r="AM147" s="399"/>
      <c r="AN147" s="399"/>
      <c r="AO147" s="399"/>
      <c r="AP147" s="404"/>
      <c r="AQ147" s="399"/>
      <c r="AR147" s="399"/>
      <c r="AS147" s="399"/>
      <c r="AT147" s="399"/>
      <c r="AU147" s="399"/>
      <c r="AV147" s="399"/>
      <c r="AW147" s="399"/>
      <c r="AX147" s="404"/>
      <c r="AY147" s="399"/>
      <c r="AZ147" s="399"/>
      <c r="BA147" s="399"/>
      <c r="BB147" s="399"/>
      <c r="BC147" s="399"/>
      <c r="BD147" s="399"/>
      <c r="BE147" s="399"/>
      <c r="BF147" s="404"/>
      <c r="BG147" s="399"/>
      <c r="BH147" s="399"/>
      <c r="BI147" s="399"/>
      <c r="BJ147" s="399"/>
      <c r="BK147" s="399"/>
      <c r="BL147" s="399"/>
    </row>
    <row r="148" spans="1:64" s="52" customFormat="1" ht="8.1" customHeight="1">
      <c r="A148" s="157"/>
      <c r="B148" s="13"/>
      <c r="C148" s="13"/>
      <c r="D148" s="156"/>
      <c r="E148" s="159"/>
      <c r="F148" s="156"/>
      <c r="G148" s="156"/>
      <c r="H148" s="156"/>
      <c r="I148" s="399"/>
      <c r="J148" s="404"/>
      <c r="K148" s="399"/>
      <c r="L148" s="399"/>
      <c r="M148" s="399"/>
      <c r="N148" s="399"/>
      <c r="O148" s="399"/>
      <c r="P148" s="399"/>
      <c r="Q148" s="399"/>
      <c r="R148" s="398"/>
      <c r="S148" s="399"/>
      <c r="T148" s="399"/>
      <c r="U148" s="399"/>
      <c r="V148" s="399"/>
      <c r="W148" s="399"/>
      <c r="X148" s="399"/>
      <c r="Y148" s="399"/>
      <c r="Z148" s="404"/>
      <c r="AA148" s="399"/>
      <c r="AB148" s="399"/>
      <c r="AC148" s="399"/>
      <c r="AD148" s="399"/>
      <c r="AE148" s="399"/>
      <c r="AF148" s="399"/>
      <c r="AG148" s="399"/>
      <c r="AH148" s="404"/>
      <c r="AI148" s="399"/>
      <c r="AJ148" s="399"/>
      <c r="AK148" s="399"/>
      <c r="AL148" s="399"/>
      <c r="AM148" s="399"/>
      <c r="AN148" s="399"/>
      <c r="AO148" s="399"/>
      <c r="AP148" s="404"/>
      <c r="AQ148" s="399"/>
      <c r="AR148" s="399"/>
      <c r="AS148" s="399"/>
      <c r="AT148" s="399"/>
      <c r="AU148" s="399"/>
      <c r="AV148" s="399"/>
      <c r="AW148" s="399"/>
      <c r="AX148" s="404"/>
      <c r="AY148" s="399"/>
      <c r="AZ148" s="399"/>
      <c r="BA148" s="399"/>
      <c r="BB148" s="399"/>
      <c r="BC148" s="399"/>
      <c r="BD148" s="399"/>
      <c r="BE148" s="399"/>
      <c r="BF148" s="404"/>
      <c r="BG148" s="399"/>
      <c r="BH148" s="399"/>
      <c r="BI148" s="399"/>
      <c r="BJ148" s="399"/>
      <c r="BK148" s="399"/>
      <c r="BL148" s="399"/>
    </row>
    <row r="149" spans="1:64" s="52" customFormat="1" ht="8.1" customHeight="1">
      <c r="A149" s="157"/>
      <c r="B149" s="13"/>
      <c r="C149" s="13"/>
      <c r="D149" s="156"/>
      <c r="E149" s="159"/>
      <c r="F149" s="156"/>
      <c r="G149" s="156"/>
      <c r="H149" s="156"/>
      <c r="I149" s="399"/>
      <c r="J149" s="404"/>
      <c r="K149" s="399"/>
      <c r="L149" s="399"/>
      <c r="M149" s="399"/>
      <c r="N149" s="399"/>
      <c r="O149" s="399"/>
      <c r="P149" s="399"/>
      <c r="Q149" s="399"/>
      <c r="R149" s="398"/>
      <c r="S149" s="399"/>
      <c r="T149" s="399"/>
      <c r="U149" s="399"/>
      <c r="V149" s="399"/>
      <c r="W149" s="399"/>
      <c r="X149" s="399"/>
      <c r="Y149" s="399"/>
      <c r="Z149" s="404"/>
      <c r="AA149" s="399"/>
      <c r="AB149" s="399"/>
      <c r="AC149" s="399"/>
      <c r="AD149" s="399"/>
      <c r="AE149" s="399"/>
      <c r="AF149" s="399"/>
      <c r="AG149" s="399"/>
      <c r="AH149" s="404"/>
      <c r="AI149" s="399"/>
      <c r="AJ149" s="399"/>
      <c r="AK149" s="399"/>
      <c r="AL149" s="399"/>
      <c r="AM149" s="399"/>
      <c r="AN149" s="399"/>
      <c r="AO149" s="399"/>
      <c r="AP149" s="404"/>
      <c r="AQ149" s="399"/>
      <c r="AR149" s="399"/>
      <c r="AS149" s="399"/>
      <c r="AT149" s="399"/>
      <c r="AU149" s="399"/>
      <c r="AV149" s="399"/>
      <c r="AW149" s="399"/>
      <c r="AX149" s="404"/>
      <c r="AY149" s="399"/>
      <c r="AZ149" s="399"/>
      <c r="BA149" s="399"/>
      <c r="BB149" s="399"/>
      <c r="BC149" s="399"/>
      <c r="BD149" s="399"/>
      <c r="BE149" s="399"/>
      <c r="BF149" s="404"/>
      <c r="BG149" s="399"/>
      <c r="BH149" s="399"/>
      <c r="BI149" s="399"/>
      <c r="BJ149" s="399"/>
      <c r="BK149" s="399"/>
      <c r="BL149" s="399"/>
    </row>
    <row r="150" spans="1:64" s="52" customFormat="1" ht="8.1" customHeight="1">
      <c r="A150" s="157"/>
      <c r="B150" s="13"/>
      <c r="C150" s="13"/>
      <c r="D150" s="156"/>
      <c r="E150" s="159"/>
      <c r="F150" s="156"/>
      <c r="G150" s="156"/>
      <c r="H150" s="156"/>
      <c r="I150" s="399"/>
      <c r="J150" s="404"/>
      <c r="K150" s="399"/>
      <c r="L150" s="399"/>
      <c r="M150" s="399"/>
      <c r="N150" s="399"/>
      <c r="O150" s="399"/>
      <c r="P150" s="399"/>
      <c r="Q150" s="399"/>
      <c r="R150" s="398"/>
      <c r="S150" s="399"/>
      <c r="T150" s="399"/>
      <c r="U150" s="399"/>
      <c r="V150" s="399"/>
      <c r="W150" s="399"/>
      <c r="X150" s="399"/>
      <c r="Y150" s="399"/>
      <c r="Z150" s="404"/>
      <c r="AA150" s="399"/>
      <c r="AB150" s="399"/>
      <c r="AC150" s="399"/>
      <c r="AD150" s="399"/>
      <c r="AE150" s="399"/>
      <c r="AF150" s="399"/>
      <c r="AG150" s="399"/>
      <c r="AH150" s="404"/>
      <c r="AI150" s="399"/>
      <c r="AJ150" s="399"/>
      <c r="AK150" s="399"/>
      <c r="AL150" s="399"/>
      <c r="AM150" s="399"/>
      <c r="AN150" s="399"/>
      <c r="AO150" s="399"/>
      <c r="AP150" s="404"/>
      <c r="AQ150" s="399"/>
      <c r="AR150" s="399"/>
      <c r="AS150" s="399"/>
      <c r="AT150" s="399"/>
      <c r="AU150" s="399"/>
      <c r="AV150" s="399"/>
      <c r="AW150" s="399"/>
      <c r="AX150" s="404"/>
      <c r="AY150" s="399"/>
      <c r="AZ150" s="399"/>
      <c r="BA150" s="399"/>
      <c r="BB150" s="399"/>
      <c r="BC150" s="399"/>
      <c r="BD150" s="399"/>
      <c r="BE150" s="399"/>
      <c r="BF150" s="404"/>
      <c r="BG150" s="399"/>
      <c r="BH150" s="399"/>
      <c r="BI150" s="399"/>
      <c r="BJ150" s="399"/>
      <c r="BK150" s="399"/>
      <c r="BL150" s="399"/>
    </row>
    <row r="151" spans="1:64" s="52" customFormat="1" ht="10.15" customHeight="1">
      <c r="A151" s="157"/>
      <c r="B151" s="13"/>
      <c r="C151" s="13"/>
      <c r="D151" s="156"/>
      <c r="E151" s="159"/>
      <c r="F151" s="156"/>
      <c r="G151" s="156"/>
      <c r="H151" s="156"/>
      <c r="I151" s="399"/>
      <c r="J151" s="404"/>
      <c r="K151" s="399"/>
      <c r="L151" s="399"/>
      <c r="M151" s="399"/>
      <c r="N151" s="399"/>
      <c r="O151" s="399"/>
      <c r="P151" s="399"/>
      <c r="Q151" s="399"/>
      <c r="R151" s="398"/>
      <c r="S151" s="399"/>
      <c r="T151" s="399"/>
      <c r="U151" s="399"/>
      <c r="V151" s="399"/>
      <c r="W151" s="399"/>
      <c r="X151" s="399"/>
      <c r="Y151" s="399"/>
      <c r="Z151" s="404"/>
      <c r="AA151" s="399"/>
      <c r="AB151" s="399"/>
      <c r="AC151" s="399"/>
      <c r="AD151" s="399"/>
      <c r="AE151" s="399"/>
      <c r="AF151" s="399"/>
      <c r="AG151" s="399"/>
      <c r="AH151" s="404"/>
      <c r="AI151" s="399"/>
      <c r="AJ151" s="399"/>
      <c r="AK151" s="399"/>
      <c r="AL151" s="399"/>
      <c r="AM151" s="399"/>
      <c r="AN151" s="399"/>
      <c r="AO151" s="399"/>
      <c r="AP151" s="404"/>
      <c r="AQ151" s="399"/>
      <c r="AR151" s="399"/>
      <c r="AS151" s="399"/>
      <c r="AT151" s="399"/>
      <c r="AU151" s="399"/>
      <c r="AV151" s="399"/>
      <c r="AW151" s="399"/>
      <c r="AX151" s="404"/>
      <c r="AY151" s="399"/>
      <c r="AZ151" s="399"/>
      <c r="BA151" s="399"/>
      <c r="BB151" s="399"/>
      <c r="BC151" s="399"/>
      <c r="BD151" s="399"/>
      <c r="BE151" s="399"/>
      <c r="BF151" s="404"/>
      <c r="BG151" s="399"/>
      <c r="BH151" s="399"/>
      <c r="BI151" s="399"/>
      <c r="BJ151" s="399"/>
      <c r="BK151" s="399"/>
      <c r="BL151" s="399"/>
    </row>
    <row r="152" spans="1:64" s="52" customFormat="1" ht="10.15" customHeight="1">
      <c r="A152" s="157"/>
      <c r="B152" s="13"/>
      <c r="C152" s="13"/>
      <c r="D152" s="156"/>
      <c r="E152" s="159"/>
      <c r="F152" s="156"/>
      <c r="G152" s="156"/>
      <c r="H152" s="156"/>
      <c r="I152" s="399"/>
      <c r="J152" s="404"/>
      <c r="K152" s="399"/>
      <c r="L152" s="399"/>
      <c r="M152" s="399"/>
      <c r="N152" s="399"/>
      <c r="O152" s="399"/>
      <c r="P152" s="399"/>
      <c r="Q152" s="399"/>
      <c r="R152" s="398"/>
      <c r="S152" s="399"/>
      <c r="T152" s="399"/>
      <c r="U152" s="399"/>
      <c r="V152" s="399"/>
      <c r="W152" s="399"/>
      <c r="X152" s="399"/>
      <c r="Y152" s="399"/>
      <c r="Z152" s="404"/>
      <c r="AA152" s="399"/>
      <c r="AB152" s="399"/>
      <c r="AC152" s="399"/>
      <c r="AD152" s="399"/>
      <c r="AE152" s="399"/>
      <c r="AF152" s="399"/>
      <c r="AG152" s="399"/>
      <c r="AH152" s="404"/>
      <c r="AI152" s="399"/>
      <c r="AJ152" s="399"/>
      <c r="AK152" s="399"/>
      <c r="AL152" s="399"/>
      <c r="AM152" s="399"/>
      <c r="AN152" s="399"/>
      <c r="AO152" s="399"/>
      <c r="AP152" s="404"/>
      <c r="AQ152" s="399"/>
      <c r="AR152" s="399"/>
      <c r="AS152" s="399"/>
      <c r="AT152" s="399"/>
      <c r="AU152" s="399"/>
      <c r="AV152" s="399"/>
      <c r="AW152" s="399"/>
      <c r="AX152" s="404"/>
      <c r="AY152" s="399"/>
      <c r="AZ152" s="399"/>
      <c r="BA152" s="399"/>
      <c r="BB152" s="399"/>
      <c r="BC152" s="399"/>
      <c r="BD152" s="399"/>
      <c r="BE152" s="399"/>
      <c r="BF152" s="404"/>
      <c r="BG152" s="399"/>
      <c r="BH152" s="399"/>
      <c r="BI152" s="399"/>
      <c r="BJ152" s="399"/>
      <c r="BK152" s="399"/>
      <c r="BL152" s="399"/>
    </row>
    <row r="153" spans="1:64" s="52" customFormat="1" ht="10.15" customHeight="1">
      <c r="A153" s="157"/>
      <c r="B153" s="13"/>
      <c r="C153" s="13"/>
      <c r="D153" s="156"/>
      <c r="E153" s="159"/>
      <c r="F153" s="156"/>
      <c r="G153" s="156"/>
      <c r="H153" s="156"/>
      <c r="I153" s="399"/>
      <c r="J153" s="404"/>
      <c r="K153" s="399"/>
      <c r="L153" s="399"/>
      <c r="M153" s="399"/>
      <c r="N153" s="399"/>
      <c r="O153" s="399"/>
      <c r="P153" s="399"/>
      <c r="Q153" s="399"/>
      <c r="R153" s="398"/>
      <c r="S153" s="399"/>
      <c r="T153" s="399"/>
      <c r="U153" s="399"/>
      <c r="V153" s="399"/>
      <c r="W153" s="399"/>
      <c r="X153" s="399"/>
      <c r="Y153" s="399"/>
      <c r="Z153" s="404"/>
      <c r="AA153" s="399"/>
      <c r="AB153" s="399"/>
      <c r="AC153" s="399"/>
      <c r="AD153" s="399"/>
      <c r="AE153" s="399"/>
      <c r="AF153" s="399"/>
      <c r="AG153" s="399"/>
      <c r="AH153" s="404"/>
      <c r="AI153" s="399"/>
      <c r="AJ153" s="399"/>
      <c r="AK153" s="399"/>
      <c r="AL153" s="399"/>
      <c r="AM153" s="399"/>
      <c r="AN153" s="399"/>
      <c r="AO153" s="399"/>
      <c r="AP153" s="404"/>
      <c r="AQ153" s="399"/>
      <c r="AR153" s="399"/>
      <c r="AS153" s="399"/>
      <c r="AT153" s="399"/>
      <c r="AU153" s="399"/>
      <c r="AV153" s="399"/>
      <c r="AW153" s="399"/>
      <c r="AX153" s="404"/>
      <c r="AY153" s="399"/>
      <c r="AZ153" s="399"/>
      <c r="BA153" s="399"/>
      <c r="BB153" s="399"/>
      <c r="BC153" s="399"/>
      <c r="BD153" s="399"/>
      <c r="BE153" s="399"/>
      <c r="BF153" s="404"/>
      <c r="BG153" s="399"/>
      <c r="BH153" s="399"/>
      <c r="BI153" s="399"/>
      <c r="BJ153" s="399"/>
      <c r="BK153" s="399"/>
      <c r="BL153" s="399"/>
    </row>
    <row r="154" spans="1:64" s="52" customFormat="1" ht="10.15" customHeight="1">
      <c r="A154" s="157"/>
      <c r="B154" s="13"/>
      <c r="C154" s="13"/>
      <c r="D154" s="156"/>
      <c r="E154" s="159"/>
      <c r="F154" s="156"/>
      <c r="G154" s="156"/>
      <c r="H154" s="156"/>
      <c r="I154" s="399"/>
      <c r="J154" s="404"/>
      <c r="K154" s="399"/>
      <c r="L154" s="399"/>
      <c r="M154" s="399"/>
      <c r="N154" s="399"/>
      <c r="O154" s="399"/>
      <c r="P154" s="399"/>
      <c r="Q154" s="399"/>
      <c r="R154" s="398"/>
      <c r="S154" s="399"/>
      <c r="T154" s="399"/>
      <c r="U154" s="399"/>
      <c r="V154" s="399"/>
      <c r="W154" s="399"/>
      <c r="X154" s="399"/>
      <c r="Y154" s="399"/>
      <c r="Z154" s="404"/>
      <c r="AA154" s="399"/>
      <c r="AB154" s="399"/>
      <c r="AC154" s="399"/>
      <c r="AD154" s="399"/>
      <c r="AE154" s="399"/>
      <c r="AF154" s="399"/>
      <c r="AG154" s="399"/>
      <c r="AH154" s="404"/>
      <c r="AI154" s="399"/>
      <c r="AJ154" s="399"/>
      <c r="AK154" s="399"/>
      <c r="AL154" s="399"/>
      <c r="AM154" s="399"/>
      <c r="AN154" s="399"/>
      <c r="AO154" s="399"/>
      <c r="AP154" s="404"/>
      <c r="AQ154" s="399"/>
      <c r="AR154" s="399"/>
      <c r="AS154" s="399"/>
      <c r="AT154" s="399"/>
      <c r="AU154" s="399"/>
      <c r="AV154" s="399"/>
      <c r="AW154" s="399"/>
      <c r="AX154" s="404"/>
      <c r="AY154" s="399"/>
      <c r="AZ154" s="399"/>
      <c r="BA154" s="399"/>
      <c r="BB154" s="399"/>
      <c r="BC154" s="399"/>
      <c r="BD154" s="399"/>
      <c r="BE154" s="399"/>
      <c r="BF154" s="404"/>
      <c r="BG154" s="399"/>
      <c r="BH154" s="399"/>
      <c r="BI154" s="399"/>
      <c r="BJ154" s="399"/>
      <c r="BK154" s="399"/>
      <c r="BL154" s="399"/>
    </row>
    <row r="155" spans="1:64" s="52" customFormat="1" ht="10.15" customHeight="1">
      <c r="A155" s="157"/>
      <c r="B155" s="13"/>
      <c r="C155" s="13"/>
      <c r="D155" s="156"/>
      <c r="E155" s="159"/>
      <c r="F155" s="156"/>
      <c r="G155" s="156"/>
      <c r="H155" s="156"/>
      <c r="I155" s="399"/>
      <c r="J155" s="404"/>
      <c r="K155" s="399"/>
      <c r="L155" s="399"/>
      <c r="M155" s="399"/>
      <c r="N155" s="399"/>
      <c r="O155" s="399"/>
      <c r="P155" s="399"/>
      <c r="Q155" s="399"/>
      <c r="R155" s="398"/>
      <c r="S155" s="399"/>
      <c r="T155" s="399"/>
      <c r="U155" s="399"/>
      <c r="V155" s="399"/>
      <c r="W155" s="399"/>
      <c r="X155" s="399"/>
      <c r="Y155" s="399"/>
      <c r="Z155" s="404"/>
      <c r="AA155" s="399"/>
      <c r="AB155" s="399"/>
      <c r="AC155" s="399"/>
      <c r="AD155" s="399"/>
      <c r="AE155" s="399"/>
      <c r="AF155" s="399"/>
      <c r="AG155" s="399"/>
      <c r="AH155" s="404"/>
      <c r="AI155" s="399"/>
      <c r="AJ155" s="399"/>
      <c r="AK155" s="399"/>
      <c r="AL155" s="399"/>
      <c r="AM155" s="399"/>
      <c r="AN155" s="399"/>
      <c r="AO155" s="399"/>
      <c r="AP155" s="404"/>
      <c r="AQ155" s="399"/>
      <c r="AR155" s="399"/>
      <c r="AS155" s="399"/>
      <c r="AT155" s="399"/>
      <c r="AU155" s="399"/>
      <c r="AV155" s="399"/>
      <c r="AW155" s="409"/>
      <c r="AX155" s="404"/>
      <c r="AY155" s="399"/>
      <c r="AZ155" s="399"/>
      <c r="BA155" s="399"/>
      <c r="BB155" s="399"/>
      <c r="BC155" s="399"/>
      <c r="BD155" s="399"/>
      <c r="BE155" s="399"/>
      <c r="BF155" s="404"/>
      <c r="BG155" s="399"/>
      <c r="BH155" s="399"/>
      <c r="BI155" s="399"/>
      <c r="BJ155" s="399"/>
      <c r="BK155" s="399"/>
      <c r="BL155" s="399"/>
    </row>
    <row r="156" spans="1:64" s="52" customFormat="1" ht="10.15" customHeight="1">
      <c r="A156" s="157"/>
      <c r="B156" s="13"/>
      <c r="C156" s="13"/>
      <c r="D156" s="156"/>
      <c r="E156" s="159"/>
      <c r="F156" s="156"/>
      <c r="G156" s="156"/>
      <c r="H156" s="156"/>
      <c r="I156" s="399"/>
      <c r="J156" s="404"/>
      <c r="K156" s="399"/>
      <c r="L156" s="399"/>
      <c r="M156" s="399"/>
      <c r="N156" s="399"/>
      <c r="O156" s="399"/>
      <c r="P156" s="399"/>
      <c r="Q156" s="399"/>
      <c r="R156" s="398"/>
      <c r="S156" s="399"/>
      <c r="T156" s="399"/>
      <c r="U156" s="399"/>
      <c r="V156" s="399"/>
      <c r="W156" s="399"/>
      <c r="X156" s="399"/>
      <c r="Y156" s="399"/>
      <c r="Z156" s="404"/>
      <c r="AA156" s="399"/>
      <c r="AB156" s="399"/>
      <c r="AC156" s="399"/>
      <c r="AD156" s="399"/>
      <c r="AE156" s="399"/>
      <c r="AF156" s="399"/>
      <c r="AG156" s="399"/>
      <c r="AH156" s="404"/>
      <c r="AI156" s="399"/>
      <c r="AJ156" s="399"/>
      <c r="AK156" s="399"/>
      <c r="AL156" s="399"/>
      <c r="AM156" s="399"/>
      <c r="AN156" s="399"/>
      <c r="AO156" s="399"/>
      <c r="AP156" s="404"/>
      <c r="AQ156" s="399"/>
      <c r="AR156" s="399"/>
      <c r="AS156" s="399"/>
      <c r="AT156" s="399"/>
      <c r="AU156" s="399"/>
      <c r="AV156" s="399"/>
      <c r="AW156" s="409"/>
      <c r="AX156" s="410"/>
      <c r="AY156" s="409"/>
      <c r="AZ156" s="409"/>
      <c r="BA156" s="409"/>
      <c r="BB156" s="409"/>
      <c r="BC156" s="409"/>
      <c r="BD156" s="409"/>
      <c r="BE156" s="399"/>
      <c r="BF156" s="404"/>
      <c r="BG156" s="399"/>
      <c r="BH156" s="399"/>
      <c r="BI156" s="399"/>
      <c r="BJ156" s="399"/>
      <c r="BK156" s="399"/>
      <c r="BL156" s="399"/>
    </row>
    <row r="157" spans="1:64" s="115" customFormat="1" ht="10.15" customHeight="1">
      <c r="A157" s="240"/>
      <c r="B157" s="13"/>
      <c r="C157" s="227"/>
      <c r="D157" s="238"/>
      <c r="E157" s="239"/>
      <c r="F157" s="238"/>
      <c r="G157" s="156"/>
      <c r="H157" s="238"/>
      <c r="I157" s="409"/>
      <c r="J157" s="410"/>
      <c r="K157" s="409"/>
      <c r="L157" s="409"/>
      <c r="M157" s="409"/>
      <c r="N157" s="409"/>
      <c r="O157" s="409"/>
      <c r="P157" s="409"/>
      <c r="Q157" s="409"/>
      <c r="R157" s="398"/>
      <c r="S157" s="409"/>
      <c r="T157" s="409"/>
      <c r="U157" s="409"/>
      <c r="V157" s="409"/>
      <c r="W157" s="399"/>
      <c r="X157" s="409"/>
      <c r="Y157" s="409"/>
      <c r="Z157" s="410"/>
      <c r="AA157" s="409"/>
      <c r="AB157" s="409"/>
      <c r="AC157" s="409"/>
      <c r="AD157" s="409"/>
      <c r="AE157" s="409"/>
      <c r="AF157" s="409"/>
      <c r="AG157" s="409"/>
      <c r="AH157" s="410"/>
      <c r="AI157" s="409"/>
      <c r="AJ157" s="409"/>
      <c r="AK157" s="409"/>
      <c r="AL157" s="409"/>
      <c r="AM157" s="409"/>
      <c r="AN157" s="409"/>
      <c r="AO157" s="409"/>
      <c r="AP157" s="410"/>
      <c r="AQ157" s="409"/>
      <c r="AR157" s="409"/>
      <c r="AS157" s="409"/>
      <c r="AT157" s="409"/>
      <c r="AU157" s="409"/>
      <c r="AV157" s="409"/>
      <c r="AW157" s="409"/>
      <c r="AX157" s="410"/>
      <c r="AY157" s="409"/>
      <c r="AZ157" s="409"/>
      <c r="BA157" s="409"/>
      <c r="BB157" s="409"/>
      <c r="BC157" s="409"/>
      <c r="BD157" s="409"/>
      <c r="BE157" s="399"/>
      <c r="BF157" s="404"/>
      <c r="BG157" s="399"/>
      <c r="BH157" s="399"/>
      <c r="BI157" s="399"/>
      <c r="BJ157" s="399"/>
      <c r="BK157" s="399"/>
      <c r="BL157" s="399"/>
    </row>
    <row r="158" spans="1:64" s="115" customFormat="1" ht="10.15" customHeight="1">
      <c r="A158" s="240"/>
      <c r="B158" s="13"/>
      <c r="C158" s="227"/>
      <c r="D158" s="238"/>
      <c r="E158" s="239"/>
      <c r="F158" s="238"/>
      <c r="G158" s="156"/>
      <c r="H158" s="238"/>
      <c r="I158" s="409"/>
      <c r="J158" s="410"/>
      <c r="K158" s="409"/>
      <c r="L158" s="409"/>
      <c r="M158" s="409"/>
      <c r="N158" s="409"/>
      <c r="O158" s="409"/>
      <c r="P158" s="409"/>
      <c r="Q158" s="409"/>
      <c r="R158" s="398"/>
      <c r="S158" s="409"/>
      <c r="T158" s="409"/>
      <c r="U158" s="409"/>
      <c r="V158" s="409"/>
      <c r="W158" s="399"/>
      <c r="X158" s="409"/>
      <c r="Y158" s="409"/>
      <c r="Z158" s="410"/>
      <c r="AA158" s="409"/>
      <c r="AB158" s="409"/>
      <c r="AC158" s="409"/>
      <c r="AD158" s="409"/>
      <c r="AE158" s="409"/>
      <c r="AF158" s="409"/>
      <c r="AG158" s="409"/>
      <c r="AH158" s="410"/>
      <c r="AI158" s="409"/>
      <c r="AJ158" s="409"/>
      <c r="AK158" s="409"/>
      <c r="AL158" s="409"/>
      <c r="AM158" s="409"/>
      <c r="AN158" s="409"/>
      <c r="AO158" s="409"/>
      <c r="AP158" s="410"/>
      <c r="AQ158" s="409"/>
      <c r="AR158" s="409"/>
      <c r="AS158" s="409"/>
      <c r="AT158" s="409"/>
      <c r="AU158" s="409"/>
      <c r="AV158" s="409"/>
      <c r="AW158" s="409"/>
      <c r="AX158" s="410"/>
      <c r="AY158" s="409"/>
      <c r="AZ158" s="409"/>
      <c r="BA158" s="409"/>
      <c r="BB158" s="409"/>
      <c r="BC158" s="409"/>
      <c r="BD158" s="409"/>
      <c r="BE158" s="399"/>
      <c r="BF158" s="404"/>
      <c r="BG158" s="399"/>
      <c r="BH158" s="399"/>
      <c r="BI158" s="399"/>
      <c r="BJ158" s="399"/>
      <c r="BK158" s="399"/>
      <c r="BL158" s="399"/>
    </row>
    <row r="159" spans="1:64" s="115" customFormat="1" ht="10.15" customHeight="1">
      <c r="A159" s="240"/>
      <c r="B159" s="13"/>
      <c r="C159" s="227"/>
      <c r="D159" s="238"/>
      <c r="E159" s="239"/>
      <c r="F159" s="238"/>
      <c r="G159" s="156"/>
      <c r="H159" s="238"/>
      <c r="I159" s="409"/>
      <c r="J159" s="410"/>
      <c r="K159" s="409"/>
      <c r="L159" s="409"/>
      <c r="M159" s="409"/>
      <c r="N159" s="409"/>
      <c r="O159" s="409"/>
      <c r="P159" s="409"/>
      <c r="Q159" s="409"/>
      <c r="R159" s="398"/>
      <c r="S159" s="409"/>
      <c r="T159" s="409"/>
      <c r="U159" s="409"/>
      <c r="V159" s="409"/>
      <c r="W159" s="399"/>
      <c r="X159" s="409"/>
      <c r="Y159" s="409"/>
      <c r="Z159" s="410"/>
      <c r="AA159" s="409"/>
      <c r="AB159" s="409"/>
      <c r="AC159" s="409"/>
      <c r="AD159" s="409"/>
      <c r="AE159" s="409"/>
      <c r="AF159" s="409"/>
      <c r="AG159" s="409"/>
      <c r="AH159" s="410"/>
      <c r="AI159" s="409"/>
      <c r="AJ159" s="409"/>
      <c r="AK159" s="409"/>
      <c r="AL159" s="409"/>
      <c r="AM159" s="409"/>
      <c r="AN159" s="409"/>
      <c r="AO159" s="409"/>
      <c r="AP159" s="410"/>
      <c r="AQ159" s="409"/>
      <c r="AR159" s="409"/>
      <c r="AS159" s="409"/>
      <c r="AT159" s="409"/>
      <c r="AU159" s="409"/>
      <c r="AV159" s="409"/>
      <c r="AW159" s="409"/>
      <c r="AX159" s="410"/>
      <c r="AY159" s="409"/>
      <c r="AZ159" s="409"/>
      <c r="BA159" s="409"/>
      <c r="BB159" s="409"/>
      <c r="BC159" s="409"/>
      <c r="BD159" s="409"/>
      <c r="BE159" s="399"/>
      <c r="BF159" s="404"/>
      <c r="BG159" s="399"/>
      <c r="BH159" s="399"/>
      <c r="BI159" s="399"/>
      <c r="BJ159" s="399"/>
      <c r="BK159" s="399"/>
      <c r="BL159" s="399"/>
    </row>
    <row r="160" spans="1:64" s="115" customFormat="1" ht="10.15" customHeight="1">
      <c r="A160" s="240"/>
      <c r="B160" s="13"/>
      <c r="C160" s="227"/>
      <c r="D160" s="238"/>
      <c r="E160" s="239"/>
      <c r="F160" s="238"/>
      <c r="G160" s="156"/>
      <c r="H160" s="238"/>
      <c r="I160" s="409"/>
      <c r="J160" s="410"/>
      <c r="K160" s="409"/>
      <c r="L160" s="409"/>
      <c r="M160" s="409"/>
      <c r="N160" s="409"/>
      <c r="O160" s="409"/>
      <c r="P160" s="409"/>
      <c r="Q160" s="409"/>
      <c r="R160" s="398"/>
      <c r="S160" s="409"/>
      <c r="T160" s="409"/>
      <c r="U160" s="409"/>
      <c r="V160" s="409"/>
      <c r="W160" s="399"/>
      <c r="X160" s="409"/>
      <c r="Y160" s="409"/>
      <c r="Z160" s="410"/>
      <c r="AA160" s="409"/>
      <c r="AB160" s="409"/>
      <c r="AC160" s="409"/>
      <c r="AD160" s="409"/>
      <c r="AE160" s="409"/>
      <c r="AF160" s="409"/>
      <c r="AG160" s="409"/>
      <c r="AH160" s="410"/>
      <c r="AI160" s="409"/>
      <c r="AJ160" s="409"/>
      <c r="AK160" s="409"/>
      <c r="AL160" s="409"/>
      <c r="AM160" s="409"/>
      <c r="AN160" s="409"/>
      <c r="AO160" s="409"/>
      <c r="AP160" s="410"/>
      <c r="AQ160" s="409"/>
      <c r="AR160" s="409"/>
      <c r="AS160" s="409"/>
      <c r="AT160" s="409"/>
      <c r="AU160" s="409"/>
      <c r="AV160" s="409"/>
      <c r="AW160" s="409"/>
      <c r="AX160" s="410"/>
      <c r="AY160" s="409"/>
      <c r="AZ160" s="409"/>
      <c r="BA160" s="409"/>
      <c r="BB160" s="409"/>
      <c r="BC160" s="409"/>
      <c r="BD160" s="409"/>
      <c r="BE160" s="399"/>
      <c r="BF160" s="404"/>
      <c r="BG160" s="399"/>
      <c r="BH160" s="399"/>
      <c r="BI160" s="399"/>
      <c r="BJ160" s="399"/>
      <c r="BK160" s="399"/>
      <c r="BL160" s="399"/>
    </row>
    <row r="161" spans="1:64" s="115" customFormat="1" ht="10.15" customHeight="1">
      <c r="A161" s="240"/>
      <c r="B161" s="13"/>
      <c r="C161" s="227"/>
      <c r="D161" s="238"/>
      <c r="E161" s="239"/>
      <c r="F161" s="238"/>
      <c r="G161" s="156"/>
      <c r="H161" s="238"/>
      <c r="I161" s="409"/>
      <c r="J161" s="410"/>
      <c r="K161" s="409"/>
      <c r="L161" s="409"/>
      <c r="M161" s="409"/>
      <c r="N161" s="409"/>
      <c r="O161" s="409"/>
      <c r="P161" s="409"/>
      <c r="Q161" s="409"/>
      <c r="R161" s="398"/>
      <c r="S161" s="409"/>
      <c r="T161" s="409"/>
      <c r="U161" s="409"/>
      <c r="V161" s="409"/>
      <c r="W161" s="399"/>
      <c r="X161" s="409"/>
      <c r="Y161" s="409"/>
      <c r="Z161" s="410"/>
      <c r="AA161" s="409"/>
      <c r="AB161" s="409"/>
      <c r="AC161" s="409"/>
      <c r="AD161" s="409"/>
      <c r="AE161" s="409"/>
      <c r="AF161" s="409"/>
      <c r="AG161" s="409"/>
      <c r="AH161" s="410"/>
      <c r="AI161" s="409"/>
      <c r="AJ161" s="409"/>
      <c r="AK161" s="409"/>
      <c r="AL161" s="409"/>
      <c r="AM161" s="409"/>
      <c r="AN161" s="409"/>
      <c r="AO161" s="409"/>
      <c r="AP161" s="410"/>
      <c r="AQ161" s="409"/>
      <c r="AR161" s="409"/>
      <c r="AS161" s="409"/>
      <c r="AT161" s="409"/>
      <c r="AU161" s="409"/>
      <c r="AV161" s="409"/>
      <c r="AW161" s="409"/>
      <c r="AX161" s="410"/>
      <c r="AY161" s="409"/>
      <c r="AZ161" s="409"/>
      <c r="BA161" s="409"/>
      <c r="BB161" s="409"/>
      <c r="BC161" s="409"/>
      <c r="BD161" s="409"/>
      <c r="BE161" s="409"/>
      <c r="BF161" s="410"/>
      <c r="BG161" s="409"/>
      <c r="BH161" s="409"/>
      <c r="BI161" s="409"/>
      <c r="BJ161" s="409"/>
      <c r="BK161" s="409"/>
      <c r="BL161" s="409"/>
    </row>
    <row r="162" spans="1:64" s="115" customFormat="1" ht="10.15" customHeight="1">
      <c r="A162" s="240"/>
      <c r="B162" s="52"/>
      <c r="G162" s="52"/>
      <c r="I162" s="409"/>
      <c r="J162" s="410"/>
      <c r="K162" s="409"/>
      <c r="L162" s="409"/>
      <c r="M162" s="409"/>
      <c r="N162" s="409"/>
      <c r="O162" s="409"/>
      <c r="P162" s="409"/>
      <c r="Q162" s="409"/>
      <c r="R162" s="398"/>
      <c r="S162" s="409"/>
      <c r="T162" s="409"/>
      <c r="U162" s="409"/>
      <c r="V162" s="409"/>
      <c r="W162" s="399"/>
      <c r="X162" s="409"/>
      <c r="Y162" s="409"/>
      <c r="Z162" s="410"/>
      <c r="AA162" s="409"/>
      <c r="AB162" s="409"/>
      <c r="AC162" s="409"/>
      <c r="AD162" s="409"/>
      <c r="AE162" s="409"/>
      <c r="AF162" s="409"/>
      <c r="AG162" s="409"/>
      <c r="AH162" s="410"/>
      <c r="AI162" s="409"/>
      <c r="AJ162" s="409"/>
      <c r="AK162" s="409"/>
      <c r="AL162" s="409"/>
      <c r="AM162" s="409"/>
      <c r="AN162" s="409"/>
      <c r="AO162" s="409"/>
      <c r="AP162" s="410"/>
      <c r="AQ162" s="409"/>
      <c r="AR162" s="409"/>
      <c r="AS162" s="409"/>
      <c r="AT162" s="409"/>
      <c r="AU162" s="409"/>
      <c r="AV162" s="409"/>
      <c r="AW162" s="409"/>
      <c r="AX162" s="410"/>
      <c r="AY162" s="409"/>
      <c r="AZ162" s="409"/>
      <c r="BA162" s="409"/>
      <c r="BB162" s="409"/>
      <c r="BC162" s="409"/>
      <c r="BD162" s="409"/>
      <c r="BE162" s="409"/>
      <c r="BF162" s="410"/>
      <c r="BG162" s="409"/>
      <c r="BH162" s="409"/>
      <c r="BI162" s="409"/>
      <c r="BJ162" s="409"/>
      <c r="BK162" s="409"/>
      <c r="BL162" s="409"/>
    </row>
    <row r="163" spans="1:64" s="115" customFormat="1" ht="10.15" customHeight="1">
      <c r="B163" s="52"/>
      <c r="G163" s="52"/>
      <c r="I163" s="409"/>
      <c r="J163" s="410"/>
      <c r="K163" s="409"/>
      <c r="L163" s="409"/>
      <c r="M163" s="409"/>
      <c r="N163" s="409"/>
      <c r="O163" s="409"/>
      <c r="P163" s="409"/>
      <c r="Q163" s="409"/>
      <c r="R163" s="398"/>
      <c r="S163" s="409"/>
      <c r="T163" s="409"/>
      <c r="U163" s="409"/>
      <c r="V163" s="409"/>
      <c r="W163" s="399"/>
      <c r="X163" s="409"/>
      <c r="Y163" s="409"/>
      <c r="Z163" s="410"/>
      <c r="AA163" s="409"/>
      <c r="AB163" s="409"/>
      <c r="AC163" s="409"/>
      <c r="AD163" s="409"/>
      <c r="AE163" s="409"/>
      <c r="AF163" s="409"/>
      <c r="AG163" s="409"/>
      <c r="AH163" s="410"/>
      <c r="AI163" s="409"/>
      <c r="AJ163" s="409"/>
      <c r="AK163" s="409"/>
      <c r="AL163" s="409"/>
      <c r="AM163" s="409"/>
      <c r="AN163" s="409"/>
      <c r="AO163" s="409"/>
      <c r="AP163" s="410"/>
      <c r="AQ163" s="409"/>
      <c r="AR163" s="409"/>
      <c r="AS163" s="409"/>
      <c r="AT163" s="409"/>
      <c r="AU163" s="409"/>
      <c r="AV163" s="409"/>
      <c r="AW163" s="409"/>
      <c r="AX163" s="410"/>
      <c r="AY163" s="409"/>
      <c r="AZ163" s="409"/>
      <c r="BA163" s="409"/>
      <c r="BB163" s="409"/>
      <c r="BC163" s="409"/>
      <c r="BD163" s="409"/>
      <c r="BE163" s="409"/>
      <c r="BF163" s="410"/>
      <c r="BG163" s="409"/>
      <c r="BH163" s="409"/>
      <c r="BI163" s="409"/>
      <c r="BJ163" s="409"/>
      <c r="BK163" s="409"/>
      <c r="BL163" s="409"/>
    </row>
    <row r="164" spans="1:64" s="115" customFormat="1" ht="10.15" customHeight="1">
      <c r="A164" s="240"/>
      <c r="B164" s="52"/>
      <c r="G164" s="52"/>
      <c r="I164" s="409"/>
      <c r="J164" s="410"/>
      <c r="K164" s="409"/>
      <c r="L164" s="409"/>
      <c r="M164" s="409"/>
      <c r="N164" s="409"/>
      <c r="O164" s="409"/>
      <c r="P164" s="409"/>
      <c r="Q164" s="409"/>
      <c r="R164" s="398"/>
      <c r="S164" s="409"/>
      <c r="T164" s="409"/>
      <c r="U164" s="409"/>
      <c r="V164" s="409"/>
      <c r="W164" s="399"/>
      <c r="X164" s="409"/>
      <c r="Y164" s="409"/>
      <c r="Z164" s="410"/>
      <c r="AA164" s="409"/>
      <c r="AB164" s="409"/>
      <c r="AC164" s="409"/>
      <c r="AD164" s="409"/>
      <c r="AE164" s="409"/>
      <c r="AF164" s="409"/>
      <c r="AG164" s="409"/>
      <c r="AH164" s="410"/>
      <c r="AI164" s="409"/>
      <c r="AJ164" s="409"/>
      <c r="AK164" s="409"/>
      <c r="AL164" s="409"/>
      <c r="AM164" s="409"/>
      <c r="AN164" s="409"/>
      <c r="AO164" s="409"/>
      <c r="AP164" s="410"/>
      <c r="AQ164" s="409"/>
      <c r="AR164" s="409"/>
      <c r="AS164" s="409"/>
      <c r="AT164" s="409"/>
      <c r="AU164" s="409"/>
      <c r="AV164" s="409"/>
      <c r="AW164" s="409"/>
      <c r="AX164" s="410"/>
      <c r="AY164" s="409"/>
      <c r="AZ164" s="409"/>
      <c r="BA164" s="409"/>
      <c r="BB164" s="409"/>
      <c r="BC164" s="409"/>
      <c r="BD164" s="409"/>
      <c r="BE164" s="409"/>
      <c r="BF164" s="410"/>
      <c r="BG164" s="409"/>
      <c r="BH164" s="409"/>
      <c r="BI164" s="409"/>
      <c r="BJ164" s="409"/>
      <c r="BK164" s="409"/>
      <c r="BL164" s="409"/>
    </row>
    <row r="165" spans="1:64" s="115" customFormat="1" ht="10.15" customHeight="1">
      <c r="A165" s="240"/>
      <c r="B165" s="52"/>
      <c r="G165" s="52"/>
      <c r="I165" s="409"/>
      <c r="J165" s="410"/>
      <c r="K165" s="409"/>
      <c r="L165" s="409"/>
      <c r="M165" s="409"/>
      <c r="N165" s="409"/>
      <c r="O165" s="409"/>
      <c r="P165" s="409"/>
      <c r="Q165" s="409"/>
      <c r="R165" s="398"/>
      <c r="S165" s="409"/>
      <c r="T165" s="409"/>
      <c r="U165" s="409"/>
      <c r="V165" s="409"/>
      <c r="W165" s="399"/>
      <c r="X165" s="409"/>
      <c r="Y165" s="409"/>
      <c r="Z165" s="410"/>
      <c r="AA165" s="409"/>
      <c r="AB165" s="409"/>
      <c r="AC165" s="409"/>
      <c r="AD165" s="409"/>
      <c r="AE165" s="409"/>
      <c r="AF165" s="409"/>
      <c r="AG165" s="409"/>
      <c r="AH165" s="410"/>
      <c r="AI165" s="409"/>
      <c r="AJ165" s="409"/>
      <c r="AK165" s="409"/>
      <c r="AL165" s="409"/>
      <c r="AM165" s="409"/>
      <c r="AN165" s="409"/>
      <c r="AO165" s="409"/>
      <c r="AP165" s="410"/>
      <c r="AQ165" s="409"/>
      <c r="AR165" s="409"/>
      <c r="AS165" s="409"/>
      <c r="AT165" s="409"/>
      <c r="AU165" s="409"/>
      <c r="AV165" s="409"/>
      <c r="AW165" s="409"/>
      <c r="AX165" s="410"/>
      <c r="AY165" s="409"/>
      <c r="AZ165" s="409"/>
      <c r="BA165" s="409"/>
      <c r="BB165" s="409"/>
      <c r="BC165" s="409"/>
      <c r="BD165" s="409"/>
      <c r="BE165" s="409"/>
      <c r="BF165" s="410"/>
      <c r="BG165" s="409"/>
      <c r="BH165" s="409"/>
      <c r="BI165" s="409"/>
      <c r="BJ165" s="409"/>
      <c r="BK165" s="409"/>
      <c r="BL165" s="409"/>
    </row>
    <row r="166" spans="1:64" s="115" customFormat="1" ht="10.15" customHeight="1">
      <c r="A166" s="241"/>
      <c r="B166" s="52"/>
      <c r="G166" s="52"/>
      <c r="I166" s="409"/>
      <c r="J166" s="410"/>
      <c r="K166" s="409"/>
      <c r="L166" s="409"/>
      <c r="M166" s="409"/>
      <c r="N166" s="409"/>
      <c r="O166" s="409"/>
      <c r="P166" s="409"/>
      <c r="Q166" s="409"/>
      <c r="R166" s="398"/>
      <c r="S166" s="409"/>
      <c r="T166" s="409"/>
      <c r="U166" s="409"/>
      <c r="V166" s="409"/>
      <c r="W166" s="399"/>
      <c r="X166" s="409"/>
      <c r="Y166" s="409"/>
      <c r="Z166" s="410"/>
      <c r="AA166" s="409"/>
      <c r="AB166" s="409"/>
      <c r="AC166" s="409"/>
      <c r="AD166" s="409"/>
      <c r="AE166" s="409"/>
      <c r="AF166" s="409"/>
      <c r="AG166" s="409"/>
      <c r="AH166" s="410"/>
      <c r="AI166" s="409"/>
      <c r="AJ166" s="409"/>
      <c r="AK166" s="409"/>
      <c r="AL166" s="409"/>
      <c r="AM166" s="409"/>
      <c r="AN166" s="409"/>
      <c r="AO166" s="409"/>
      <c r="AP166" s="410"/>
      <c r="AQ166" s="409"/>
      <c r="AR166" s="409"/>
      <c r="AS166" s="409"/>
      <c r="AT166" s="409"/>
      <c r="AU166" s="409"/>
      <c r="AV166" s="409"/>
      <c r="AW166" s="411"/>
      <c r="AX166" s="410"/>
      <c r="AY166" s="409"/>
      <c r="AZ166" s="409"/>
      <c r="BA166" s="409"/>
      <c r="BB166" s="409"/>
      <c r="BC166" s="409"/>
      <c r="BD166" s="409"/>
      <c r="BE166" s="409"/>
      <c r="BF166" s="410"/>
      <c r="BG166" s="409"/>
      <c r="BH166" s="409"/>
      <c r="BI166" s="409"/>
      <c r="BJ166" s="409"/>
      <c r="BK166" s="409"/>
      <c r="BL166" s="409"/>
    </row>
    <row r="167" spans="1:64" s="115" customFormat="1" ht="10.15" customHeight="1">
      <c r="A167" s="241"/>
      <c r="B167" s="52"/>
      <c r="G167" s="52"/>
      <c r="I167" s="409"/>
      <c r="J167" s="410"/>
      <c r="K167" s="409"/>
      <c r="L167" s="409"/>
      <c r="M167" s="409"/>
      <c r="N167" s="409"/>
      <c r="O167" s="409"/>
      <c r="P167" s="409"/>
      <c r="Q167" s="409"/>
      <c r="R167" s="398"/>
      <c r="S167" s="409"/>
      <c r="T167" s="409"/>
      <c r="U167" s="409"/>
      <c r="V167" s="409"/>
      <c r="W167" s="399"/>
      <c r="X167" s="409"/>
      <c r="Y167" s="409"/>
      <c r="Z167" s="410"/>
      <c r="AA167" s="409"/>
      <c r="AB167" s="409"/>
      <c r="AC167" s="409"/>
      <c r="AD167" s="409"/>
      <c r="AE167" s="409"/>
      <c r="AF167" s="409"/>
      <c r="AG167" s="409"/>
      <c r="AH167" s="410"/>
      <c r="AI167" s="409"/>
      <c r="AJ167" s="409"/>
      <c r="AK167" s="409"/>
      <c r="AL167" s="409"/>
      <c r="AM167" s="409"/>
      <c r="AN167" s="409"/>
      <c r="AO167" s="409"/>
      <c r="AP167" s="410"/>
      <c r="AQ167" s="409"/>
      <c r="AR167" s="409"/>
      <c r="AS167" s="409"/>
      <c r="AT167" s="409"/>
      <c r="AU167" s="409"/>
      <c r="AV167" s="409"/>
      <c r="AW167" s="409"/>
      <c r="AX167" s="412"/>
      <c r="AY167" s="411"/>
      <c r="AZ167" s="411"/>
      <c r="BA167" s="411"/>
      <c r="BB167" s="411"/>
      <c r="BC167" s="411"/>
      <c r="BD167" s="411"/>
      <c r="BE167" s="409"/>
      <c r="BF167" s="410"/>
      <c r="BG167" s="409"/>
      <c r="BH167" s="409"/>
      <c r="BI167" s="409"/>
      <c r="BJ167" s="409"/>
      <c r="BK167" s="409"/>
      <c r="BL167" s="409"/>
    </row>
    <row r="168" spans="1:64" s="241" customFormat="1" ht="10.15" customHeight="1">
      <c r="B168" s="60"/>
      <c r="G168" s="60"/>
      <c r="I168" s="411"/>
      <c r="J168" s="412"/>
      <c r="K168" s="411"/>
      <c r="L168" s="411"/>
      <c r="M168" s="411"/>
      <c r="N168" s="411"/>
      <c r="O168" s="411"/>
      <c r="P168" s="411"/>
      <c r="Q168" s="411"/>
      <c r="R168" s="397"/>
      <c r="S168" s="411"/>
      <c r="T168" s="411"/>
      <c r="U168" s="411"/>
      <c r="V168" s="411"/>
      <c r="W168" s="413"/>
      <c r="X168" s="411"/>
      <c r="Y168" s="411"/>
      <c r="Z168" s="412"/>
      <c r="AA168" s="411"/>
      <c r="AB168" s="411"/>
      <c r="AC168" s="411"/>
      <c r="AD168" s="411"/>
      <c r="AE168" s="411"/>
      <c r="AF168" s="411"/>
      <c r="AG168" s="411"/>
      <c r="AH168" s="412"/>
      <c r="AI168" s="411"/>
      <c r="AJ168" s="411"/>
      <c r="AK168" s="411"/>
      <c r="AL168" s="411"/>
      <c r="AM168" s="411"/>
      <c r="AN168" s="411"/>
      <c r="AO168" s="411"/>
      <c r="AP168" s="412"/>
      <c r="AQ168" s="411"/>
      <c r="AR168" s="411"/>
      <c r="AS168" s="411"/>
      <c r="AT168" s="411"/>
      <c r="AU168" s="411"/>
      <c r="AV168" s="411"/>
      <c r="AW168" s="411"/>
      <c r="AX168" s="410"/>
      <c r="AY168" s="409"/>
      <c r="AZ168" s="409"/>
      <c r="BA168" s="409"/>
      <c r="BB168" s="409"/>
      <c r="BC168" s="409"/>
      <c r="BD168" s="409"/>
      <c r="BE168" s="409"/>
      <c r="BF168" s="410"/>
      <c r="BG168" s="409"/>
      <c r="BH168" s="409"/>
      <c r="BI168" s="409"/>
      <c r="BJ168" s="409"/>
      <c r="BK168" s="409"/>
      <c r="BL168" s="409"/>
    </row>
    <row r="169" spans="1:64" s="115" customFormat="1" ht="10.15" customHeight="1">
      <c r="B169" s="52"/>
      <c r="G169" s="52"/>
      <c r="I169" s="409"/>
      <c r="J169" s="410"/>
      <c r="K169" s="409"/>
      <c r="L169" s="409"/>
      <c r="M169" s="409"/>
      <c r="N169" s="409"/>
      <c r="O169" s="409"/>
      <c r="P169" s="409"/>
      <c r="Q169" s="409"/>
      <c r="R169" s="398"/>
      <c r="S169" s="409"/>
      <c r="T169" s="409"/>
      <c r="U169" s="409"/>
      <c r="V169" s="409"/>
      <c r="W169" s="399"/>
      <c r="X169" s="409"/>
      <c r="Y169" s="409"/>
      <c r="Z169" s="410"/>
      <c r="AA169" s="409"/>
      <c r="AB169" s="409"/>
      <c r="AC169" s="409"/>
      <c r="AD169" s="409"/>
      <c r="AE169" s="409"/>
      <c r="AF169" s="409"/>
      <c r="AG169" s="409"/>
      <c r="AH169" s="410"/>
      <c r="AI169" s="409"/>
      <c r="AJ169" s="409"/>
      <c r="AK169" s="409"/>
      <c r="AL169" s="409"/>
      <c r="AM169" s="409"/>
      <c r="AN169" s="409"/>
      <c r="AO169" s="409"/>
      <c r="AP169" s="410"/>
      <c r="AQ169" s="409"/>
      <c r="AR169" s="409"/>
      <c r="AS169" s="409"/>
      <c r="AT169" s="409"/>
      <c r="AU169" s="409"/>
      <c r="AV169" s="409"/>
      <c r="AW169" s="409"/>
      <c r="AX169" s="412"/>
      <c r="AY169" s="411"/>
      <c r="AZ169" s="411"/>
      <c r="BA169" s="411"/>
      <c r="BB169" s="411"/>
      <c r="BC169" s="411"/>
      <c r="BD169" s="411"/>
      <c r="BE169" s="409"/>
      <c r="BF169" s="410"/>
      <c r="BG169" s="409"/>
      <c r="BH169" s="409"/>
      <c r="BI169" s="409"/>
      <c r="BJ169" s="409"/>
      <c r="BK169" s="409"/>
      <c r="BL169" s="409"/>
    </row>
    <row r="170" spans="1:64" s="241" customFormat="1" ht="10.15" customHeight="1">
      <c r="B170" s="60"/>
      <c r="G170" s="60"/>
      <c r="I170" s="411"/>
      <c r="J170" s="412"/>
      <c r="K170" s="411"/>
      <c r="L170" s="411"/>
      <c r="M170" s="411"/>
      <c r="N170" s="411"/>
      <c r="O170" s="411"/>
      <c r="P170" s="411"/>
      <c r="Q170" s="411"/>
      <c r="R170" s="397"/>
      <c r="S170" s="411"/>
      <c r="T170" s="411"/>
      <c r="U170" s="411"/>
      <c r="V170" s="411"/>
      <c r="W170" s="413"/>
      <c r="X170" s="411"/>
      <c r="Y170" s="411"/>
      <c r="Z170" s="412"/>
      <c r="AA170" s="411"/>
      <c r="AB170" s="411"/>
      <c r="AC170" s="411"/>
      <c r="AD170" s="411"/>
      <c r="AE170" s="411"/>
      <c r="AF170" s="411"/>
      <c r="AG170" s="411"/>
      <c r="AH170" s="412"/>
      <c r="AI170" s="411"/>
      <c r="AJ170" s="411"/>
      <c r="AK170" s="411"/>
      <c r="AL170" s="411"/>
      <c r="AM170" s="411"/>
      <c r="AN170" s="411"/>
      <c r="AO170" s="411"/>
      <c r="AP170" s="412"/>
      <c r="AQ170" s="411"/>
      <c r="AR170" s="411"/>
      <c r="AS170" s="411"/>
      <c r="AT170" s="411"/>
      <c r="AU170" s="411"/>
      <c r="AV170" s="411"/>
      <c r="AW170" s="409"/>
      <c r="AX170" s="410"/>
      <c r="AY170" s="409"/>
      <c r="AZ170" s="409"/>
      <c r="BA170" s="409"/>
      <c r="BB170" s="409"/>
      <c r="BC170" s="409"/>
      <c r="BD170" s="409"/>
      <c r="BE170" s="409"/>
      <c r="BF170" s="410"/>
      <c r="BG170" s="409"/>
      <c r="BH170" s="409"/>
      <c r="BI170" s="409"/>
      <c r="BJ170" s="409"/>
      <c r="BK170" s="409"/>
      <c r="BL170" s="409"/>
    </row>
    <row r="171" spans="1:64" s="115" customFormat="1" ht="10.15" customHeight="1">
      <c r="B171" s="52"/>
      <c r="G171" s="52"/>
      <c r="I171" s="409"/>
      <c r="J171" s="410"/>
      <c r="K171" s="409"/>
      <c r="L171" s="409"/>
      <c r="M171" s="409"/>
      <c r="N171" s="409"/>
      <c r="O171" s="409"/>
      <c r="P171" s="409"/>
      <c r="Q171" s="409"/>
      <c r="R171" s="398"/>
      <c r="S171" s="409"/>
      <c r="T171" s="409"/>
      <c r="U171" s="409"/>
      <c r="V171" s="409"/>
      <c r="W171" s="399"/>
      <c r="X171" s="409"/>
      <c r="Y171" s="409"/>
      <c r="Z171" s="410"/>
      <c r="AA171" s="409"/>
      <c r="AB171" s="409"/>
      <c r="AC171" s="409"/>
      <c r="AD171" s="409"/>
      <c r="AE171" s="409"/>
      <c r="AF171" s="409"/>
      <c r="AG171" s="409"/>
      <c r="AH171" s="410"/>
      <c r="AI171" s="409"/>
      <c r="AJ171" s="409"/>
      <c r="AK171" s="409"/>
      <c r="AL171" s="409"/>
      <c r="AM171" s="409"/>
      <c r="AN171" s="409"/>
      <c r="AO171" s="409"/>
      <c r="AP171" s="410"/>
      <c r="AQ171" s="409"/>
      <c r="AR171" s="409"/>
      <c r="AS171" s="409"/>
      <c r="AT171" s="409"/>
      <c r="AU171" s="409"/>
      <c r="AV171" s="409"/>
      <c r="AW171" s="409"/>
      <c r="AX171" s="410"/>
      <c r="AY171" s="409"/>
      <c r="AZ171" s="409"/>
      <c r="BA171" s="409"/>
      <c r="BB171" s="409"/>
      <c r="BC171" s="409"/>
      <c r="BD171" s="409"/>
      <c r="BE171" s="409"/>
      <c r="BF171" s="410"/>
      <c r="BG171" s="409"/>
      <c r="BH171" s="409"/>
      <c r="BI171" s="409"/>
      <c r="BJ171" s="409"/>
      <c r="BK171" s="409"/>
      <c r="BL171" s="409"/>
    </row>
    <row r="172" spans="1:64" s="115" customFormat="1" ht="10.15" customHeight="1">
      <c r="B172" s="52"/>
      <c r="D172" s="51"/>
      <c r="E172" s="51"/>
      <c r="G172" s="52"/>
      <c r="I172" s="409"/>
      <c r="J172" s="410"/>
      <c r="K172" s="409"/>
      <c r="L172" s="409"/>
      <c r="M172" s="409"/>
      <c r="N172" s="409"/>
      <c r="O172" s="409"/>
      <c r="P172" s="409"/>
      <c r="Q172" s="409"/>
      <c r="R172" s="398"/>
      <c r="S172" s="409"/>
      <c r="T172" s="409"/>
      <c r="U172" s="409"/>
      <c r="V172" s="409"/>
      <c r="W172" s="399"/>
      <c r="X172" s="409"/>
      <c r="Y172" s="409"/>
      <c r="Z172" s="410"/>
      <c r="AA172" s="409"/>
      <c r="AB172" s="409"/>
      <c r="AC172" s="409"/>
      <c r="AD172" s="409"/>
      <c r="AE172" s="409"/>
      <c r="AF172" s="409"/>
      <c r="AG172" s="409"/>
      <c r="AH172" s="410"/>
      <c r="AI172" s="409"/>
      <c r="AJ172" s="409"/>
      <c r="AK172" s="409"/>
      <c r="AL172" s="409"/>
      <c r="AM172" s="409"/>
      <c r="AN172" s="409"/>
      <c r="AO172" s="409"/>
      <c r="AP172" s="410"/>
      <c r="AQ172" s="409"/>
      <c r="AR172" s="409"/>
      <c r="AS172" s="409"/>
      <c r="AT172" s="409"/>
      <c r="AU172" s="409"/>
      <c r="AV172" s="409"/>
      <c r="AW172" s="409"/>
      <c r="AX172" s="410"/>
      <c r="AY172" s="409"/>
      <c r="AZ172" s="409"/>
      <c r="BA172" s="409"/>
      <c r="BB172" s="409"/>
      <c r="BC172" s="409"/>
      <c r="BD172" s="409"/>
      <c r="BE172" s="411"/>
      <c r="BF172" s="412"/>
      <c r="BG172" s="411"/>
      <c r="BH172" s="411"/>
      <c r="BI172" s="411"/>
      <c r="BJ172" s="411"/>
      <c r="BK172" s="411"/>
      <c r="BL172" s="411"/>
    </row>
    <row r="173" spans="1:64" s="115" customFormat="1" ht="10.15" customHeight="1">
      <c r="A173" s="241"/>
      <c r="B173" s="52"/>
      <c r="G173" s="52"/>
      <c r="I173" s="409"/>
      <c r="J173" s="410"/>
      <c r="K173" s="409"/>
      <c r="L173" s="409"/>
      <c r="M173" s="409"/>
      <c r="N173" s="409"/>
      <c r="O173" s="409"/>
      <c r="P173" s="409"/>
      <c r="Q173" s="409"/>
      <c r="R173" s="398"/>
      <c r="S173" s="409"/>
      <c r="T173" s="409"/>
      <c r="U173" s="409"/>
      <c r="V173" s="409"/>
      <c r="W173" s="399"/>
      <c r="X173" s="409"/>
      <c r="Y173" s="409"/>
      <c r="Z173" s="410"/>
      <c r="AA173" s="409"/>
      <c r="AB173" s="409"/>
      <c r="AC173" s="409"/>
      <c r="AD173" s="409"/>
      <c r="AE173" s="409"/>
      <c r="AF173" s="409"/>
      <c r="AG173" s="409"/>
      <c r="AH173" s="410"/>
      <c r="AI173" s="409"/>
      <c r="AJ173" s="409"/>
      <c r="AK173" s="409"/>
      <c r="AL173" s="409"/>
      <c r="AM173" s="409"/>
      <c r="AN173" s="409"/>
      <c r="AO173" s="409"/>
      <c r="AP173" s="410"/>
      <c r="AQ173" s="409"/>
      <c r="AR173" s="409"/>
      <c r="AS173" s="409"/>
      <c r="AT173" s="409"/>
      <c r="AU173" s="409"/>
      <c r="AV173" s="409"/>
      <c r="AW173" s="253"/>
      <c r="AX173" s="410"/>
      <c r="AY173" s="409"/>
      <c r="AZ173" s="409"/>
      <c r="BA173" s="409"/>
      <c r="BB173" s="409"/>
      <c r="BC173" s="409"/>
      <c r="BD173" s="409"/>
      <c r="BE173" s="409"/>
      <c r="BF173" s="410"/>
      <c r="BG173" s="409"/>
      <c r="BH173" s="409"/>
      <c r="BI173" s="409"/>
      <c r="BJ173" s="409"/>
      <c r="BK173" s="409"/>
      <c r="BL173" s="409"/>
    </row>
    <row r="174" spans="1:64" s="115" customFormat="1" ht="10.15" customHeight="1">
      <c r="B174" s="52"/>
      <c r="G174" s="52"/>
      <c r="I174" s="409"/>
      <c r="J174" s="410"/>
      <c r="K174" s="409"/>
      <c r="L174" s="409"/>
      <c r="M174" s="409"/>
      <c r="N174" s="409"/>
      <c r="O174" s="409"/>
      <c r="P174" s="409"/>
      <c r="Q174" s="409"/>
      <c r="R174" s="398"/>
      <c r="S174" s="409"/>
      <c r="T174" s="409"/>
      <c r="U174" s="409"/>
      <c r="V174" s="409"/>
      <c r="W174" s="399"/>
      <c r="X174" s="409"/>
      <c r="Y174" s="409"/>
      <c r="Z174" s="410"/>
      <c r="AA174" s="409"/>
      <c r="AB174" s="409"/>
      <c r="AC174" s="409"/>
      <c r="AD174" s="409"/>
      <c r="AE174" s="409"/>
      <c r="AF174" s="409"/>
      <c r="AG174" s="409"/>
      <c r="AH174" s="410"/>
      <c r="AI174" s="409"/>
      <c r="AJ174" s="409"/>
      <c r="AK174" s="409"/>
      <c r="AL174" s="409"/>
      <c r="AM174" s="409"/>
      <c r="AN174" s="409"/>
      <c r="AO174" s="409"/>
      <c r="AP174" s="410"/>
      <c r="AQ174" s="409"/>
      <c r="AR174" s="409"/>
      <c r="AS174" s="409"/>
      <c r="AT174" s="409"/>
      <c r="AU174" s="409"/>
      <c r="AV174" s="409"/>
      <c r="AW174" s="253"/>
      <c r="AX174" s="400"/>
      <c r="AY174" s="253"/>
      <c r="AZ174" s="253"/>
      <c r="BA174" s="253"/>
      <c r="BB174" s="253"/>
      <c r="BC174" s="253"/>
      <c r="BD174" s="253"/>
      <c r="BE174" s="411"/>
      <c r="BF174" s="412"/>
      <c r="BG174" s="411"/>
      <c r="BH174" s="411"/>
      <c r="BI174" s="411"/>
      <c r="BJ174" s="411"/>
      <c r="BK174" s="411"/>
      <c r="BL174" s="411"/>
    </row>
    <row r="175" spans="1:64" ht="10.15" customHeight="1">
      <c r="BE175" s="409"/>
      <c r="BF175" s="410"/>
      <c r="BG175" s="409"/>
      <c r="BH175" s="409"/>
      <c r="BI175" s="409"/>
      <c r="BJ175" s="409"/>
      <c r="BK175" s="409"/>
      <c r="BL175" s="409"/>
    </row>
    <row r="176" spans="1:64" ht="10.15" customHeight="1">
      <c r="BE176" s="409"/>
      <c r="BF176" s="410"/>
      <c r="BG176" s="409"/>
      <c r="BH176" s="409"/>
      <c r="BI176" s="409"/>
      <c r="BJ176" s="409"/>
      <c r="BK176" s="409"/>
      <c r="BL176" s="409"/>
    </row>
    <row r="177" spans="2:64" ht="10.15" customHeight="1">
      <c r="AW177" s="333"/>
      <c r="BE177" s="409"/>
      <c r="BF177" s="410"/>
      <c r="BG177" s="409"/>
      <c r="BH177" s="409"/>
      <c r="BI177" s="409"/>
      <c r="BJ177" s="409"/>
      <c r="BK177" s="409"/>
      <c r="BL177" s="409"/>
    </row>
    <row r="178" spans="2:64" ht="10.15" customHeight="1">
      <c r="Q178" s="377"/>
      <c r="R178" s="414"/>
      <c r="S178" s="357"/>
      <c r="AW178" s="333"/>
      <c r="AX178" s="398"/>
      <c r="AY178" s="333"/>
      <c r="AZ178" s="333"/>
      <c r="BA178" s="333"/>
      <c r="BB178" s="333"/>
      <c r="BC178" s="333"/>
      <c r="BD178" s="333"/>
      <c r="BE178" s="409"/>
      <c r="BF178" s="410"/>
      <c r="BG178" s="409"/>
      <c r="BH178" s="409"/>
      <c r="BI178" s="409"/>
      <c r="BJ178" s="409"/>
      <c r="BK178" s="409"/>
      <c r="BL178" s="409"/>
    </row>
    <row r="179" spans="2:64" s="44" customFormat="1" ht="10.15" customHeight="1">
      <c r="B179" s="52"/>
      <c r="G179" s="52"/>
      <c r="I179" s="333"/>
      <c r="J179" s="398"/>
      <c r="K179" s="333"/>
      <c r="L179" s="333"/>
      <c r="M179" s="333"/>
      <c r="N179" s="333"/>
      <c r="O179" s="333"/>
      <c r="P179" s="333"/>
      <c r="Q179" s="392"/>
      <c r="R179" s="398"/>
      <c r="S179" s="333"/>
      <c r="T179" s="333"/>
      <c r="U179" s="333"/>
      <c r="V179" s="333"/>
      <c r="W179" s="399"/>
      <c r="X179" s="333"/>
      <c r="Y179" s="333"/>
      <c r="Z179" s="398"/>
      <c r="AA179" s="333"/>
      <c r="AB179" s="333"/>
      <c r="AC179" s="333"/>
      <c r="AD179" s="333"/>
      <c r="AE179" s="333"/>
      <c r="AF179" s="333"/>
      <c r="AG179" s="333"/>
      <c r="AH179" s="398"/>
      <c r="AI179" s="333"/>
      <c r="AJ179" s="333"/>
      <c r="AK179" s="333"/>
      <c r="AL179" s="333"/>
      <c r="AM179" s="333"/>
      <c r="AN179" s="333"/>
      <c r="AO179" s="333"/>
      <c r="AP179" s="398"/>
      <c r="AQ179" s="333"/>
      <c r="AR179" s="333"/>
      <c r="AS179" s="333"/>
      <c r="AT179" s="333"/>
      <c r="AU179" s="333"/>
      <c r="AV179" s="333"/>
      <c r="AW179" s="333"/>
      <c r="AX179" s="398"/>
      <c r="AY179" s="333"/>
      <c r="AZ179" s="333"/>
      <c r="BA179" s="333"/>
      <c r="BB179" s="333"/>
      <c r="BC179" s="333"/>
      <c r="BD179" s="333"/>
      <c r="BE179" s="253"/>
      <c r="BF179" s="400"/>
      <c r="BG179" s="253"/>
      <c r="BH179" s="253"/>
      <c r="BI179" s="253"/>
      <c r="BJ179" s="253"/>
      <c r="BK179" s="253"/>
      <c r="BL179" s="253"/>
    </row>
    <row r="180" spans="2:64" s="44" customFormat="1" ht="9.9499999999999993" customHeight="1">
      <c r="B180" s="52"/>
      <c r="G180" s="52"/>
      <c r="I180" s="333"/>
      <c r="J180" s="398"/>
      <c r="K180" s="333"/>
      <c r="L180" s="333"/>
      <c r="M180" s="333"/>
      <c r="N180" s="333"/>
      <c r="O180" s="333"/>
      <c r="P180" s="333"/>
      <c r="Q180" s="392"/>
      <c r="R180" s="414"/>
      <c r="S180" s="385"/>
      <c r="T180" s="415"/>
      <c r="U180" s="416"/>
      <c r="V180" s="415"/>
      <c r="W180" s="378"/>
      <c r="X180" s="415"/>
      <c r="Y180" s="268"/>
      <c r="Z180" s="397"/>
      <c r="AA180" s="268"/>
      <c r="AB180" s="333"/>
      <c r="AC180" s="333"/>
      <c r="AD180" s="333"/>
      <c r="AE180" s="333"/>
      <c r="AF180" s="333"/>
      <c r="AG180" s="333"/>
      <c r="AH180" s="398"/>
      <c r="AI180" s="333"/>
      <c r="AJ180" s="333"/>
      <c r="AK180" s="333"/>
      <c r="AL180" s="333"/>
      <c r="AM180" s="333"/>
      <c r="AN180" s="333"/>
      <c r="AO180" s="333"/>
      <c r="AP180" s="398"/>
      <c r="AQ180" s="333"/>
      <c r="AR180" s="333"/>
      <c r="AS180" s="333"/>
      <c r="AT180" s="333"/>
      <c r="AU180" s="333"/>
      <c r="AV180" s="333"/>
      <c r="AW180" s="333"/>
      <c r="AX180" s="398"/>
      <c r="AY180" s="333"/>
      <c r="AZ180" s="333"/>
      <c r="BA180" s="333"/>
      <c r="BB180" s="333"/>
      <c r="BC180" s="333"/>
      <c r="BD180" s="333"/>
      <c r="BE180" s="253"/>
      <c r="BF180" s="400"/>
      <c r="BG180" s="253"/>
      <c r="BH180" s="253"/>
      <c r="BI180" s="253"/>
      <c r="BJ180" s="253"/>
      <c r="BK180" s="253"/>
      <c r="BL180" s="253"/>
    </row>
    <row r="181" spans="2:64" s="44" customFormat="1" ht="9.9499999999999993" customHeight="1">
      <c r="B181" s="52"/>
      <c r="G181" s="52"/>
      <c r="I181" s="333"/>
      <c r="J181" s="398"/>
      <c r="K181" s="333"/>
      <c r="L181" s="333"/>
      <c r="M181" s="333"/>
      <c r="N181" s="333"/>
      <c r="O181" s="333"/>
      <c r="P181" s="333"/>
      <c r="Q181" s="392"/>
      <c r="R181" s="417"/>
      <c r="S181" s="385"/>
      <c r="T181" s="268"/>
      <c r="U181" s="268"/>
      <c r="V181" s="268"/>
      <c r="W181" s="413"/>
      <c r="X181" s="268"/>
      <c r="Y181" s="268"/>
      <c r="Z181" s="397"/>
      <c r="AA181" s="268"/>
      <c r="AB181" s="333"/>
      <c r="AC181" s="333"/>
      <c r="AD181" s="333"/>
      <c r="AE181" s="333"/>
      <c r="AF181" s="333"/>
      <c r="AG181" s="333"/>
      <c r="AH181" s="398"/>
      <c r="AI181" s="333"/>
      <c r="AJ181" s="333"/>
      <c r="AK181" s="333"/>
      <c r="AL181" s="333"/>
      <c r="AM181" s="333"/>
      <c r="AN181" s="333"/>
      <c r="AO181" s="333"/>
      <c r="AP181" s="398"/>
      <c r="AQ181" s="333"/>
      <c r="AR181" s="333"/>
      <c r="AS181" s="333"/>
      <c r="AT181" s="333"/>
      <c r="AU181" s="333"/>
      <c r="AV181" s="333"/>
      <c r="AW181" s="333"/>
      <c r="AX181" s="398"/>
      <c r="AY181" s="333"/>
      <c r="AZ181" s="333"/>
      <c r="BA181" s="333"/>
      <c r="BB181" s="333"/>
      <c r="BC181" s="333"/>
      <c r="BD181" s="333"/>
      <c r="BE181" s="253"/>
      <c r="BF181" s="400"/>
      <c r="BG181" s="253"/>
      <c r="BH181" s="253"/>
      <c r="BI181" s="253"/>
      <c r="BJ181" s="253"/>
      <c r="BK181" s="253"/>
      <c r="BL181" s="253"/>
    </row>
    <row r="182" spans="2:64" s="44" customFormat="1" ht="9.9499999999999993" customHeight="1">
      <c r="B182" s="52"/>
      <c r="G182" s="52"/>
      <c r="I182" s="333"/>
      <c r="J182" s="398"/>
      <c r="K182" s="333"/>
      <c r="L182" s="333"/>
      <c r="M182" s="333"/>
      <c r="N182" s="333"/>
      <c r="O182" s="333"/>
      <c r="P182" s="333"/>
      <c r="Q182" s="392"/>
      <c r="R182" s="414"/>
      <c r="S182" s="385"/>
      <c r="T182" s="415"/>
      <c r="U182" s="416"/>
      <c r="V182" s="415"/>
      <c r="W182" s="378"/>
      <c r="X182" s="415"/>
      <c r="Y182" s="268"/>
      <c r="Z182" s="397"/>
      <c r="AA182" s="268"/>
      <c r="AB182" s="333"/>
      <c r="AC182" s="333"/>
      <c r="AD182" s="333"/>
      <c r="AE182" s="333"/>
      <c r="AF182" s="333"/>
      <c r="AG182" s="333"/>
      <c r="AH182" s="398"/>
      <c r="AI182" s="333"/>
      <c r="AJ182" s="333"/>
      <c r="AK182" s="333"/>
      <c r="AL182" s="333"/>
      <c r="AM182" s="333"/>
      <c r="AN182" s="333"/>
      <c r="AO182" s="333"/>
      <c r="AP182" s="398"/>
      <c r="AQ182" s="333"/>
      <c r="AR182" s="333"/>
      <c r="AS182" s="333"/>
      <c r="AT182" s="333"/>
      <c r="AU182" s="333"/>
      <c r="AV182" s="333"/>
      <c r="AW182" s="333"/>
      <c r="AX182" s="398"/>
      <c r="AY182" s="333"/>
      <c r="AZ182" s="333"/>
      <c r="BA182" s="333"/>
      <c r="BB182" s="333"/>
      <c r="BC182" s="333"/>
      <c r="BD182" s="333"/>
      <c r="BE182" s="253"/>
      <c r="BF182" s="400"/>
      <c r="BG182" s="253"/>
      <c r="BH182" s="253"/>
      <c r="BI182" s="253"/>
      <c r="BJ182" s="253"/>
      <c r="BK182" s="253"/>
      <c r="BL182" s="253"/>
    </row>
    <row r="183" spans="2:64" s="44" customFormat="1" ht="10.5" customHeight="1">
      <c r="B183" s="52"/>
      <c r="G183" s="52"/>
      <c r="I183" s="333"/>
      <c r="J183" s="398"/>
      <c r="K183" s="333"/>
      <c r="L183" s="333"/>
      <c r="M183" s="333"/>
      <c r="N183" s="333"/>
      <c r="O183" s="333"/>
      <c r="P183" s="333"/>
      <c r="Q183" s="268"/>
      <c r="R183" s="397"/>
      <c r="S183" s="268"/>
      <c r="T183" s="268"/>
      <c r="U183" s="268"/>
      <c r="V183" s="268"/>
      <c r="W183" s="413"/>
      <c r="X183" s="268"/>
      <c r="Y183" s="268"/>
      <c r="Z183" s="397"/>
      <c r="AA183" s="268"/>
      <c r="AB183" s="333"/>
      <c r="AC183" s="333"/>
      <c r="AD183" s="333"/>
      <c r="AE183" s="333"/>
      <c r="AF183" s="333"/>
      <c r="AG183" s="333"/>
      <c r="AH183" s="398"/>
      <c r="AI183" s="333"/>
      <c r="AJ183" s="333"/>
      <c r="AK183" s="333"/>
      <c r="AL183" s="333"/>
      <c r="AM183" s="333"/>
      <c r="AN183" s="333"/>
      <c r="AO183" s="333"/>
      <c r="AP183" s="398"/>
      <c r="AQ183" s="333"/>
      <c r="AR183" s="333"/>
      <c r="AS183" s="333"/>
      <c r="AT183" s="333"/>
      <c r="AU183" s="333"/>
      <c r="AV183" s="333"/>
      <c r="AW183" s="333"/>
      <c r="AX183" s="398"/>
      <c r="AY183" s="333"/>
      <c r="AZ183" s="333"/>
      <c r="BA183" s="333"/>
      <c r="BB183" s="333"/>
      <c r="BC183" s="333"/>
      <c r="BD183" s="333"/>
      <c r="BE183" s="333"/>
      <c r="BF183" s="398"/>
      <c r="BG183" s="333"/>
      <c r="BH183" s="333"/>
      <c r="BI183" s="333"/>
      <c r="BJ183" s="333"/>
      <c r="BK183" s="333"/>
      <c r="BL183" s="333"/>
    </row>
    <row r="184" spans="2:64" s="44" customFormat="1" ht="10.5" customHeight="1">
      <c r="B184" s="52"/>
      <c r="G184" s="52"/>
      <c r="I184" s="333"/>
      <c r="J184" s="398"/>
      <c r="K184" s="333"/>
      <c r="L184" s="333"/>
      <c r="M184" s="333"/>
      <c r="N184" s="333"/>
      <c r="O184" s="333"/>
      <c r="P184" s="333"/>
      <c r="Q184" s="333"/>
      <c r="R184" s="398"/>
      <c r="S184" s="333"/>
      <c r="T184" s="333"/>
      <c r="U184" s="333"/>
      <c r="V184" s="333"/>
      <c r="W184" s="399"/>
      <c r="X184" s="333"/>
      <c r="Y184" s="333"/>
      <c r="Z184" s="398"/>
      <c r="AA184" s="333"/>
      <c r="AB184" s="333"/>
      <c r="AC184" s="333"/>
      <c r="AD184" s="333"/>
      <c r="AE184" s="333"/>
      <c r="AF184" s="333"/>
      <c r="AG184" s="333"/>
      <c r="AH184" s="398"/>
      <c r="AI184" s="333"/>
      <c r="AJ184" s="333"/>
      <c r="AK184" s="333"/>
      <c r="AL184" s="333"/>
      <c r="AM184" s="333"/>
      <c r="AN184" s="333"/>
      <c r="AO184" s="333"/>
      <c r="AP184" s="398"/>
      <c r="AQ184" s="333"/>
      <c r="AR184" s="333"/>
      <c r="AS184" s="333"/>
      <c r="AT184" s="333"/>
      <c r="AU184" s="333"/>
      <c r="AV184" s="333"/>
      <c r="AW184" s="333"/>
      <c r="AX184" s="398"/>
      <c r="AY184" s="333"/>
      <c r="AZ184" s="333"/>
      <c r="BA184" s="333"/>
      <c r="BB184" s="333"/>
      <c r="BC184" s="333"/>
      <c r="BD184" s="333"/>
      <c r="BE184" s="333"/>
      <c r="BF184" s="398"/>
      <c r="BG184" s="333"/>
      <c r="BH184" s="333"/>
      <c r="BI184" s="333"/>
      <c r="BJ184" s="333"/>
      <c r="BK184" s="333"/>
      <c r="BL184" s="333"/>
    </row>
    <row r="185" spans="2:64" s="44" customFormat="1" ht="10.5" customHeight="1">
      <c r="B185" s="52"/>
      <c r="G185" s="52"/>
      <c r="I185" s="333"/>
      <c r="J185" s="398"/>
      <c r="K185" s="333"/>
      <c r="L185" s="333"/>
      <c r="M185" s="333"/>
      <c r="N185" s="333"/>
      <c r="O185" s="333"/>
      <c r="P185" s="333"/>
      <c r="Q185" s="333"/>
      <c r="R185" s="398"/>
      <c r="S185" s="333"/>
      <c r="T185" s="333"/>
      <c r="U185" s="333"/>
      <c r="V185" s="333"/>
      <c r="W185" s="399"/>
      <c r="X185" s="333"/>
      <c r="Y185" s="333"/>
      <c r="Z185" s="398"/>
      <c r="AA185" s="333"/>
      <c r="AB185" s="333"/>
      <c r="AC185" s="333"/>
      <c r="AD185" s="333"/>
      <c r="AE185" s="333"/>
      <c r="AF185" s="333"/>
      <c r="AG185" s="333"/>
      <c r="AH185" s="398"/>
      <c r="AI185" s="333"/>
      <c r="AJ185" s="333"/>
      <c r="AK185" s="333"/>
      <c r="AL185" s="333"/>
      <c r="AM185" s="333"/>
      <c r="AN185" s="333"/>
      <c r="AO185" s="333"/>
      <c r="AP185" s="398"/>
      <c r="AQ185" s="333"/>
      <c r="AR185" s="333"/>
      <c r="AS185" s="333"/>
      <c r="AT185" s="333"/>
      <c r="AU185" s="333"/>
      <c r="AV185" s="333"/>
      <c r="AW185" s="333"/>
      <c r="AX185" s="398"/>
      <c r="AY185" s="333"/>
      <c r="AZ185" s="333"/>
      <c r="BA185" s="333"/>
      <c r="BB185" s="333"/>
      <c r="BC185" s="333"/>
      <c r="BD185" s="333"/>
      <c r="BE185" s="333"/>
      <c r="BF185" s="398"/>
      <c r="BG185" s="333"/>
      <c r="BH185" s="333"/>
      <c r="BI185" s="333"/>
      <c r="BJ185" s="333"/>
      <c r="BK185" s="333"/>
      <c r="BL185" s="333"/>
    </row>
    <row r="186" spans="2:64" s="44" customFormat="1" ht="10.5" customHeight="1">
      <c r="B186" s="52"/>
      <c r="G186" s="52"/>
      <c r="I186" s="333"/>
      <c r="J186" s="398"/>
      <c r="K186" s="333"/>
      <c r="L186" s="333"/>
      <c r="M186" s="333"/>
      <c r="N186" s="333"/>
      <c r="O186" s="333"/>
      <c r="P186" s="333"/>
      <c r="Q186" s="333"/>
      <c r="R186" s="398"/>
      <c r="S186" s="333"/>
      <c r="T186" s="333"/>
      <c r="U186" s="333"/>
      <c r="V186" s="333"/>
      <c r="W186" s="399"/>
      <c r="X186" s="333"/>
      <c r="Y186" s="333"/>
      <c r="Z186" s="398"/>
      <c r="AA186" s="333"/>
      <c r="AB186" s="333"/>
      <c r="AC186" s="333"/>
      <c r="AD186" s="333"/>
      <c r="AE186" s="333"/>
      <c r="AF186" s="333"/>
      <c r="AG186" s="333"/>
      <c r="AH186" s="398"/>
      <c r="AI186" s="333"/>
      <c r="AJ186" s="333"/>
      <c r="AK186" s="333"/>
      <c r="AL186" s="333"/>
      <c r="AM186" s="333"/>
      <c r="AN186" s="333"/>
      <c r="AO186" s="333"/>
      <c r="AP186" s="398"/>
      <c r="AQ186" s="333"/>
      <c r="AR186" s="333"/>
      <c r="AS186" s="333"/>
      <c r="AT186" s="333"/>
      <c r="AU186" s="333"/>
      <c r="AV186" s="333"/>
      <c r="AW186" s="333"/>
      <c r="AX186" s="398"/>
      <c r="AY186" s="333"/>
      <c r="AZ186" s="333"/>
      <c r="BA186" s="333"/>
      <c r="BB186" s="333"/>
      <c r="BC186" s="333"/>
      <c r="BD186" s="333"/>
      <c r="BE186" s="333"/>
      <c r="BF186" s="398"/>
      <c r="BG186" s="333"/>
      <c r="BH186" s="333"/>
      <c r="BI186" s="333"/>
      <c r="BJ186" s="333"/>
      <c r="BK186" s="333"/>
      <c r="BL186" s="333"/>
    </row>
    <row r="187" spans="2:64" s="44" customFormat="1" ht="10.5" customHeight="1">
      <c r="B187" s="52"/>
      <c r="G187" s="52"/>
      <c r="I187" s="333"/>
      <c r="J187" s="398"/>
      <c r="K187" s="333"/>
      <c r="L187" s="333"/>
      <c r="M187" s="333"/>
      <c r="N187" s="333"/>
      <c r="O187" s="333"/>
      <c r="P187" s="333"/>
      <c r="Q187" s="333"/>
      <c r="R187" s="398"/>
      <c r="S187" s="333"/>
      <c r="T187" s="333"/>
      <c r="U187" s="333"/>
      <c r="V187" s="333"/>
      <c r="W187" s="399"/>
      <c r="X187" s="333"/>
      <c r="Y187" s="333"/>
      <c r="Z187" s="398"/>
      <c r="AA187" s="333"/>
      <c r="AB187" s="333"/>
      <c r="AC187" s="333"/>
      <c r="AD187" s="333"/>
      <c r="AE187" s="333"/>
      <c r="AF187" s="333"/>
      <c r="AG187" s="333"/>
      <c r="AH187" s="398"/>
      <c r="AI187" s="333"/>
      <c r="AJ187" s="333"/>
      <c r="AK187" s="333"/>
      <c r="AL187" s="333"/>
      <c r="AM187" s="333"/>
      <c r="AN187" s="333"/>
      <c r="AO187" s="333"/>
      <c r="AP187" s="398"/>
      <c r="AQ187" s="333"/>
      <c r="AR187" s="333"/>
      <c r="AS187" s="333"/>
      <c r="AT187" s="333"/>
      <c r="AU187" s="333"/>
      <c r="AV187" s="333"/>
      <c r="AW187" s="333"/>
      <c r="AX187" s="398"/>
      <c r="AY187" s="333"/>
      <c r="AZ187" s="333"/>
      <c r="BA187" s="333"/>
      <c r="BB187" s="333"/>
      <c r="BC187" s="333"/>
      <c r="BD187" s="333"/>
      <c r="BE187" s="333"/>
      <c r="BF187" s="398"/>
      <c r="BG187" s="333"/>
      <c r="BH187" s="333"/>
      <c r="BI187" s="333"/>
      <c r="BJ187" s="333"/>
      <c r="BK187" s="333"/>
      <c r="BL187" s="333"/>
    </row>
    <row r="188" spans="2:64" s="44" customFormat="1" ht="10.5" customHeight="1">
      <c r="B188" s="52"/>
      <c r="G188" s="52"/>
      <c r="I188" s="333"/>
      <c r="J188" s="398"/>
      <c r="K188" s="333"/>
      <c r="L188" s="333"/>
      <c r="M188" s="333"/>
      <c r="N188" s="333"/>
      <c r="O188" s="333"/>
      <c r="P188" s="333"/>
      <c r="Q188" s="333"/>
      <c r="R188" s="398"/>
      <c r="S188" s="333"/>
      <c r="T188" s="333"/>
      <c r="U188" s="333"/>
      <c r="V188" s="333"/>
      <c r="W188" s="399"/>
      <c r="X188" s="333"/>
      <c r="Y188" s="333"/>
      <c r="Z188" s="398"/>
      <c r="AA188" s="333"/>
      <c r="AB188" s="333"/>
      <c r="AC188" s="333"/>
      <c r="AD188" s="333"/>
      <c r="AE188" s="333"/>
      <c r="AF188" s="333"/>
      <c r="AG188" s="333"/>
      <c r="AH188" s="398"/>
      <c r="AI188" s="333"/>
      <c r="AJ188" s="333"/>
      <c r="AK188" s="333"/>
      <c r="AL188" s="333"/>
      <c r="AM188" s="333"/>
      <c r="AN188" s="333"/>
      <c r="AO188" s="333"/>
      <c r="AP188" s="398"/>
      <c r="AQ188" s="333"/>
      <c r="AR188" s="333"/>
      <c r="AS188" s="333"/>
      <c r="AT188" s="333"/>
      <c r="AU188" s="333"/>
      <c r="AV188" s="333"/>
      <c r="AW188" s="420"/>
      <c r="AX188" s="398"/>
      <c r="AY188" s="333"/>
      <c r="AZ188" s="333"/>
      <c r="BA188" s="333"/>
      <c r="BB188" s="333"/>
      <c r="BC188" s="333"/>
      <c r="BD188" s="333"/>
      <c r="BE188" s="333"/>
      <c r="BF188" s="398"/>
      <c r="BG188" s="333"/>
      <c r="BH188" s="333"/>
      <c r="BI188" s="333"/>
      <c r="BJ188" s="333"/>
      <c r="BK188" s="333"/>
      <c r="BL188" s="333"/>
    </row>
    <row r="189" spans="2:64" s="44" customFormat="1" ht="9.1999999999999993" customHeight="1">
      <c r="B189" s="52"/>
      <c r="G189" s="52"/>
      <c r="I189" s="333"/>
      <c r="J189" s="398"/>
      <c r="K189" s="333"/>
      <c r="L189" s="333"/>
      <c r="M189" s="333"/>
      <c r="N189" s="333"/>
      <c r="O189" s="333"/>
      <c r="P189" s="333"/>
      <c r="Q189" s="268"/>
      <c r="R189" s="398"/>
      <c r="S189" s="385"/>
      <c r="T189" s="418"/>
      <c r="U189" s="419"/>
      <c r="V189" s="418"/>
      <c r="W189" s="378"/>
      <c r="X189" s="415"/>
      <c r="Y189" s="333"/>
      <c r="Z189" s="398"/>
      <c r="AA189" s="333"/>
      <c r="AB189" s="333"/>
      <c r="AC189" s="333"/>
      <c r="AD189" s="333"/>
      <c r="AE189" s="333"/>
      <c r="AF189" s="333"/>
      <c r="AG189" s="333"/>
      <c r="AH189" s="398"/>
      <c r="AI189" s="333"/>
      <c r="AJ189" s="333"/>
      <c r="AK189" s="333"/>
      <c r="AL189" s="333"/>
      <c r="AM189" s="333"/>
      <c r="AN189" s="333"/>
      <c r="AO189" s="333"/>
      <c r="AP189" s="398"/>
      <c r="AQ189" s="333"/>
      <c r="AR189" s="333"/>
      <c r="AS189" s="333"/>
      <c r="AT189" s="333"/>
      <c r="AU189" s="333"/>
      <c r="AV189" s="333"/>
      <c r="AW189" s="420"/>
      <c r="AX189" s="421"/>
      <c r="AY189" s="420"/>
      <c r="AZ189" s="420"/>
      <c r="BA189" s="420"/>
      <c r="BB189" s="420"/>
      <c r="BC189" s="420"/>
      <c r="BD189" s="420"/>
      <c r="BE189" s="333"/>
      <c r="BF189" s="398"/>
      <c r="BG189" s="333"/>
      <c r="BH189" s="333"/>
      <c r="BI189" s="333"/>
      <c r="BJ189" s="333"/>
      <c r="BK189" s="333"/>
      <c r="BL189" s="333"/>
    </row>
    <row r="190" spans="2:64" s="18" customFormat="1" ht="9.1999999999999993" customHeight="1">
      <c r="B190" s="52"/>
      <c r="G190" s="52"/>
      <c r="I190" s="420"/>
      <c r="J190" s="421"/>
      <c r="K190" s="420"/>
      <c r="L190" s="420"/>
      <c r="M190" s="420"/>
      <c r="N190" s="420"/>
      <c r="O190" s="420"/>
      <c r="P190" s="420"/>
      <c r="Q190" s="420"/>
      <c r="R190" s="398"/>
      <c r="S190" s="420"/>
      <c r="T190" s="420"/>
      <c r="U190" s="420"/>
      <c r="V190" s="420"/>
      <c r="W190" s="399"/>
      <c r="X190" s="420"/>
      <c r="Y190" s="420"/>
      <c r="Z190" s="421"/>
      <c r="AA190" s="420"/>
      <c r="AB190" s="420"/>
      <c r="AC190" s="420"/>
      <c r="AD190" s="420"/>
      <c r="AE190" s="420"/>
      <c r="AF190" s="420"/>
      <c r="AG190" s="420"/>
      <c r="AH190" s="421"/>
      <c r="AI190" s="420"/>
      <c r="AJ190" s="420"/>
      <c r="AK190" s="420"/>
      <c r="AL190" s="420"/>
      <c r="AM190" s="420"/>
      <c r="AN190" s="420"/>
      <c r="AO190" s="420"/>
      <c r="AP190" s="421"/>
      <c r="AQ190" s="420"/>
      <c r="AR190" s="420"/>
      <c r="AS190" s="420"/>
      <c r="AT190" s="420"/>
      <c r="AU190" s="420"/>
      <c r="AV190" s="420"/>
      <c r="AW190" s="420"/>
      <c r="AX190" s="421"/>
      <c r="AY190" s="420"/>
      <c r="AZ190" s="420"/>
      <c r="BA190" s="420"/>
      <c r="BB190" s="420"/>
      <c r="BC190" s="420"/>
      <c r="BD190" s="420"/>
      <c r="BE190" s="333"/>
      <c r="BF190" s="398"/>
      <c r="BG190" s="333"/>
      <c r="BH190" s="333"/>
      <c r="BI190" s="333"/>
      <c r="BJ190" s="333"/>
      <c r="BK190" s="333"/>
      <c r="BL190" s="333"/>
    </row>
    <row r="191" spans="2:64" s="18" customFormat="1" ht="9.1999999999999993" customHeight="1">
      <c r="B191" s="52"/>
      <c r="G191" s="52"/>
      <c r="I191" s="420"/>
      <c r="J191" s="421"/>
      <c r="K191" s="420"/>
      <c r="L191" s="420"/>
      <c r="M191" s="420"/>
      <c r="N191" s="420"/>
      <c r="O191" s="420"/>
      <c r="P191" s="420"/>
      <c r="Q191" s="420"/>
      <c r="R191" s="398"/>
      <c r="S191" s="420"/>
      <c r="T191" s="420"/>
      <c r="U191" s="420"/>
      <c r="V191" s="420"/>
      <c r="W191" s="399"/>
      <c r="X191" s="420"/>
      <c r="Y191" s="420"/>
      <c r="Z191" s="421"/>
      <c r="AA191" s="420"/>
      <c r="AB191" s="420"/>
      <c r="AC191" s="420"/>
      <c r="AD191" s="420"/>
      <c r="AE191" s="420"/>
      <c r="AF191" s="420"/>
      <c r="AG191" s="420"/>
      <c r="AH191" s="421"/>
      <c r="AI191" s="420"/>
      <c r="AJ191" s="420"/>
      <c r="AK191" s="420"/>
      <c r="AL191" s="420"/>
      <c r="AM191" s="420"/>
      <c r="AN191" s="420"/>
      <c r="AO191" s="420"/>
      <c r="AP191" s="421"/>
      <c r="AQ191" s="420"/>
      <c r="AR191" s="420"/>
      <c r="AS191" s="420"/>
      <c r="AT191" s="420"/>
      <c r="AU191" s="420"/>
      <c r="AV191" s="420"/>
      <c r="AW191" s="399"/>
      <c r="AX191" s="421"/>
      <c r="AY191" s="420"/>
      <c r="AZ191" s="420"/>
      <c r="BA191" s="420"/>
      <c r="BB191" s="420"/>
      <c r="BC191" s="420"/>
      <c r="BD191" s="420"/>
      <c r="BE191" s="333"/>
      <c r="BF191" s="398"/>
      <c r="BG191" s="333"/>
      <c r="BH191" s="333"/>
      <c r="BI191" s="333"/>
      <c r="BJ191" s="333"/>
      <c r="BK191" s="333"/>
      <c r="BL191" s="333"/>
    </row>
    <row r="192" spans="2:64" s="18" customFormat="1" ht="8.4499999999999993" customHeight="1">
      <c r="B192" s="52"/>
      <c r="G192" s="52"/>
      <c r="I192" s="420"/>
      <c r="J192" s="421"/>
      <c r="K192" s="420"/>
      <c r="L192" s="420"/>
      <c r="M192" s="420"/>
      <c r="N192" s="420"/>
      <c r="O192" s="420"/>
      <c r="P192" s="420"/>
      <c r="Q192" s="420"/>
      <c r="R192" s="398"/>
      <c r="S192" s="420"/>
      <c r="T192" s="420"/>
      <c r="U192" s="420"/>
      <c r="V192" s="420"/>
      <c r="W192" s="399"/>
      <c r="X192" s="420"/>
      <c r="Y192" s="420"/>
      <c r="Z192" s="421"/>
      <c r="AA192" s="420"/>
      <c r="AB192" s="420"/>
      <c r="AC192" s="420"/>
      <c r="AD192" s="420"/>
      <c r="AE192" s="420"/>
      <c r="AF192" s="420"/>
      <c r="AG192" s="420"/>
      <c r="AH192" s="421"/>
      <c r="AI192" s="420"/>
      <c r="AJ192" s="420"/>
      <c r="AK192" s="420"/>
      <c r="AL192" s="420"/>
      <c r="AM192" s="420"/>
      <c r="AN192" s="420"/>
      <c r="AO192" s="420"/>
      <c r="AP192" s="421"/>
      <c r="AQ192" s="420"/>
      <c r="AR192" s="420"/>
      <c r="AS192" s="420"/>
      <c r="AT192" s="420"/>
      <c r="AU192" s="420"/>
      <c r="AV192" s="420"/>
      <c r="AW192" s="399"/>
      <c r="AX192" s="404"/>
      <c r="AY192" s="399"/>
      <c r="AZ192" s="399"/>
      <c r="BA192" s="399"/>
      <c r="BB192" s="399"/>
      <c r="BC192" s="399"/>
      <c r="BD192" s="399"/>
      <c r="BE192" s="333"/>
      <c r="BF192" s="398"/>
      <c r="BG192" s="333"/>
      <c r="BH192" s="333"/>
      <c r="BI192" s="333"/>
      <c r="BJ192" s="333"/>
      <c r="BK192" s="333"/>
      <c r="BL192" s="333"/>
    </row>
    <row r="193" spans="1:64" s="52" customFormat="1" ht="8.4499999999999993" customHeight="1">
      <c r="I193" s="399"/>
      <c r="J193" s="404"/>
      <c r="K193" s="399"/>
      <c r="L193" s="399"/>
      <c r="M193" s="399"/>
      <c r="N193" s="399"/>
      <c r="O193" s="399"/>
      <c r="P193" s="399"/>
      <c r="Q193" s="399"/>
      <c r="R193" s="398"/>
      <c r="S193" s="399"/>
      <c r="T193" s="399"/>
      <c r="U193" s="399"/>
      <c r="V193" s="399"/>
      <c r="W193" s="399"/>
      <c r="X193" s="399"/>
      <c r="Y193" s="399"/>
      <c r="Z193" s="404"/>
      <c r="AA193" s="399"/>
      <c r="AB193" s="399"/>
      <c r="AC193" s="399"/>
      <c r="AD193" s="399"/>
      <c r="AE193" s="399"/>
      <c r="AF193" s="399"/>
      <c r="AG193" s="399"/>
      <c r="AH193" s="404"/>
      <c r="AI193" s="399"/>
      <c r="AJ193" s="399"/>
      <c r="AK193" s="399"/>
      <c r="AL193" s="399"/>
      <c r="AM193" s="399"/>
      <c r="AN193" s="399"/>
      <c r="AO193" s="399"/>
      <c r="AP193" s="404"/>
      <c r="AQ193" s="399"/>
      <c r="AR193" s="399"/>
      <c r="AS193" s="399"/>
      <c r="AT193" s="399"/>
      <c r="AU193" s="399"/>
      <c r="AV193" s="399"/>
      <c r="AW193" s="399"/>
      <c r="AX193" s="404"/>
      <c r="AY193" s="399"/>
      <c r="AZ193" s="399"/>
      <c r="BA193" s="399"/>
      <c r="BB193" s="399"/>
      <c r="BC193" s="399"/>
      <c r="BD193" s="399"/>
      <c r="BE193" s="333"/>
      <c r="BF193" s="398"/>
      <c r="BG193" s="333"/>
      <c r="BH193" s="333"/>
      <c r="BI193" s="333"/>
      <c r="BJ193" s="333"/>
      <c r="BK193" s="333"/>
      <c r="BL193" s="333"/>
    </row>
    <row r="194" spans="1:64" s="52" customFormat="1" ht="8.4499999999999993" customHeight="1">
      <c r="I194" s="399"/>
      <c r="J194" s="404"/>
      <c r="K194" s="399"/>
      <c r="L194" s="399"/>
      <c r="M194" s="399"/>
      <c r="N194" s="399"/>
      <c r="O194" s="399"/>
      <c r="P194" s="399"/>
      <c r="Q194" s="399"/>
      <c r="R194" s="398"/>
      <c r="S194" s="399"/>
      <c r="T194" s="399"/>
      <c r="U194" s="399"/>
      <c r="V194" s="399"/>
      <c r="W194" s="399"/>
      <c r="X194" s="399"/>
      <c r="Y194" s="399"/>
      <c r="Z194" s="404"/>
      <c r="AA194" s="399"/>
      <c r="AB194" s="399"/>
      <c r="AC194" s="399"/>
      <c r="AD194" s="399"/>
      <c r="AE194" s="399"/>
      <c r="AF194" s="399"/>
      <c r="AG194" s="399"/>
      <c r="AH194" s="404"/>
      <c r="AI194" s="399"/>
      <c r="AJ194" s="399"/>
      <c r="AK194" s="399"/>
      <c r="AL194" s="399"/>
      <c r="AM194" s="399"/>
      <c r="AN194" s="399"/>
      <c r="AO194" s="399"/>
      <c r="AP194" s="404"/>
      <c r="AQ194" s="399"/>
      <c r="AR194" s="399"/>
      <c r="AS194" s="399"/>
      <c r="AT194" s="399"/>
      <c r="AU194" s="399"/>
      <c r="AV194" s="399"/>
      <c r="AW194" s="399"/>
      <c r="AX194" s="404"/>
      <c r="AY194" s="399"/>
      <c r="AZ194" s="399"/>
      <c r="BA194" s="399"/>
      <c r="BB194" s="399"/>
      <c r="BC194" s="399"/>
      <c r="BD194" s="399"/>
      <c r="BE194" s="420"/>
      <c r="BF194" s="421"/>
      <c r="BG194" s="420"/>
      <c r="BH194" s="420"/>
      <c r="BI194" s="420"/>
      <c r="BJ194" s="420"/>
      <c r="BK194" s="420"/>
      <c r="BL194" s="420"/>
    </row>
    <row r="195" spans="1:64" s="52" customFormat="1" ht="8.4499999999999993" customHeight="1">
      <c r="I195" s="399"/>
      <c r="J195" s="404"/>
      <c r="K195" s="399"/>
      <c r="L195" s="399"/>
      <c r="M195" s="399"/>
      <c r="N195" s="399"/>
      <c r="O195" s="399"/>
      <c r="P195" s="399"/>
      <c r="Q195" s="399"/>
      <c r="R195" s="398"/>
      <c r="S195" s="399"/>
      <c r="T195" s="399"/>
      <c r="U195" s="399"/>
      <c r="V195" s="399"/>
      <c r="W195" s="399"/>
      <c r="X195" s="399"/>
      <c r="Y195" s="399"/>
      <c r="Z195" s="404"/>
      <c r="AA195" s="399"/>
      <c r="AB195" s="399"/>
      <c r="AC195" s="399"/>
      <c r="AD195" s="399"/>
      <c r="AE195" s="399"/>
      <c r="AF195" s="399"/>
      <c r="AG195" s="399"/>
      <c r="AH195" s="404"/>
      <c r="AI195" s="399"/>
      <c r="AJ195" s="399"/>
      <c r="AK195" s="399"/>
      <c r="AL195" s="399"/>
      <c r="AM195" s="399"/>
      <c r="AN195" s="399"/>
      <c r="AO195" s="399"/>
      <c r="AP195" s="404"/>
      <c r="AQ195" s="399"/>
      <c r="AR195" s="399"/>
      <c r="AS195" s="399"/>
      <c r="AT195" s="399"/>
      <c r="AU195" s="399"/>
      <c r="AV195" s="399"/>
      <c r="AW195" s="399"/>
      <c r="AX195" s="404"/>
      <c r="AY195" s="399"/>
      <c r="AZ195" s="399"/>
      <c r="BA195" s="399"/>
      <c r="BB195" s="399"/>
      <c r="BC195" s="399"/>
      <c r="BD195" s="399"/>
      <c r="BE195" s="420"/>
      <c r="BF195" s="421"/>
      <c r="BG195" s="420"/>
      <c r="BH195" s="420"/>
      <c r="BI195" s="420"/>
      <c r="BJ195" s="420"/>
      <c r="BK195" s="420"/>
      <c r="BL195" s="420"/>
    </row>
    <row r="196" spans="1:64" s="52" customFormat="1" ht="8.4499999999999993" customHeight="1">
      <c r="I196" s="399"/>
      <c r="J196" s="404"/>
      <c r="K196" s="399"/>
      <c r="L196" s="399"/>
      <c r="M196" s="399"/>
      <c r="N196" s="399"/>
      <c r="O196" s="399"/>
      <c r="P196" s="399"/>
      <c r="Q196" s="399"/>
      <c r="R196" s="398"/>
      <c r="S196" s="399"/>
      <c r="T196" s="399"/>
      <c r="U196" s="399"/>
      <c r="V196" s="399"/>
      <c r="W196" s="399"/>
      <c r="X196" s="399"/>
      <c r="Y196" s="399"/>
      <c r="Z196" s="404"/>
      <c r="AA196" s="399"/>
      <c r="AB196" s="399"/>
      <c r="AC196" s="399"/>
      <c r="AD196" s="399"/>
      <c r="AE196" s="399"/>
      <c r="AF196" s="399"/>
      <c r="AG196" s="399"/>
      <c r="AH196" s="404"/>
      <c r="AI196" s="399"/>
      <c r="AJ196" s="399"/>
      <c r="AK196" s="399"/>
      <c r="AL196" s="399"/>
      <c r="AM196" s="399"/>
      <c r="AN196" s="399"/>
      <c r="AO196" s="399"/>
      <c r="AP196" s="404"/>
      <c r="AQ196" s="399"/>
      <c r="AR196" s="399"/>
      <c r="AS196" s="399"/>
      <c r="AT196" s="399"/>
      <c r="AU196" s="399"/>
      <c r="AV196" s="399"/>
      <c r="AW196" s="399"/>
      <c r="AX196" s="404"/>
      <c r="AY196" s="399"/>
      <c r="AZ196" s="399"/>
      <c r="BA196" s="399"/>
      <c r="BB196" s="399"/>
      <c r="BC196" s="399"/>
      <c r="BD196" s="399"/>
      <c r="BE196" s="420"/>
      <c r="BF196" s="421"/>
      <c r="BG196" s="420"/>
      <c r="BH196" s="420"/>
      <c r="BI196" s="420"/>
      <c r="BJ196" s="420"/>
      <c r="BK196" s="420"/>
      <c r="BL196" s="420"/>
    </row>
    <row r="197" spans="1:64" s="52" customFormat="1" ht="8.4499999999999993" customHeight="1">
      <c r="I197" s="399"/>
      <c r="J197" s="404"/>
      <c r="K197" s="399"/>
      <c r="L197" s="399"/>
      <c r="M197" s="399"/>
      <c r="N197" s="399"/>
      <c r="O197" s="399"/>
      <c r="P197" s="399"/>
      <c r="Q197" s="399"/>
      <c r="R197" s="398"/>
      <c r="S197" s="399"/>
      <c r="T197" s="399"/>
      <c r="U197" s="399"/>
      <c r="V197" s="399"/>
      <c r="W197" s="399"/>
      <c r="X197" s="399"/>
      <c r="Y197" s="399"/>
      <c r="Z197" s="404"/>
      <c r="AA197" s="399"/>
      <c r="AB197" s="399"/>
      <c r="AC197" s="399"/>
      <c r="AD197" s="399"/>
      <c r="AE197" s="399"/>
      <c r="AF197" s="399"/>
      <c r="AG197" s="399"/>
      <c r="AH197" s="404"/>
      <c r="AI197" s="399"/>
      <c r="AJ197" s="399"/>
      <c r="AK197" s="399"/>
      <c r="AL197" s="399"/>
      <c r="AM197" s="399"/>
      <c r="AN197" s="399"/>
      <c r="AO197" s="399"/>
      <c r="AP197" s="404"/>
      <c r="AQ197" s="399"/>
      <c r="AR197" s="399"/>
      <c r="AS197" s="399"/>
      <c r="AT197" s="399"/>
      <c r="AU197" s="399"/>
      <c r="AV197" s="399"/>
      <c r="AW197" s="399"/>
      <c r="AX197" s="404"/>
      <c r="AY197" s="399"/>
      <c r="AZ197" s="399"/>
      <c r="BA197" s="399"/>
      <c r="BB197" s="399"/>
      <c r="BC197" s="399"/>
      <c r="BD197" s="399"/>
      <c r="BE197" s="399"/>
      <c r="BF197" s="404"/>
      <c r="BG197" s="399"/>
      <c r="BH197" s="399"/>
      <c r="BI197" s="399"/>
      <c r="BJ197" s="399"/>
      <c r="BK197" s="399"/>
      <c r="BL197" s="399"/>
    </row>
    <row r="198" spans="1:64" s="52" customFormat="1" ht="8.4499999999999993" customHeight="1">
      <c r="I198" s="399"/>
      <c r="J198" s="404"/>
      <c r="K198" s="399"/>
      <c r="L198" s="399"/>
      <c r="M198" s="399"/>
      <c r="N198" s="399"/>
      <c r="O198" s="399"/>
      <c r="P198" s="399"/>
      <c r="Q198" s="399"/>
      <c r="R198" s="398"/>
      <c r="S198" s="399"/>
      <c r="T198" s="399"/>
      <c r="U198" s="399"/>
      <c r="V198" s="399"/>
      <c r="W198" s="399"/>
      <c r="X198" s="399"/>
      <c r="Y198" s="399"/>
      <c r="Z198" s="404"/>
      <c r="AA198" s="399"/>
      <c r="AB198" s="399"/>
      <c r="AC198" s="399"/>
      <c r="AD198" s="399"/>
      <c r="AE198" s="399"/>
      <c r="AF198" s="399"/>
      <c r="AG198" s="399"/>
      <c r="AH198" s="404"/>
      <c r="AI198" s="399"/>
      <c r="AJ198" s="399"/>
      <c r="AK198" s="399"/>
      <c r="AL198" s="399"/>
      <c r="AM198" s="399"/>
      <c r="AN198" s="399"/>
      <c r="AO198" s="399"/>
      <c r="AP198" s="404"/>
      <c r="AQ198" s="399"/>
      <c r="AR198" s="399"/>
      <c r="AS198" s="399"/>
      <c r="AT198" s="399"/>
      <c r="AU198" s="399"/>
      <c r="AV198" s="399"/>
      <c r="AW198" s="399"/>
      <c r="AX198" s="404"/>
      <c r="AY198" s="399"/>
      <c r="AZ198" s="399"/>
      <c r="BA198" s="399"/>
      <c r="BB198" s="399"/>
      <c r="BC198" s="399"/>
      <c r="BD198" s="399"/>
      <c r="BE198" s="399"/>
      <c r="BF198" s="404"/>
      <c r="BG198" s="399"/>
      <c r="BH198" s="399"/>
      <c r="BI198" s="399"/>
      <c r="BJ198" s="399"/>
      <c r="BK198" s="399"/>
      <c r="BL198" s="399"/>
    </row>
    <row r="199" spans="1:64" s="52" customFormat="1" ht="8.1" customHeight="1">
      <c r="I199" s="399"/>
      <c r="J199" s="404"/>
      <c r="K199" s="399"/>
      <c r="L199" s="399"/>
      <c r="M199" s="399"/>
      <c r="N199" s="399"/>
      <c r="O199" s="399"/>
      <c r="P199" s="399"/>
      <c r="Q199" s="399"/>
      <c r="R199" s="398"/>
      <c r="S199" s="399"/>
      <c r="T199" s="399"/>
      <c r="U199" s="399"/>
      <c r="V199" s="399"/>
      <c r="W199" s="399"/>
      <c r="X199" s="399"/>
      <c r="Y199" s="399"/>
      <c r="Z199" s="404"/>
      <c r="AA199" s="399"/>
      <c r="AB199" s="399"/>
      <c r="AC199" s="399"/>
      <c r="AD199" s="399"/>
      <c r="AE199" s="399"/>
      <c r="AF199" s="399"/>
      <c r="AG199" s="399"/>
      <c r="AH199" s="404"/>
      <c r="AI199" s="399"/>
      <c r="AJ199" s="399"/>
      <c r="AK199" s="399"/>
      <c r="AL199" s="399"/>
      <c r="AM199" s="399"/>
      <c r="AN199" s="399"/>
      <c r="AO199" s="399"/>
      <c r="AP199" s="404"/>
      <c r="AQ199" s="399"/>
      <c r="AR199" s="399"/>
      <c r="AS199" s="399"/>
      <c r="AT199" s="399"/>
      <c r="AU199" s="399"/>
      <c r="AV199" s="399"/>
      <c r="AW199" s="399"/>
      <c r="AX199" s="404"/>
      <c r="AY199" s="399"/>
      <c r="AZ199" s="399"/>
      <c r="BA199" s="399"/>
      <c r="BB199" s="399"/>
      <c r="BC199" s="399"/>
      <c r="BD199" s="399"/>
      <c r="BE199" s="399"/>
      <c r="BF199" s="404"/>
      <c r="BG199" s="399"/>
      <c r="BH199" s="399"/>
      <c r="BI199" s="399"/>
      <c r="BJ199" s="399"/>
      <c r="BK199" s="399"/>
      <c r="BL199" s="399"/>
    </row>
    <row r="200" spans="1:64" s="52" customFormat="1" ht="8.1" customHeight="1">
      <c r="I200" s="399"/>
      <c r="J200" s="404"/>
      <c r="K200" s="399"/>
      <c r="L200" s="399"/>
      <c r="M200" s="399"/>
      <c r="N200" s="399"/>
      <c r="O200" s="399"/>
      <c r="P200" s="399"/>
      <c r="Q200" s="399"/>
      <c r="R200" s="398"/>
      <c r="S200" s="399"/>
      <c r="T200" s="399"/>
      <c r="U200" s="399"/>
      <c r="V200" s="399"/>
      <c r="W200" s="399"/>
      <c r="X200" s="399"/>
      <c r="Y200" s="399"/>
      <c r="Z200" s="404"/>
      <c r="AA200" s="399"/>
      <c r="AB200" s="399"/>
      <c r="AC200" s="399"/>
      <c r="AD200" s="399"/>
      <c r="AE200" s="399"/>
      <c r="AF200" s="399"/>
      <c r="AG200" s="399"/>
      <c r="AH200" s="404"/>
      <c r="AI200" s="399"/>
      <c r="AJ200" s="399"/>
      <c r="AK200" s="399"/>
      <c r="AL200" s="399"/>
      <c r="AM200" s="399"/>
      <c r="AN200" s="399"/>
      <c r="AO200" s="399"/>
      <c r="AP200" s="404"/>
      <c r="AQ200" s="399"/>
      <c r="AR200" s="399"/>
      <c r="AS200" s="399"/>
      <c r="AT200" s="399"/>
      <c r="AU200" s="399"/>
      <c r="AV200" s="399"/>
      <c r="AW200" s="399"/>
      <c r="AX200" s="404"/>
      <c r="AY200" s="399"/>
      <c r="AZ200" s="399"/>
      <c r="BA200" s="399"/>
      <c r="BB200" s="399"/>
      <c r="BC200" s="399"/>
      <c r="BD200" s="399"/>
      <c r="BE200" s="399"/>
      <c r="BF200" s="404"/>
      <c r="BG200" s="399"/>
      <c r="BH200" s="399"/>
      <c r="BI200" s="399"/>
      <c r="BJ200" s="399"/>
      <c r="BK200" s="399"/>
      <c r="BL200" s="399"/>
    </row>
    <row r="201" spans="1:64" s="52" customFormat="1" ht="8.1" customHeight="1">
      <c r="A201" s="157"/>
      <c r="I201" s="399"/>
      <c r="J201" s="404"/>
      <c r="K201" s="399"/>
      <c r="L201" s="399"/>
      <c r="M201" s="399"/>
      <c r="N201" s="399"/>
      <c r="O201" s="399"/>
      <c r="P201" s="399"/>
      <c r="Q201" s="413"/>
      <c r="R201" s="398"/>
      <c r="S201" s="422"/>
      <c r="T201" s="423"/>
      <c r="U201" s="424"/>
      <c r="V201" s="423"/>
      <c r="W201" s="378"/>
      <c r="X201" s="378"/>
      <c r="Y201" s="399"/>
      <c r="Z201" s="404"/>
      <c r="AA201" s="399"/>
      <c r="AB201" s="399"/>
      <c r="AC201" s="399"/>
      <c r="AD201" s="399"/>
      <c r="AE201" s="399"/>
      <c r="AF201" s="399"/>
      <c r="AG201" s="399"/>
      <c r="AH201" s="404"/>
      <c r="AI201" s="399"/>
      <c r="AJ201" s="399"/>
      <c r="AK201" s="399"/>
      <c r="AL201" s="399"/>
      <c r="AM201" s="399"/>
      <c r="AN201" s="399"/>
      <c r="AO201" s="399"/>
      <c r="AP201" s="404"/>
      <c r="AQ201" s="399"/>
      <c r="AR201" s="399"/>
      <c r="AS201" s="399"/>
      <c r="AT201" s="399"/>
      <c r="AU201" s="399"/>
      <c r="AV201" s="399"/>
      <c r="AW201" s="399"/>
      <c r="AX201" s="404"/>
      <c r="AY201" s="399"/>
      <c r="AZ201" s="399"/>
      <c r="BA201" s="399"/>
      <c r="BB201" s="399"/>
      <c r="BC201" s="399"/>
      <c r="BD201" s="399"/>
      <c r="BE201" s="399"/>
      <c r="BF201" s="404"/>
      <c r="BG201" s="399"/>
      <c r="BH201" s="399"/>
      <c r="BI201" s="399"/>
      <c r="BJ201" s="399"/>
      <c r="BK201" s="399"/>
      <c r="BL201" s="399"/>
    </row>
    <row r="202" spans="1:64" s="52" customFormat="1" ht="8.1" customHeight="1">
      <c r="A202" s="157"/>
      <c r="I202" s="399"/>
      <c r="J202" s="404"/>
      <c r="K202" s="399"/>
      <c r="L202" s="399"/>
      <c r="M202" s="399"/>
      <c r="N202" s="399"/>
      <c r="O202" s="399"/>
      <c r="P202" s="399"/>
      <c r="Q202" s="413"/>
      <c r="R202" s="398"/>
      <c r="S202" s="422"/>
      <c r="T202" s="423"/>
      <c r="U202" s="424"/>
      <c r="V202" s="423"/>
      <c r="W202" s="378"/>
      <c r="X202" s="378"/>
      <c r="Y202" s="399"/>
      <c r="Z202" s="404"/>
      <c r="AA202" s="399"/>
      <c r="AB202" s="399"/>
      <c r="AC202" s="399"/>
      <c r="AD202" s="399"/>
      <c r="AE202" s="399"/>
      <c r="AF202" s="399"/>
      <c r="AG202" s="399"/>
      <c r="AH202" s="404"/>
      <c r="AI202" s="399"/>
      <c r="AJ202" s="399"/>
      <c r="AK202" s="399"/>
      <c r="AL202" s="399"/>
      <c r="AM202" s="399"/>
      <c r="AN202" s="399"/>
      <c r="AO202" s="399"/>
      <c r="AP202" s="404"/>
      <c r="AQ202" s="399"/>
      <c r="AR202" s="399"/>
      <c r="AS202" s="399"/>
      <c r="AT202" s="399"/>
      <c r="AU202" s="399"/>
      <c r="AV202" s="399"/>
      <c r="AW202" s="399"/>
      <c r="AX202" s="404"/>
      <c r="AY202" s="399"/>
      <c r="AZ202" s="399"/>
      <c r="BA202" s="399"/>
      <c r="BB202" s="399"/>
      <c r="BC202" s="399"/>
      <c r="BD202" s="399"/>
      <c r="BE202" s="399"/>
      <c r="BF202" s="404"/>
      <c r="BG202" s="399"/>
      <c r="BH202" s="399"/>
      <c r="BI202" s="399"/>
      <c r="BJ202" s="399"/>
      <c r="BK202" s="399"/>
      <c r="BL202" s="399"/>
    </row>
    <row r="203" spans="1:64" s="52" customFormat="1" ht="8.1" customHeight="1">
      <c r="A203" s="157"/>
      <c r="B203" s="157"/>
      <c r="C203" s="13"/>
      <c r="D203" s="156"/>
      <c r="E203" s="159"/>
      <c r="F203" s="156"/>
      <c r="G203" s="156"/>
      <c r="H203" s="156"/>
      <c r="I203" s="399"/>
      <c r="J203" s="404"/>
      <c r="K203" s="399"/>
      <c r="L203" s="399"/>
      <c r="M203" s="399"/>
      <c r="N203" s="399"/>
      <c r="O203" s="399"/>
      <c r="P203" s="399"/>
      <c r="Q203" s="413"/>
      <c r="R203" s="398"/>
      <c r="S203" s="422"/>
      <c r="T203" s="423"/>
      <c r="U203" s="424"/>
      <c r="V203" s="423"/>
      <c r="W203" s="378"/>
      <c r="X203" s="378"/>
      <c r="Y203" s="399"/>
      <c r="Z203" s="404"/>
      <c r="AA203" s="399"/>
      <c r="AB203" s="399"/>
      <c r="AC203" s="399"/>
      <c r="AD203" s="399"/>
      <c r="AE203" s="399"/>
      <c r="AF203" s="399"/>
      <c r="AG203" s="399"/>
      <c r="AH203" s="404"/>
      <c r="AI203" s="399"/>
      <c r="AJ203" s="399"/>
      <c r="AK203" s="399"/>
      <c r="AL203" s="399"/>
      <c r="AM203" s="399"/>
      <c r="AN203" s="399"/>
      <c r="AO203" s="399"/>
      <c r="AP203" s="404"/>
      <c r="AQ203" s="399"/>
      <c r="AR203" s="399"/>
      <c r="AS203" s="399"/>
      <c r="AT203" s="399"/>
      <c r="AU203" s="399"/>
      <c r="AV203" s="399"/>
      <c r="AW203" s="399"/>
      <c r="AX203" s="404"/>
      <c r="AY203" s="399"/>
      <c r="AZ203" s="399"/>
      <c r="BA203" s="399"/>
      <c r="BB203" s="399"/>
      <c r="BC203" s="399"/>
      <c r="BD203" s="399"/>
      <c r="BE203" s="399"/>
      <c r="BF203" s="404"/>
      <c r="BG203" s="399"/>
      <c r="BH203" s="399"/>
      <c r="BI203" s="399"/>
      <c r="BJ203" s="399"/>
      <c r="BK203" s="399"/>
      <c r="BL203" s="399"/>
    </row>
    <row r="204" spans="1:64" s="52" customFormat="1" ht="8.1" customHeight="1">
      <c r="A204" s="157"/>
      <c r="B204" s="157"/>
      <c r="C204" s="13"/>
      <c r="D204" s="156"/>
      <c r="E204" s="159"/>
      <c r="F204" s="156"/>
      <c r="G204" s="156"/>
      <c r="H204" s="156"/>
      <c r="I204" s="399"/>
      <c r="J204" s="404"/>
      <c r="K204" s="399"/>
      <c r="L204" s="399"/>
      <c r="M204" s="399"/>
      <c r="N204" s="399"/>
      <c r="O204" s="399"/>
      <c r="P204" s="399"/>
      <c r="Q204" s="413"/>
      <c r="R204" s="398"/>
      <c r="S204" s="422"/>
      <c r="T204" s="423"/>
      <c r="U204" s="424"/>
      <c r="V204" s="423"/>
      <c r="W204" s="378"/>
      <c r="X204" s="378"/>
      <c r="Y204" s="399"/>
      <c r="Z204" s="404"/>
      <c r="AA204" s="399"/>
      <c r="AB204" s="399"/>
      <c r="AC204" s="399"/>
      <c r="AD204" s="399"/>
      <c r="AE204" s="399"/>
      <c r="AF204" s="399"/>
      <c r="AG204" s="399"/>
      <c r="AH204" s="404"/>
      <c r="AI204" s="399"/>
      <c r="AJ204" s="399"/>
      <c r="AK204" s="399"/>
      <c r="AL204" s="399"/>
      <c r="AM204" s="399"/>
      <c r="AN204" s="399"/>
      <c r="AO204" s="399"/>
      <c r="AP204" s="404"/>
      <c r="AQ204" s="399"/>
      <c r="AR204" s="399"/>
      <c r="AS204" s="399"/>
      <c r="AT204" s="399"/>
      <c r="AU204" s="399"/>
      <c r="AV204" s="399"/>
      <c r="AW204" s="253"/>
      <c r="AX204" s="404"/>
      <c r="AY204" s="399"/>
      <c r="AZ204" s="399"/>
      <c r="BA204" s="399"/>
      <c r="BB204" s="399"/>
      <c r="BC204" s="399"/>
      <c r="BD204" s="399"/>
      <c r="BE204" s="399"/>
      <c r="BF204" s="404"/>
      <c r="BG204" s="399"/>
      <c r="BH204" s="399"/>
      <c r="BI204" s="399"/>
      <c r="BJ204" s="399"/>
      <c r="BK204" s="399"/>
      <c r="BL204" s="399"/>
    </row>
    <row r="205" spans="1:64" s="52" customFormat="1" ht="8.1" customHeight="1">
      <c r="A205" s="157"/>
      <c r="B205" s="157"/>
      <c r="C205" s="13"/>
      <c r="D205" s="156"/>
      <c r="E205" s="159"/>
      <c r="F205" s="156"/>
      <c r="G205" s="156"/>
      <c r="H205" s="156"/>
      <c r="I205" s="399"/>
      <c r="J205" s="404"/>
      <c r="K205" s="399"/>
      <c r="L205" s="399"/>
      <c r="M205" s="399"/>
      <c r="N205" s="399"/>
      <c r="O205" s="399"/>
      <c r="P205" s="399"/>
      <c r="Q205" s="413"/>
      <c r="R205" s="398"/>
      <c r="S205" s="422"/>
      <c r="T205" s="423"/>
      <c r="U205" s="424"/>
      <c r="V205" s="423"/>
      <c r="W205" s="378"/>
      <c r="X205" s="378"/>
      <c r="Y205" s="399"/>
      <c r="Z205" s="404"/>
      <c r="AA205" s="399"/>
      <c r="AB205" s="399"/>
      <c r="AC205" s="399"/>
      <c r="AD205" s="399"/>
      <c r="AE205" s="399"/>
      <c r="AF205" s="399"/>
      <c r="AG205" s="399"/>
      <c r="AH205" s="404"/>
      <c r="AI205" s="399"/>
      <c r="AJ205" s="399"/>
      <c r="AK205" s="399"/>
      <c r="AL205" s="399"/>
      <c r="AM205" s="399"/>
      <c r="AN205" s="399"/>
      <c r="AO205" s="399"/>
      <c r="AP205" s="404"/>
      <c r="AQ205" s="399"/>
      <c r="AR205" s="399"/>
      <c r="AS205" s="399"/>
      <c r="AT205" s="399"/>
      <c r="AU205" s="399"/>
      <c r="AV205" s="399"/>
      <c r="AW205" s="253"/>
      <c r="AX205" s="400"/>
      <c r="AY205" s="253"/>
      <c r="AZ205" s="253"/>
      <c r="BA205" s="253"/>
      <c r="BB205" s="253"/>
      <c r="BC205" s="253"/>
      <c r="BD205" s="253"/>
      <c r="BE205" s="399"/>
      <c r="BF205" s="404"/>
      <c r="BG205" s="399"/>
      <c r="BH205" s="399"/>
      <c r="BI205" s="399"/>
      <c r="BJ205" s="399"/>
      <c r="BK205" s="399"/>
      <c r="BL205" s="399"/>
    </row>
    <row r="206" spans="1:64">
      <c r="BE206" s="399"/>
      <c r="BF206" s="404"/>
      <c r="BG206" s="399"/>
      <c r="BH206" s="399"/>
      <c r="BI206" s="399"/>
      <c r="BJ206" s="399"/>
      <c r="BK206" s="399"/>
      <c r="BL206" s="399"/>
    </row>
    <row r="207" spans="1:64">
      <c r="BE207" s="399"/>
      <c r="BF207" s="404"/>
      <c r="BG207" s="399"/>
      <c r="BH207" s="399"/>
      <c r="BI207" s="399"/>
      <c r="BJ207" s="399"/>
      <c r="BK207" s="399"/>
      <c r="BL207" s="399"/>
    </row>
    <row r="208" spans="1:64">
      <c r="BE208" s="399"/>
      <c r="BF208" s="404"/>
      <c r="BG208" s="399"/>
      <c r="BH208" s="399"/>
      <c r="BI208" s="399"/>
      <c r="BJ208" s="399"/>
      <c r="BK208" s="399"/>
      <c r="BL208" s="399"/>
    </row>
    <row r="209" spans="57:64">
      <c r="BE209" s="399"/>
      <c r="BF209" s="404"/>
      <c r="BG209" s="399"/>
      <c r="BH209" s="399"/>
      <c r="BI209" s="399"/>
      <c r="BJ209" s="399"/>
      <c r="BK209" s="399"/>
      <c r="BL209" s="399"/>
    </row>
  </sheetData>
  <mergeCells count="55">
    <mergeCell ref="A4:C4"/>
    <mergeCell ref="F4:H4"/>
    <mergeCell ref="AE2:AF2"/>
    <mergeCell ref="AG2:AI3"/>
    <mergeCell ref="AJ2:AJ3"/>
    <mergeCell ref="AO2:AQ3"/>
    <mergeCell ref="AR2:AR3"/>
    <mergeCell ref="AS2:AS3"/>
    <mergeCell ref="AT2:AT3"/>
    <mergeCell ref="AU2:AV2"/>
    <mergeCell ref="AL2:AL3"/>
    <mergeCell ref="AM2:AN2"/>
    <mergeCell ref="V2:V3"/>
    <mergeCell ref="W2:X2"/>
    <mergeCell ref="Y2:AA3"/>
    <mergeCell ref="AB2:AB3"/>
    <mergeCell ref="AC2:AC3"/>
    <mergeCell ref="AD2:AD3"/>
    <mergeCell ref="AO1:AS1"/>
    <mergeCell ref="AT1:AV1"/>
    <mergeCell ref="A2:C3"/>
    <mergeCell ref="D2:D3"/>
    <mergeCell ref="E2:E3"/>
    <mergeCell ref="F2:F3"/>
    <mergeCell ref="G2:H2"/>
    <mergeCell ref="I2:K3"/>
    <mergeCell ref="L2:L3"/>
    <mergeCell ref="M2:M3"/>
    <mergeCell ref="N2:N3"/>
    <mergeCell ref="O2:P2"/>
    <mergeCell ref="Q2:S3"/>
    <mergeCell ref="T2:T3"/>
    <mergeCell ref="U2:U3"/>
    <mergeCell ref="AK2:AK3"/>
    <mergeCell ref="N1:P1"/>
    <mergeCell ref="S1:X1"/>
    <mergeCell ref="Y1:AC1"/>
    <mergeCell ref="AD1:AF1"/>
    <mergeCell ref="AI1:AN1"/>
    <mergeCell ref="A58:B58"/>
    <mergeCell ref="BI2:BI3"/>
    <mergeCell ref="BJ2:BJ3"/>
    <mergeCell ref="BK2:BL2"/>
    <mergeCell ref="AY1:BD1"/>
    <mergeCell ref="BE1:BI1"/>
    <mergeCell ref="BJ1:BL1"/>
    <mergeCell ref="AW2:AY3"/>
    <mergeCell ref="AZ2:AZ3"/>
    <mergeCell ref="BA2:BA3"/>
    <mergeCell ref="BB2:BB3"/>
    <mergeCell ref="BC2:BD2"/>
    <mergeCell ref="BE2:BG3"/>
    <mergeCell ref="BH2:BH3"/>
    <mergeCell ref="A1:H1"/>
    <mergeCell ref="I1:M1"/>
  </mergeCells>
  <pageMargins left="0.62992125984252001" right="0.511811023622047" top="0.39370078740157499" bottom="0.511811023622047" header="0.25" footer="0"/>
  <pageSetup paperSize="448" firstPageNumber="56" orientation="portrait" useFirstPageNumber="1" r:id="rId1"/>
  <headerFooter alignWithMargins="0">
    <oddFooter>&amp;C&amp;"Times New Roman,Regular"&amp;8&amp;P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26"/>
  <dimension ref="A1:U57"/>
  <sheetViews>
    <sheetView zoomScale="130" zoomScaleNormal="130" workbookViewId="0">
      <pane xSplit="4" ySplit="3" topLeftCell="G37" activePane="bottomRight" state="frozen"/>
      <selection pane="topRight" activeCell="E1" sqref="E1"/>
      <selection pane="bottomLeft" activeCell="A5" sqref="A5"/>
      <selection pane="bottomRight" activeCell="D53" sqref="D53"/>
    </sheetView>
  </sheetViews>
  <sheetFormatPr defaultColWidth="9.140625" defaultRowHeight="12.75"/>
  <cols>
    <col min="1" max="1" width="2.28515625" style="621" customWidth="1"/>
    <col min="2" max="2" width="3" style="10" customWidth="1"/>
    <col min="3" max="3" width="2.85546875" style="58" customWidth="1"/>
    <col min="4" max="4" width="33.42578125" style="10" customWidth="1"/>
    <col min="5" max="5" width="7.140625" style="10" customWidth="1"/>
    <col min="6" max="6" width="7" style="10" customWidth="1"/>
    <col min="7" max="7" width="6.5703125" style="10" customWidth="1"/>
    <col min="8" max="9" width="7" style="10" customWidth="1"/>
    <col min="10" max="11" width="6.140625" style="10" customWidth="1"/>
    <col min="12" max="12" width="6.42578125" style="10" customWidth="1"/>
    <col min="13" max="13" width="6.28515625" style="10" customWidth="1"/>
    <col min="14" max="14" width="6.85546875" style="10" customWidth="1"/>
    <col min="15" max="15" width="7.28515625" style="10" customWidth="1"/>
    <col min="16" max="16" width="6.42578125" style="10" customWidth="1"/>
    <col min="17" max="17" width="6" style="10" customWidth="1"/>
    <col min="18" max="18" width="6.85546875" style="10" customWidth="1"/>
    <col min="19" max="20" width="6.7109375" style="10" customWidth="1"/>
    <col min="21" max="21" width="7.28515625" style="10" customWidth="1"/>
    <col min="22" max="16384" width="9.140625" style="10"/>
  </cols>
  <sheetData>
    <row r="1" spans="1:21" s="525" customFormat="1" ht="14.25" customHeight="1">
      <c r="A1" s="2128" t="s">
        <v>2187</v>
      </c>
      <c r="B1" s="2128"/>
      <c r="C1" s="2128"/>
      <c r="D1" s="2128"/>
      <c r="E1" s="2128"/>
      <c r="F1" s="2128"/>
      <c r="G1" s="2128"/>
      <c r="H1" s="2128"/>
      <c r="I1" s="2128"/>
      <c r="J1" s="2129" t="s">
        <v>2188</v>
      </c>
      <c r="K1" s="2129"/>
      <c r="L1" s="2129"/>
      <c r="M1" s="2129"/>
      <c r="N1" s="2129"/>
      <c r="O1" s="2129"/>
      <c r="P1" s="2129"/>
      <c r="Q1" s="2129"/>
      <c r="R1" s="2129"/>
      <c r="S1" s="2127" t="s">
        <v>1814</v>
      </c>
      <c r="T1" s="2127"/>
      <c r="U1" s="2127"/>
    </row>
    <row r="2" spans="1:21" s="110" customFormat="1" ht="48" customHeight="1">
      <c r="A2" s="2130" t="s">
        <v>33</v>
      </c>
      <c r="B2" s="2131"/>
      <c r="C2" s="2131"/>
      <c r="D2" s="2132"/>
      <c r="E2" s="167" t="s">
        <v>1408</v>
      </c>
      <c r="F2" s="42" t="s">
        <v>1409</v>
      </c>
      <c r="G2" s="42" t="s">
        <v>1410</v>
      </c>
      <c r="H2" s="42" t="s">
        <v>1411</v>
      </c>
      <c r="I2" s="42" t="s">
        <v>1412</v>
      </c>
      <c r="J2" s="42" t="s">
        <v>1413</v>
      </c>
      <c r="K2" s="42" t="s">
        <v>1414</v>
      </c>
      <c r="L2" s="42" t="s">
        <v>1415</v>
      </c>
      <c r="M2" s="42" t="s">
        <v>1416</v>
      </c>
      <c r="N2" s="42" t="s">
        <v>1417</v>
      </c>
      <c r="O2" s="42" t="s">
        <v>1401</v>
      </c>
      <c r="P2" s="42" t="s">
        <v>1418</v>
      </c>
      <c r="Q2" s="42" t="s">
        <v>1419</v>
      </c>
      <c r="R2" s="42" t="s">
        <v>1420</v>
      </c>
      <c r="S2" s="168" t="s">
        <v>1421</v>
      </c>
      <c r="T2" s="210" t="s">
        <v>1903</v>
      </c>
      <c r="U2" s="210" t="s">
        <v>1904</v>
      </c>
    </row>
    <row r="3" spans="1:21" s="110" customFormat="1" ht="10.5" customHeight="1">
      <c r="A3" s="2133"/>
      <c r="B3" s="2134"/>
      <c r="C3" s="2134"/>
      <c r="D3" s="2135"/>
      <c r="E3" s="42">
        <v>1</v>
      </c>
      <c r="F3" s="42">
        <v>2</v>
      </c>
      <c r="G3" s="42">
        <v>3</v>
      </c>
      <c r="H3" s="42">
        <v>4</v>
      </c>
      <c r="I3" s="42">
        <v>5</v>
      </c>
      <c r="J3" s="42">
        <v>6</v>
      </c>
      <c r="K3" s="42">
        <v>7</v>
      </c>
      <c r="L3" s="42">
        <v>8</v>
      </c>
      <c r="M3" s="42">
        <v>9</v>
      </c>
      <c r="N3" s="42">
        <v>10</v>
      </c>
      <c r="O3" s="42">
        <v>11</v>
      </c>
      <c r="P3" s="42">
        <v>12</v>
      </c>
      <c r="Q3" s="42">
        <v>13</v>
      </c>
      <c r="R3" s="42">
        <v>14</v>
      </c>
      <c r="S3" s="42">
        <v>15</v>
      </c>
      <c r="T3" s="42">
        <v>16</v>
      </c>
      <c r="U3" s="42">
        <v>17</v>
      </c>
    </row>
    <row r="4" spans="1:21" s="69" customFormat="1" ht="13.5" customHeight="1">
      <c r="A4" s="614" t="s">
        <v>99</v>
      </c>
      <c r="B4" s="2140" t="s">
        <v>100</v>
      </c>
      <c r="C4" s="2140"/>
      <c r="D4" s="2140"/>
      <c r="E4" s="711">
        <v>7</v>
      </c>
      <c r="F4" s="711">
        <v>7.5</v>
      </c>
      <c r="G4" s="711">
        <v>8</v>
      </c>
      <c r="H4" s="711">
        <v>7</v>
      </c>
      <c r="I4" s="711">
        <v>6</v>
      </c>
      <c r="J4" s="711">
        <v>6</v>
      </c>
      <c r="K4" s="711">
        <v>6</v>
      </c>
      <c r="L4" s="711">
        <v>5</v>
      </c>
      <c r="M4" s="711">
        <v>5</v>
      </c>
      <c r="N4" s="711">
        <v>5</v>
      </c>
      <c r="O4" s="711">
        <v>5</v>
      </c>
      <c r="P4" s="711">
        <v>5</v>
      </c>
      <c r="Q4" s="711">
        <v>5</v>
      </c>
      <c r="R4" s="711">
        <v>5</v>
      </c>
      <c r="S4" s="711">
        <v>5</v>
      </c>
      <c r="T4" s="711">
        <v>5</v>
      </c>
      <c r="U4" s="711">
        <v>5</v>
      </c>
    </row>
    <row r="5" spans="1:21" s="580" customFormat="1" ht="13.5" customHeight="1">
      <c r="A5" s="615" t="s">
        <v>765</v>
      </c>
      <c r="B5" s="2145" t="s">
        <v>1402</v>
      </c>
      <c r="C5" s="2145"/>
      <c r="D5" s="2145"/>
      <c r="E5" s="712"/>
      <c r="F5" s="712"/>
      <c r="G5" s="712"/>
      <c r="H5" s="712"/>
      <c r="I5" s="712"/>
      <c r="J5" s="712"/>
      <c r="K5" s="712"/>
      <c r="L5" s="712"/>
      <c r="M5" s="712"/>
      <c r="N5" s="712"/>
      <c r="O5" s="712"/>
      <c r="P5" s="712"/>
      <c r="Q5" s="712"/>
      <c r="R5" s="712"/>
      <c r="S5" s="712"/>
      <c r="T5" s="712"/>
      <c r="U5" s="712"/>
    </row>
    <row r="6" spans="1:21" s="580" customFormat="1" ht="12">
      <c r="A6" s="2140" t="s">
        <v>1509</v>
      </c>
      <c r="B6" s="2140"/>
      <c r="C6" s="2140"/>
      <c r="D6" s="2140"/>
      <c r="E6" s="711"/>
      <c r="F6" s="711"/>
      <c r="G6" s="711"/>
      <c r="H6" s="711"/>
      <c r="I6" s="711"/>
      <c r="J6" s="711"/>
      <c r="K6" s="711"/>
      <c r="L6" s="711"/>
      <c r="M6" s="711"/>
      <c r="N6" s="711"/>
      <c r="O6" s="711"/>
      <c r="P6" s="711"/>
      <c r="Q6" s="711"/>
      <c r="R6" s="711"/>
      <c r="S6" s="711"/>
      <c r="T6" s="711"/>
      <c r="U6" s="711"/>
    </row>
    <row r="7" spans="1:21" s="580" customFormat="1" ht="12" customHeight="1">
      <c r="A7" s="617"/>
      <c r="B7" s="2136" t="s">
        <v>1384</v>
      </c>
      <c r="C7" s="2136"/>
      <c r="D7" s="2136"/>
      <c r="E7" s="383">
        <v>8.5</v>
      </c>
      <c r="F7" s="383">
        <v>8.5</v>
      </c>
      <c r="G7" s="383">
        <v>8.5</v>
      </c>
      <c r="H7" s="383">
        <v>8.5</v>
      </c>
      <c r="I7" s="383">
        <v>8.5</v>
      </c>
      <c r="J7" s="383">
        <v>8.5</v>
      </c>
      <c r="K7" s="383">
        <v>8.5</v>
      </c>
      <c r="L7" s="383">
        <v>8.5</v>
      </c>
      <c r="M7" s="383">
        <v>7.5</v>
      </c>
      <c r="N7" s="383">
        <v>7.5</v>
      </c>
      <c r="O7" s="383">
        <v>7.5</v>
      </c>
      <c r="P7" s="383">
        <v>7.5</v>
      </c>
      <c r="Q7" s="383">
        <v>7.5</v>
      </c>
      <c r="R7" s="383">
        <v>7.5</v>
      </c>
      <c r="S7" s="383">
        <v>7.5</v>
      </c>
      <c r="T7" s="383">
        <v>7.5</v>
      </c>
      <c r="U7" s="383">
        <v>7.5</v>
      </c>
    </row>
    <row r="8" spans="1:21" s="581" customFormat="1" ht="13.5" customHeight="1">
      <c r="A8" s="625"/>
      <c r="B8" s="2119" t="s">
        <v>1394</v>
      </c>
      <c r="C8" s="2119"/>
      <c r="D8" s="2119"/>
      <c r="E8" s="713"/>
      <c r="F8" s="713"/>
      <c r="G8" s="713"/>
      <c r="H8" s="713"/>
      <c r="I8" s="713"/>
      <c r="J8" s="713"/>
      <c r="K8" s="713"/>
      <c r="L8" s="713"/>
      <c r="M8" s="713"/>
      <c r="N8" s="713"/>
      <c r="O8" s="713"/>
      <c r="P8" s="713"/>
      <c r="Q8" s="713"/>
      <c r="R8" s="713"/>
      <c r="S8" s="713"/>
      <c r="T8" s="713"/>
      <c r="U8" s="713"/>
    </row>
    <row r="9" spans="1:21" s="580" customFormat="1" ht="12.75" customHeight="1">
      <c r="A9" s="617"/>
      <c r="B9" s="583"/>
      <c r="C9" s="2118" t="s">
        <v>1393</v>
      </c>
      <c r="D9" s="2118"/>
      <c r="E9" s="383">
        <v>10.5</v>
      </c>
      <c r="F9" s="383">
        <v>10.5</v>
      </c>
      <c r="G9" s="383">
        <v>10.5</v>
      </c>
      <c r="H9" s="383">
        <v>10.5</v>
      </c>
      <c r="I9" s="383">
        <v>10.5</v>
      </c>
      <c r="J9" s="383">
        <v>10.5</v>
      </c>
      <c r="K9" s="383">
        <v>10.5</v>
      </c>
      <c r="L9" s="383">
        <v>10.5</v>
      </c>
      <c r="M9" s="383">
        <v>9.5</v>
      </c>
      <c r="N9" s="383">
        <v>9.5</v>
      </c>
      <c r="O9" s="383">
        <v>9.5</v>
      </c>
      <c r="P9" s="383">
        <v>9.5</v>
      </c>
      <c r="Q9" s="383">
        <v>9.5</v>
      </c>
      <c r="R9" s="383">
        <v>9.5</v>
      </c>
      <c r="S9" s="383">
        <v>10.4</v>
      </c>
      <c r="T9" s="383">
        <v>10.4</v>
      </c>
      <c r="U9" s="383">
        <v>10.4</v>
      </c>
    </row>
    <row r="10" spans="1:21" s="580" customFormat="1" ht="12.75" customHeight="1">
      <c r="A10" s="616"/>
      <c r="B10" s="588"/>
      <c r="C10" s="2141" t="s">
        <v>1392</v>
      </c>
      <c r="D10" s="2141"/>
      <c r="E10" s="473">
        <v>11.5</v>
      </c>
      <c r="F10" s="473">
        <v>11.5</v>
      </c>
      <c r="G10" s="473">
        <v>11.5</v>
      </c>
      <c r="H10" s="473">
        <v>11.5</v>
      </c>
      <c r="I10" s="473">
        <v>11.5</v>
      </c>
      <c r="J10" s="473">
        <v>11.5</v>
      </c>
      <c r="K10" s="473">
        <v>11.5</v>
      </c>
      <c r="L10" s="473">
        <v>11.5</v>
      </c>
      <c r="M10" s="473">
        <v>10.5</v>
      </c>
      <c r="N10" s="473">
        <v>10.5</v>
      </c>
      <c r="O10" s="473">
        <v>10.5</v>
      </c>
      <c r="P10" s="473">
        <v>10.5</v>
      </c>
      <c r="Q10" s="473">
        <v>10.5</v>
      </c>
      <c r="R10" s="473">
        <v>10.5</v>
      </c>
      <c r="S10" s="473">
        <v>11.4</v>
      </c>
      <c r="T10" s="473">
        <v>11.4</v>
      </c>
      <c r="U10" s="473">
        <v>11.4</v>
      </c>
    </row>
    <row r="11" spans="1:21" s="580" customFormat="1" ht="12.75" customHeight="1">
      <c r="A11" s="617"/>
      <c r="B11" s="583"/>
      <c r="C11" s="2118" t="s">
        <v>1391</v>
      </c>
      <c r="D11" s="2118"/>
      <c r="E11" s="383">
        <v>12.5</v>
      </c>
      <c r="F11" s="383">
        <v>12.5</v>
      </c>
      <c r="G11" s="383">
        <v>12.5</v>
      </c>
      <c r="H11" s="383">
        <v>12.5</v>
      </c>
      <c r="I11" s="383">
        <v>12.5</v>
      </c>
      <c r="J11" s="383">
        <v>12.5</v>
      </c>
      <c r="K11" s="383">
        <v>12.5</v>
      </c>
      <c r="L11" s="383">
        <v>12.5</v>
      </c>
      <c r="M11" s="383">
        <v>11.5</v>
      </c>
      <c r="N11" s="383">
        <v>11.5</v>
      </c>
      <c r="O11" s="383">
        <v>11.5</v>
      </c>
      <c r="P11" s="383">
        <v>11.5</v>
      </c>
      <c r="Q11" s="383">
        <v>11.5</v>
      </c>
      <c r="R11" s="383">
        <v>11.5</v>
      </c>
      <c r="S11" s="383" t="s">
        <v>1616</v>
      </c>
      <c r="T11" s="383" t="s">
        <v>1616</v>
      </c>
      <c r="U11" s="383" t="s">
        <v>1905</v>
      </c>
    </row>
    <row r="12" spans="1:21" s="581" customFormat="1" ht="12.75" customHeight="1">
      <c r="A12" s="625"/>
      <c r="B12" s="2119" t="s">
        <v>1387</v>
      </c>
      <c r="C12" s="2119"/>
      <c r="D12" s="2119"/>
      <c r="E12" s="713"/>
      <c r="F12" s="713"/>
      <c r="G12" s="713"/>
      <c r="H12" s="713"/>
      <c r="I12" s="713"/>
      <c r="J12" s="713"/>
      <c r="K12" s="713"/>
      <c r="L12" s="713"/>
      <c r="M12" s="713"/>
      <c r="N12" s="713"/>
      <c r="O12" s="713"/>
      <c r="P12" s="713"/>
      <c r="Q12" s="713"/>
      <c r="R12" s="713"/>
      <c r="S12" s="713"/>
      <c r="T12" s="713"/>
      <c r="U12" s="713"/>
    </row>
    <row r="13" spans="1:21" s="580" customFormat="1" ht="12.75" customHeight="1">
      <c r="A13" s="617"/>
      <c r="B13" s="583"/>
      <c r="C13" s="2136" t="s">
        <v>1393</v>
      </c>
      <c r="D13" s="2136"/>
      <c r="E13" s="383">
        <v>9.5</v>
      </c>
      <c r="F13" s="383">
        <v>9.5</v>
      </c>
      <c r="G13" s="383">
        <v>9.5</v>
      </c>
      <c r="H13" s="383">
        <v>9.5</v>
      </c>
      <c r="I13" s="383">
        <v>9.5</v>
      </c>
      <c r="J13" s="383">
        <v>9.5</v>
      </c>
      <c r="K13" s="383">
        <v>9.5</v>
      </c>
      <c r="L13" s="383">
        <v>9.5</v>
      </c>
      <c r="M13" s="383">
        <v>8.5</v>
      </c>
      <c r="N13" s="383">
        <v>8.5</v>
      </c>
      <c r="O13" s="383">
        <v>8.5</v>
      </c>
      <c r="P13" s="383">
        <v>8.5</v>
      </c>
      <c r="Q13" s="383">
        <v>8.5</v>
      </c>
      <c r="R13" s="383">
        <v>8.5</v>
      </c>
      <c r="S13" s="383">
        <v>10</v>
      </c>
      <c r="T13" s="383">
        <v>10</v>
      </c>
      <c r="U13" s="383">
        <v>10</v>
      </c>
    </row>
    <row r="14" spans="1:21" s="580" customFormat="1" ht="12.75" customHeight="1">
      <c r="A14" s="616"/>
      <c r="B14" s="588"/>
      <c r="C14" s="2146" t="s">
        <v>1392</v>
      </c>
      <c r="D14" s="2146"/>
      <c r="E14" s="473">
        <v>10</v>
      </c>
      <c r="F14" s="473">
        <v>10</v>
      </c>
      <c r="G14" s="473">
        <v>10</v>
      </c>
      <c r="H14" s="473">
        <v>10</v>
      </c>
      <c r="I14" s="473">
        <v>10</v>
      </c>
      <c r="J14" s="473">
        <v>10</v>
      </c>
      <c r="K14" s="473">
        <v>10</v>
      </c>
      <c r="L14" s="473">
        <v>10</v>
      </c>
      <c r="M14" s="473">
        <v>9</v>
      </c>
      <c r="N14" s="473">
        <v>9</v>
      </c>
      <c r="O14" s="473">
        <v>9</v>
      </c>
      <c r="P14" s="473">
        <v>9</v>
      </c>
      <c r="Q14" s="473">
        <v>9</v>
      </c>
      <c r="R14" s="473">
        <v>9</v>
      </c>
      <c r="S14" s="473">
        <v>10.5</v>
      </c>
      <c r="T14" s="473">
        <v>10.5</v>
      </c>
      <c r="U14" s="473">
        <v>10.5</v>
      </c>
    </row>
    <row r="15" spans="1:21" s="580" customFormat="1" ht="12.75" customHeight="1">
      <c r="A15" s="617"/>
      <c r="B15" s="583"/>
      <c r="C15" s="2136" t="s">
        <v>1391</v>
      </c>
      <c r="D15" s="2136"/>
      <c r="E15" s="383">
        <v>10.5</v>
      </c>
      <c r="F15" s="383">
        <v>10.5</v>
      </c>
      <c r="G15" s="383">
        <v>10.5</v>
      </c>
      <c r="H15" s="383">
        <v>10.5</v>
      </c>
      <c r="I15" s="383">
        <v>10.5</v>
      </c>
      <c r="J15" s="383">
        <v>10.5</v>
      </c>
      <c r="K15" s="383">
        <v>10.5</v>
      </c>
      <c r="L15" s="383">
        <v>10.5</v>
      </c>
      <c r="M15" s="383">
        <v>9.5</v>
      </c>
      <c r="N15" s="383">
        <v>9.5</v>
      </c>
      <c r="O15" s="383">
        <v>9.5</v>
      </c>
      <c r="P15" s="383">
        <v>9.5</v>
      </c>
      <c r="Q15" s="383">
        <v>9.5</v>
      </c>
      <c r="R15" s="383">
        <v>9.5</v>
      </c>
      <c r="S15" s="383">
        <v>11</v>
      </c>
      <c r="T15" s="383">
        <v>11</v>
      </c>
      <c r="U15" s="383">
        <v>11</v>
      </c>
    </row>
    <row r="16" spans="1:21" s="580" customFormat="1" ht="13.5" customHeight="1">
      <c r="A16" s="2120" t="s">
        <v>1510</v>
      </c>
      <c r="B16" s="2120"/>
      <c r="C16" s="2120"/>
      <c r="D16" s="2120"/>
      <c r="E16" s="428"/>
      <c r="F16" s="428"/>
      <c r="G16" s="428"/>
      <c r="H16" s="428"/>
      <c r="I16" s="428"/>
      <c r="J16" s="428"/>
      <c r="K16" s="428"/>
      <c r="L16" s="428"/>
      <c r="M16" s="428"/>
      <c r="N16" s="428"/>
      <c r="O16" s="434"/>
      <c r="P16" s="434"/>
      <c r="Q16" s="434"/>
      <c r="R16" s="434"/>
      <c r="S16" s="434"/>
      <c r="T16" s="434"/>
      <c r="U16" s="434"/>
    </row>
    <row r="17" spans="1:21" s="580" customFormat="1" ht="12" customHeight="1">
      <c r="A17" s="619"/>
      <c r="B17" s="2144" t="s">
        <v>1403</v>
      </c>
      <c r="C17" s="2144"/>
      <c r="D17" s="2144"/>
      <c r="E17" s="714" t="s">
        <v>865</v>
      </c>
      <c r="F17" s="714" t="s">
        <v>865</v>
      </c>
      <c r="G17" s="714" t="s">
        <v>865</v>
      </c>
      <c r="H17" s="344">
        <v>13.5</v>
      </c>
      <c r="I17" s="344">
        <v>13.5</v>
      </c>
      <c r="J17" s="344">
        <v>12</v>
      </c>
      <c r="K17" s="344">
        <v>12</v>
      </c>
      <c r="L17" s="344">
        <v>12</v>
      </c>
      <c r="M17" s="344">
        <v>12</v>
      </c>
      <c r="N17" s="344">
        <v>11.5</v>
      </c>
      <c r="O17" s="344">
        <v>11.5</v>
      </c>
      <c r="P17" s="389">
        <v>10</v>
      </c>
      <c r="Q17" s="389">
        <v>10</v>
      </c>
      <c r="R17" s="389">
        <v>10</v>
      </c>
      <c r="S17" s="389" t="s">
        <v>1774</v>
      </c>
      <c r="T17" s="389" t="s">
        <v>1774</v>
      </c>
      <c r="U17" s="389" t="s">
        <v>1906</v>
      </c>
    </row>
    <row r="18" spans="1:21" s="580" customFormat="1" ht="12" customHeight="1">
      <c r="A18" s="618"/>
      <c r="B18" s="2142" t="s">
        <v>1404</v>
      </c>
      <c r="C18" s="2142"/>
      <c r="D18" s="2142"/>
      <c r="E18" s="428">
        <v>14.5</v>
      </c>
      <c r="F18" s="428">
        <v>14.5</v>
      </c>
      <c r="G18" s="428">
        <v>14.5</v>
      </c>
      <c r="H18" s="428">
        <v>14.5</v>
      </c>
      <c r="I18" s="428">
        <v>14.5</v>
      </c>
      <c r="J18" s="428">
        <v>12.5</v>
      </c>
      <c r="K18" s="428">
        <v>12.5</v>
      </c>
      <c r="L18" s="428">
        <v>12.5</v>
      </c>
      <c r="M18" s="428">
        <v>12.5</v>
      </c>
      <c r="N18" s="428">
        <v>12</v>
      </c>
      <c r="O18" s="428">
        <v>12</v>
      </c>
      <c r="P18" s="434">
        <v>10.5</v>
      </c>
      <c r="Q18" s="434">
        <v>10.5</v>
      </c>
      <c r="R18" s="434">
        <v>10.5</v>
      </c>
      <c r="S18" s="428" t="s">
        <v>1775</v>
      </c>
      <c r="T18" s="428" t="s">
        <v>1775</v>
      </c>
      <c r="U18" s="428" t="s">
        <v>1907</v>
      </c>
    </row>
    <row r="19" spans="1:21" s="580" customFormat="1" ht="12" customHeight="1">
      <c r="A19" s="619"/>
      <c r="B19" s="2117" t="s">
        <v>1405</v>
      </c>
      <c r="C19" s="2117"/>
      <c r="D19" s="2117"/>
      <c r="E19" s="714" t="s">
        <v>865</v>
      </c>
      <c r="F19" s="714" t="s">
        <v>865</v>
      </c>
      <c r="G19" s="714" t="s">
        <v>865</v>
      </c>
      <c r="H19" s="714" t="s">
        <v>865</v>
      </c>
      <c r="I19" s="714" t="s">
        <v>865</v>
      </c>
      <c r="J19" s="714" t="s">
        <v>865</v>
      </c>
      <c r="K19" s="714" t="s">
        <v>865</v>
      </c>
      <c r="L19" s="714" t="s">
        <v>865</v>
      </c>
      <c r="M19" s="714" t="s">
        <v>865</v>
      </c>
      <c r="N19" s="555">
        <v>12.5</v>
      </c>
      <c r="O19" s="344">
        <v>12.5</v>
      </c>
      <c r="P19" s="344">
        <v>12.5</v>
      </c>
      <c r="Q19" s="389">
        <v>11</v>
      </c>
      <c r="R19" s="389">
        <v>11</v>
      </c>
      <c r="S19" s="389" t="s">
        <v>1775</v>
      </c>
      <c r="T19" s="389" t="s">
        <v>1775</v>
      </c>
      <c r="U19" s="389" t="s">
        <v>1908</v>
      </c>
    </row>
    <row r="20" spans="1:21" s="580" customFormat="1" ht="12.75" customHeight="1">
      <c r="A20" s="618"/>
      <c r="B20" s="2122" t="s">
        <v>1406</v>
      </c>
      <c r="C20" s="2122"/>
      <c r="D20" s="2122"/>
      <c r="E20" s="715" t="s">
        <v>865</v>
      </c>
      <c r="F20" s="715" t="s">
        <v>865</v>
      </c>
      <c r="G20" s="715" t="s">
        <v>865</v>
      </c>
      <c r="H20" s="715" t="s">
        <v>865</v>
      </c>
      <c r="I20" s="715" t="s">
        <v>865</v>
      </c>
      <c r="J20" s="715" t="s">
        <v>865</v>
      </c>
      <c r="K20" s="715" t="s">
        <v>865</v>
      </c>
      <c r="L20" s="715" t="s">
        <v>865</v>
      </c>
      <c r="M20" s="715" t="s">
        <v>865</v>
      </c>
      <c r="N20" s="715" t="s">
        <v>865</v>
      </c>
      <c r="O20" s="715" t="s">
        <v>865</v>
      </c>
      <c r="P20" s="715" t="s">
        <v>865</v>
      </c>
      <c r="Q20" s="434">
        <v>11.04</v>
      </c>
      <c r="R20" s="434">
        <v>11.04</v>
      </c>
      <c r="S20" s="433" t="s">
        <v>1776</v>
      </c>
      <c r="T20" s="433" t="s">
        <v>1776</v>
      </c>
      <c r="U20" s="433" t="s">
        <v>1909</v>
      </c>
    </row>
    <row r="21" spans="1:21" s="580" customFormat="1" ht="12.75" customHeight="1">
      <c r="A21" s="2121" t="s">
        <v>2314</v>
      </c>
      <c r="B21" s="2121"/>
      <c r="C21" s="2121"/>
      <c r="D21" s="2121"/>
      <c r="E21" s="261"/>
      <c r="F21" s="578"/>
      <c r="G21" s="259"/>
      <c r="H21" s="259"/>
      <c r="I21" s="259"/>
      <c r="J21" s="259"/>
      <c r="K21" s="622"/>
      <c r="L21" s="622"/>
      <c r="M21" s="622"/>
      <c r="N21" s="622"/>
      <c r="O21" s="622"/>
      <c r="P21" s="622"/>
      <c r="Q21" s="622"/>
      <c r="R21" s="622"/>
      <c r="S21" s="622"/>
      <c r="T21" s="622"/>
      <c r="U21" s="622"/>
    </row>
    <row r="22" spans="1:21" s="580" customFormat="1" ht="12.75" customHeight="1">
      <c r="A22" s="618"/>
      <c r="B22" s="590"/>
      <c r="C22" s="2123" t="s">
        <v>1378</v>
      </c>
      <c r="D22" s="2123"/>
      <c r="E22" s="613" t="s">
        <v>1377</v>
      </c>
      <c r="F22" s="613" t="s">
        <v>1377</v>
      </c>
      <c r="G22" s="613" t="s">
        <v>1377</v>
      </c>
      <c r="H22" s="613" t="s">
        <v>1377</v>
      </c>
      <c r="I22" s="613" t="s">
        <v>1377</v>
      </c>
      <c r="J22" s="613" t="s">
        <v>1377</v>
      </c>
      <c r="K22" s="613" t="s">
        <v>1377</v>
      </c>
      <c r="L22" s="613" t="s">
        <v>1377</v>
      </c>
      <c r="M22" s="613" t="s">
        <v>1377</v>
      </c>
      <c r="N22" s="613" t="s">
        <v>1377</v>
      </c>
      <c r="O22" s="613" t="s">
        <v>1377</v>
      </c>
      <c r="P22" s="613" t="s">
        <v>1377</v>
      </c>
      <c r="Q22" s="613" t="s">
        <v>1377</v>
      </c>
      <c r="R22" s="613" t="s">
        <v>1377</v>
      </c>
      <c r="S22" s="613" t="s">
        <v>1377</v>
      </c>
      <c r="T22" s="613" t="s">
        <v>1377</v>
      </c>
      <c r="U22" s="613" t="s">
        <v>1377</v>
      </c>
    </row>
    <row r="23" spans="1:21" s="580" customFormat="1" ht="12.75" customHeight="1">
      <c r="A23" s="619"/>
      <c r="B23" s="259"/>
      <c r="C23" s="2124" t="s">
        <v>1379</v>
      </c>
      <c r="D23" s="2124"/>
      <c r="E23" s="716">
        <v>9</v>
      </c>
      <c r="F23" s="637">
        <v>9</v>
      </c>
      <c r="G23" s="637">
        <v>9</v>
      </c>
      <c r="H23" s="637">
        <v>9</v>
      </c>
      <c r="I23" s="637">
        <v>9</v>
      </c>
      <c r="J23" s="637">
        <v>9</v>
      </c>
      <c r="K23" s="637">
        <v>9</v>
      </c>
      <c r="L23" s="637">
        <v>9</v>
      </c>
      <c r="M23" s="637">
        <v>9</v>
      </c>
      <c r="N23" s="637">
        <v>9</v>
      </c>
      <c r="O23" s="637">
        <v>9</v>
      </c>
      <c r="P23" s="637">
        <v>9</v>
      </c>
      <c r="Q23" s="637">
        <v>7.5</v>
      </c>
      <c r="R23" s="637">
        <v>8.5</v>
      </c>
      <c r="S23" s="637">
        <v>8.5</v>
      </c>
      <c r="T23" s="637">
        <v>8.6999999999999993</v>
      </c>
      <c r="U23" s="637">
        <v>8.6999999999999993</v>
      </c>
    </row>
    <row r="24" spans="1:21" s="580" customFormat="1" ht="12.75" customHeight="1">
      <c r="A24" s="618"/>
      <c r="B24" s="590"/>
      <c r="C24" s="2123" t="s">
        <v>1380</v>
      </c>
      <c r="D24" s="2123"/>
      <c r="E24" s="717">
        <v>10</v>
      </c>
      <c r="F24" s="443">
        <v>10</v>
      </c>
      <c r="G24" s="443">
        <v>10</v>
      </c>
      <c r="H24" s="443">
        <v>10</v>
      </c>
      <c r="I24" s="443">
        <v>10</v>
      </c>
      <c r="J24" s="443">
        <v>10</v>
      </c>
      <c r="K24" s="443">
        <v>10</v>
      </c>
      <c r="L24" s="443">
        <v>10</v>
      </c>
      <c r="M24" s="443">
        <v>10</v>
      </c>
      <c r="N24" s="443">
        <v>10</v>
      </c>
      <c r="O24" s="443">
        <v>10</v>
      </c>
      <c r="P24" s="443">
        <v>10</v>
      </c>
      <c r="Q24" s="443">
        <v>8.25</v>
      </c>
      <c r="R24" s="443">
        <v>9.25</v>
      </c>
      <c r="S24" s="443">
        <v>9.25</v>
      </c>
      <c r="T24" s="443">
        <v>9.4499999999999993</v>
      </c>
      <c r="U24" s="443">
        <v>9.4499999999999993</v>
      </c>
    </row>
    <row r="25" spans="1:21" s="580" customFormat="1" ht="12.75" customHeight="1">
      <c r="A25" s="619"/>
      <c r="B25" s="259"/>
      <c r="C25" s="2124" t="s">
        <v>1381</v>
      </c>
      <c r="D25" s="2124"/>
      <c r="E25" s="718">
        <v>11</v>
      </c>
      <c r="F25" s="637">
        <v>11</v>
      </c>
      <c r="G25" s="637">
        <v>11</v>
      </c>
      <c r="H25" s="637">
        <v>11</v>
      </c>
      <c r="I25" s="637">
        <v>11</v>
      </c>
      <c r="J25" s="637">
        <v>11</v>
      </c>
      <c r="K25" s="637">
        <v>11</v>
      </c>
      <c r="L25" s="637">
        <v>11</v>
      </c>
      <c r="M25" s="637">
        <v>11</v>
      </c>
      <c r="N25" s="637">
        <v>11</v>
      </c>
      <c r="O25" s="637">
        <v>11</v>
      </c>
      <c r="P25" s="637">
        <v>11</v>
      </c>
      <c r="Q25" s="637">
        <v>9</v>
      </c>
      <c r="R25" s="637">
        <v>10</v>
      </c>
      <c r="S25" s="637">
        <v>10</v>
      </c>
      <c r="T25" s="637">
        <v>10.199999999999999</v>
      </c>
      <c r="U25" s="637">
        <v>10.199999999999999</v>
      </c>
    </row>
    <row r="26" spans="1:21" s="580" customFormat="1" ht="12.75" customHeight="1">
      <c r="A26" s="618"/>
      <c r="B26" s="590"/>
      <c r="C26" s="2125" t="s">
        <v>1382</v>
      </c>
      <c r="D26" s="2125"/>
      <c r="E26" s="719">
        <v>12</v>
      </c>
      <c r="F26" s="440">
        <v>12</v>
      </c>
      <c r="G26" s="440">
        <v>12</v>
      </c>
      <c r="H26" s="440">
        <v>12</v>
      </c>
      <c r="I26" s="440">
        <v>12</v>
      </c>
      <c r="J26" s="440">
        <v>12</v>
      </c>
      <c r="K26" s="440">
        <v>12</v>
      </c>
      <c r="L26" s="440">
        <v>12</v>
      </c>
      <c r="M26" s="440">
        <v>12</v>
      </c>
      <c r="N26" s="440">
        <v>12</v>
      </c>
      <c r="O26" s="440">
        <v>12</v>
      </c>
      <c r="P26" s="440">
        <v>12</v>
      </c>
      <c r="Q26" s="440">
        <v>10.5</v>
      </c>
      <c r="R26" s="440">
        <v>11</v>
      </c>
      <c r="S26" s="440">
        <v>11</v>
      </c>
      <c r="T26" s="440">
        <v>11.2</v>
      </c>
      <c r="U26" s="440">
        <v>11.2</v>
      </c>
    </row>
    <row r="27" spans="1:21" s="586" customFormat="1" ht="12.75" customHeight="1">
      <c r="A27" s="619"/>
      <c r="B27" s="261"/>
      <c r="C27" s="2126" t="s">
        <v>1383</v>
      </c>
      <c r="D27" s="2126"/>
      <c r="E27" s="376">
        <v>12</v>
      </c>
      <c r="F27" s="40">
        <v>12</v>
      </c>
      <c r="G27" s="40">
        <v>12</v>
      </c>
      <c r="H27" s="40">
        <v>12</v>
      </c>
      <c r="I27" s="40">
        <v>12</v>
      </c>
      <c r="J27" s="40">
        <v>12</v>
      </c>
      <c r="K27" s="40">
        <v>12</v>
      </c>
      <c r="L27" s="40">
        <v>12</v>
      </c>
      <c r="M27" s="40">
        <v>12</v>
      </c>
      <c r="N27" s="40">
        <v>12</v>
      </c>
      <c r="O27" s="40">
        <v>12</v>
      </c>
      <c r="P27" s="40">
        <v>12</v>
      </c>
      <c r="Q27" s="40">
        <v>10.5</v>
      </c>
      <c r="R27" s="40" t="s">
        <v>1777</v>
      </c>
      <c r="S27" s="40" t="s">
        <v>1777</v>
      </c>
      <c r="T27" s="1617" t="s">
        <v>1778</v>
      </c>
      <c r="U27" s="40" t="s">
        <v>1778</v>
      </c>
    </row>
    <row r="28" spans="1:21" s="580" customFormat="1">
      <c r="A28" s="2115" t="s">
        <v>2315</v>
      </c>
      <c r="B28" s="2115"/>
      <c r="C28" s="2115"/>
      <c r="D28" s="2115"/>
      <c r="E28" s="503"/>
      <c r="F28" s="627"/>
      <c r="G28" s="587"/>
      <c r="H28" s="587"/>
      <c r="I28" s="587"/>
      <c r="J28" s="587"/>
      <c r="K28" s="587"/>
      <c r="L28" s="587"/>
      <c r="M28" s="587"/>
      <c r="N28" s="587"/>
      <c r="O28" s="589"/>
      <c r="P28" s="589"/>
      <c r="Q28" s="589"/>
      <c r="R28" s="589"/>
      <c r="S28" s="589"/>
      <c r="T28" s="589"/>
      <c r="U28" s="589"/>
    </row>
    <row r="29" spans="1:21" s="580" customFormat="1" ht="12.75" customHeight="1">
      <c r="A29" s="617"/>
      <c r="B29" s="583"/>
      <c r="C29" s="2148" t="s">
        <v>1388</v>
      </c>
      <c r="D29" s="2148"/>
      <c r="E29" s="582" t="s">
        <v>865</v>
      </c>
      <c r="F29" s="582" t="s">
        <v>865</v>
      </c>
      <c r="G29" s="582" t="s">
        <v>865</v>
      </c>
      <c r="H29" s="582" t="s">
        <v>865</v>
      </c>
      <c r="I29" s="582" t="s">
        <v>865</v>
      </c>
      <c r="J29" s="582" t="s">
        <v>865</v>
      </c>
      <c r="K29" s="623" t="s">
        <v>1375</v>
      </c>
      <c r="L29" s="623" t="s">
        <v>1375</v>
      </c>
      <c r="M29" s="623" t="s">
        <v>1375</v>
      </c>
      <c r="N29" s="623" t="s">
        <v>1375</v>
      </c>
      <c r="O29" s="623" t="s">
        <v>1375</v>
      </c>
      <c r="P29" s="623" t="s">
        <v>1375</v>
      </c>
      <c r="Q29" s="623" t="s">
        <v>1375</v>
      </c>
      <c r="R29" s="623" t="s">
        <v>1375</v>
      </c>
      <c r="S29" s="623" t="s">
        <v>1375</v>
      </c>
      <c r="T29" s="623" t="s">
        <v>1375</v>
      </c>
      <c r="U29" s="623" t="s">
        <v>1375</v>
      </c>
    </row>
    <row r="30" spans="1:21" s="580" customFormat="1" ht="12.75" customHeight="1">
      <c r="A30" s="616"/>
      <c r="B30" s="588"/>
      <c r="C30" s="2123" t="s">
        <v>1389</v>
      </c>
      <c r="D30" s="2123"/>
      <c r="E30" s="473" t="s">
        <v>865</v>
      </c>
      <c r="F30" s="473" t="s">
        <v>865</v>
      </c>
      <c r="G30" s="473" t="s">
        <v>865</v>
      </c>
      <c r="H30" s="473" t="s">
        <v>865</v>
      </c>
      <c r="I30" s="473" t="s">
        <v>865</v>
      </c>
      <c r="J30" s="473" t="s">
        <v>865</v>
      </c>
      <c r="K30" s="443">
        <v>6.5</v>
      </c>
      <c r="L30" s="443">
        <v>6.5</v>
      </c>
      <c r="M30" s="443">
        <v>6.5</v>
      </c>
      <c r="N30" s="443">
        <v>6.5</v>
      </c>
      <c r="O30" s="443">
        <v>6.5</v>
      </c>
      <c r="P30" s="443">
        <v>6.5</v>
      </c>
      <c r="Q30" s="443">
        <v>6.5</v>
      </c>
      <c r="R30" s="443">
        <v>6.5</v>
      </c>
      <c r="S30" s="443">
        <v>6.5</v>
      </c>
      <c r="T30" s="443">
        <v>6.5</v>
      </c>
      <c r="U30" s="443">
        <v>6.5</v>
      </c>
    </row>
    <row r="31" spans="1:21" s="580" customFormat="1" ht="12.75" customHeight="1">
      <c r="A31" s="617"/>
      <c r="B31" s="583"/>
      <c r="C31" s="2124" t="s">
        <v>1390</v>
      </c>
      <c r="D31" s="2124"/>
      <c r="E31" s="383" t="s">
        <v>865</v>
      </c>
      <c r="F31" s="383" t="s">
        <v>865</v>
      </c>
      <c r="G31" s="383" t="s">
        <v>865</v>
      </c>
      <c r="H31" s="383" t="s">
        <v>865</v>
      </c>
      <c r="I31" s="383" t="s">
        <v>865</v>
      </c>
      <c r="J31" s="383" t="s">
        <v>865</v>
      </c>
      <c r="K31" s="637">
        <v>7</v>
      </c>
      <c r="L31" s="637">
        <v>7</v>
      </c>
      <c r="M31" s="637">
        <v>7</v>
      </c>
      <c r="N31" s="637">
        <v>7</v>
      </c>
      <c r="O31" s="637">
        <v>7</v>
      </c>
      <c r="P31" s="637">
        <v>7</v>
      </c>
      <c r="Q31" s="637">
        <v>7</v>
      </c>
      <c r="R31" s="637">
        <v>7</v>
      </c>
      <c r="S31" s="637">
        <v>7</v>
      </c>
      <c r="T31" s="637">
        <v>7</v>
      </c>
      <c r="U31" s="637">
        <v>7</v>
      </c>
    </row>
    <row r="32" spans="1:21" s="580" customFormat="1" ht="12" customHeight="1">
      <c r="A32" s="616"/>
      <c r="B32" s="588"/>
      <c r="C32" s="2143" t="s">
        <v>1407</v>
      </c>
      <c r="D32" s="2143"/>
      <c r="E32" s="473" t="s">
        <v>865</v>
      </c>
      <c r="F32" s="473" t="s">
        <v>865</v>
      </c>
      <c r="G32" s="473" t="s">
        <v>865</v>
      </c>
      <c r="H32" s="473" t="s">
        <v>865</v>
      </c>
      <c r="I32" s="473" t="s">
        <v>865</v>
      </c>
      <c r="J32" s="473" t="s">
        <v>865</v>
      </c>
      <c r="K32" s="443">
        <v>7.5</v>
      </c>
      <c r="L32" s="443">
        <v>7.5</v>
      </c>
      <c r="M32" s="443">
        <v>7.5</v>
      </c>
      <c r="N32" s="443">
        <v>7.5</v>
      </c>
      <c r="O32" s="443">
        <v>7.5</v>
      </c>
      <c r="P32" s="443">
        <v>7.5</v>
      </c>
      <c r="Q32" s="443">
        <v>7.5</v>
      </c>
      <c r="R32" s="443">
        <v>7.5</v>
      </c>
      <c r="S32" s="443">
        <v>7.5</v>
      </c>
      <c r="T32" s="443">
        <v>7.5</v>
      </c>
      <c r="U32" s="443">
        <v>7.5</v>
      </c>
    </row>
    <row r="33" spans="1:21" s="259" customFormat="1">
      <c r="A33" s="2116" t="s">
        <v>2316</v>
      </c>
      <c r="B33" s="2116"/>
      <c r="C33" s="2116"/>
      <c r="D33" s="2116"/>
      <c r="E33" s="261"/>
      <c r="F33" s="578"/>
      <c r="K33" s="622"/>
      <c r="L33" s="622"/>
      <c r="M33" s="622"/>
      <c r="N33" s="622"/>
      <c r="O33" s="622"/>
      <c r="P33" s="622"/>
      <c r="Q33" s="622"/>
      <c r="R33" s="622"/>
      <c r="S33" s="622"/>
      <c r="T33" s="622"/>
      <c r="U33" s="622"/>
    </row>
    <row r="34" spans="1:21" s="259" customFormat="1" ht="12.75" customHeight="1">
      <c r="A34" s="620"/>
      <c r="B34" s="590"/>
      <c r="C34" s="2143" t="s">
        <v>1388</v>
      </c>
      <c r="D34" s="2143"/>
      <c r="E34" s="587" t="s">
        <v>865</v>
      </c>
      <c r="F34" s="587" t="s">
        <v>865</v>
      </c>
      <c r="G34" s="587" t="s">
        <v>865</v>
      </c>
      <c r="H34" s="587" t="s">
        <v>865</v>
      </c>
      <c r="I34" s="587" t="s">
        <v>865</v>
      </c>
      <c r="J34" s="587" t="s">
        <v>865</v>
      </c>
      <c r="K34" s="612" t="s">
        <v>1376</v>
      </c>
      <c r="L34" s="612" t="s">
        <v>1376</v>
      </c>
      <c r="M34" s="612" t="s">
        <v>1376</v>
      </c>
      <c r="N34" s="612" t="s">
        <v>1376</v>
      </c>
      <c r="O34" s="612" t="s">
        <v>1376</v>
      </c>
      <c r="P34" s="612" t="s">
        <v>1376</v>
      </c>
      <c r="Q34" s="612" t="s">
        <v>1376</v>
      </c>
      <c r="R34" s="612" t="s">
        <v>1376</v>
      </c>
      <c r="S34" s="612" t="s">
        <v>1376</v>
      </c>
      <c r="T34" s="612" t="s">
        <v>1376</v>
      </c>
      <c r="U34" s="612" t="s">
        <v>1376</v>
      </c>
    </row>
    <row r="35" spans="1:21" s="259" customFormat="1" ht="12.75" customHeight="1">
      <c r="A35" s="624"/>
      <c r="C35" s="2124" t="s">
        <v>1389</v>
      </c>
      <c r="D35" s="2124"/>
      <c r="E35" s="383" t="s">
        <v>865</v>
      </c>
      <c r="F35" s="383" t="s">
        <v>865</v>
      </c>
      <c r="G35" s="383" t="s">
        <v>865</v>
      </c>
      <c r="H35" s="383" t="s">
        <v>865</v>
      </c>
      <c r="I35" s="383" t="s">
        <v>865</v>
      </c>
      <c r="J35" s="383" t="s">
        <v>865</v>
      </c>
      <c r="K35" s="637">
        <v>5.5</v>
      </c>
      <c r="L35" s="637">
        <v>5.5</v>
      </c>
      <c r="M35" s="637">
        <v>5.5</v>
      </c>
      <c r="N35" s="637">
        <v>5.5</v>
      </c>
      <c r="O35" s="637">
        <v>5.5</v>
      </c>
      <c r="P35" s="637">
        <v>5.5</v>
      </c>
      <c r="Q35" s="637">
        <v>5.5</v>
      </c>
      <c r="R35" s="637">
        <v>5.5</v>
      </c>
      <c r="S35" s="637">
        <v>5.5</v>
      </c>
      <c r="T35" s="637">
        <v>5.5</v>
      </c>
      <c r="U35" s="637">
        <v>5.5</v>
      </c>
    </row>
    <row r="36" spans="1:21" s="259" customFormat="1" ht="12.75" customHeight="1">
      <c r="A36" s="620"/>
      <c r="B36" s="590"/>
      <c r="C36" s="2123" t="s">
        <v>1390</v>
      </c>
      <c r="D36" s="2123"/>
      <c r="E36" s="473" t="s">
        <v>865</v>
      </c>
      <c r="F36" s="473" t="s">
        <v>865</v>
      </c>
      <c r="G36" s="473" t="s">
        <v>865</v>
      </c>
      <c r="H36" s="473" t="s">
        <v>865</v>
      </c>
      <c r="I36" s="473" t="s">
        <v>865</v>
      </c>
      <c r="J36" s="473" t="s">
        <v>865</v>
      </c>
      <c r="K36" s="443">
        <v>6</v>
      </c>
      <c r="L36" s="443">
        <v>6</v>
      </c>
      <c r="M36" s="443">
        <v>6</v>
      </c>
      <c r="N36" s="443">
        <v>6</v>
      </c>
      <c r="O36" s="443">
        <v>6</v>
      </c>
      <c r="P36" s="443">
        <v>6</v>
      </c>
      <c r="Q36" s="443">
        <v>6</v>
      </c>
      <c r="R36" s="443">
        <v>6</v>
      </c>
      <c r="S36" s="443">
        <v>6</v>
      </c>
      <c r="T36" s="443">
        <v>6</v>
      </c>
      <c r="U36" s="443">
        <v>6</v>
      </c>
    </row>
    <row r="37" spans="1:21" s="259" customFormat="1" ht="12.75" customHeight="1">
      <c r="A37" s="624"/>
      <c r="C37" s="2139" t="s">
        <v>1407</v>
      </c>
      <c r="D37" s="2139"/>
      <c r="E37" s="383" t="s">
        <v>865</v>
      </c>
      <c r="F37" s="383" t="s">
        <v>865</v>
      </c>
      <c r="G37" s="383" t="s">
        <v>865</v>
      </c>
      <c r="H37" s="383" t="s">
        <v>865</v>
      </c>
      <c r="I37" s="383" t="s">
        <v>865</v>
      </c>
      <c r="J37" s="383" t="s">
        <v>865</v>
      </c>
      <c r="K37" s="637">
        <v>6.5</v>
      </c>
      <c r="L37" s="637">
        <v>6.5</v>
      </c>
      <c r="M37" s="637">
        <v>6.5</v>
      </c>
      <c r="N37" s="637">
        <v>6.5</v>
      </c>
      <c r="O37" s="637">
        <v>6.5</v>
      </c>
      <c r="P37" s="637">
        <v>6.5</v>
      </c>
      <c r="Q37" s="637">
        <v>6.5</v>
      </c>
      <c r="R37" s="637">
        <v>6.5</v>
      </c>
      <c r="S37" s="637">
        <v>6.5</v>
      </c>
      <c r="T37" s="637">
        <v>6.5</v>
      </c>
      <c r="U37" s="637">
        <v>6.5</v>
      </c>
    </row>
    <row r="38" spans="1:21" s="259" customFormat="1" ht="22.5" customHeight="1">
      <c r="A38" s="628" t="s">
        <v>101</v>
      </c>
      <c r="B38" s="2150" t="s">
        <v>1422</v>
      </c>
      <c r="C38" s="2150"/>
      <c r="D38" s="2150"/>
      <c r="E38" s="626" t="s">
        <v>103</v>
      </c>
      <c r="F38" s="626"/>
      <c r="G38" s="626"/>
      <c r="H38" s="626"/>
      <c r="I38" s="626"/>
      <c r="J38" s="626"/>
      <c r="K38" s="626"/>
      <c r="L38" s="626"/>
      <c r="M38" s="626"/>
      <c r="N38" s="626"/>
      <c r="O38" s="629"/>
      <c r="P38" s="629"/>
      <c r="Q38" s="629"/>
      <c r="R38" s="629"/>
      <c r="S38" s="629"/>
      <c r="T38" s="629"/>
      <c r="U38" s="629"/>
    </row>
    <row r="39" spans="1:21" s="259" customFormat="1" ht="13.5" customHeight="1">
      <c r="A39" s="617"/>
      <c r="B39" s="2138" t="s">
        <v>1385</v>
      </c>
      <c r="C39" s="2138"/>
      <c r="D39" s="2138"/>
      <c r="E39" s="582"/>
      <c r="F39" s="582"/>
      <c r="G39" s="582"/>
      <c r="H39" s="582"/>
      <c r="I39" s="582"/>
      <c r="J39" s="582"/>
      <c r="K39" s="582"/>
      <c r="L39" s="582"/>
      <c r="M39" s="582"/>
      <c r="N39" s="582"/>
      <c r="O39" s="584"/>
      <c r="P39" s="584"/>
      <c r="Q39" s="584"/>
      <c r="R39" s="584"/>
      <c r="S39" s="584"/>
      <c r="T39" s="584"/>
      <c r="U39" s="584"/>
    </row>
    <row r="40" spans="1:21" s="259" customFormat="1" ht="13.5" customHeight="1">
      <c r="A40" s="616"/>
      <c r="B40" s="588"/>
      <c r="C40" s="2151" t="s">
        <v>472</v>
      </c>
      <c r="D40" s="2151"/>
      <c r="E40" s="587" t="s">
        <v>865</v>
      </c>
      <c r="F40" s="473">
        <v>13</v>
      </c>
      <c r="G40" s="473">
        <v>13</v>
      </c>
      <c r="H40" s="473">
        <v>13</v>
      </c>
      <c r="I40" s="473">
        <v>13</v>
      </c>
      <c r="J40" s="473">
        <v>13</v>
      </c>
      <c r="K40" s="473">
        <v>13</v>
      </c>
      <c r="L40" s="473">
        <v>13</v>
      </c>
      <c r="M40" s="473">
        <v>13</v>
      </c>
      <c r="N40" s="473">
        <v>13</v>
      </c>
      <c r="O40" s="431">
        <v>12</v>
      </c>
      <c r="P40" s="431">
        <v>12</v>
      </c>
      <c r="Q40" s="431">
        <v>12</v>
      </c>
      <c r="R40" s="431">
        <v>12</v>
      </c>
      <c r="S40" s="431">
        <v>12</v>
      </c>
      <c r="T40" s="431">
        <v>12</v>
      </c>
      <c r="U40" s="431">
        <v>12</v>
      </c>
    </row>
    <row r="41" spans="1:21" s="259" customFormat="1" ht="13.5" customHeight="1">
      <c r="A41" s="617"/>
      <c r="B41" s="583"/>
      <c r="C41" s="2149" t="s">
        <v>471</v>
      </c>
      <c r="D41" s="2149"/>
      <c r="E41" s="582" t="s">
        <v>865</v>
      </c>
      <c r="F41" s="383">
        <v>15</v>
      </c>
      <c r="G41" s="383">
        <v>15</v>
      </c>
      <c r="H41" s="383">
        <v>15</v>
      </c>
      <c r="I41" s="383">
        <v>15</v>
      </c>
      <c r="J41" s="383">
        <v>15</v>
      </c>
      <c r="K41" s="383">
        <v>15</v>
      </c>
      <c r="L41" s="383">
        <v>15</v>
      </c>
      <c r="M41" s="383">
        <v>15</v>
      </c>
      <c r="N41" s="383">
        <v>15</v>
      </c>
      <c r="O41" s="347">
        <v>12</v>
      </c>
      <c r="P41" s="347">
        <v>12</v>
      </c>
      <c r="Q41" s="347">
        <v>12</v>
      </c>
      <c r="R41" s="347">
        <v>12</v>
      </c>
      <c r="S41" s="347">
        <v>12</v>
      </c>
      <c r="T41" s="347">
        <v>12</v>
      </c>
      <c r="U41" s="347">
        <v>12</v>
      </c>
    </row>
    <row r="42" spans="1:21" s="259" customFormat="1" ht="13.5" customHeight="1" thickBot="1">
      <c r="A42" s="630"/>
      <c r="B42" s="2147" t="s">
        <v>1386</v>
      </c>
      <c r="C42" s="2147"/>
      <c r="D42" s="2147"/>
      <c r="E42" s="631" t="s">
        <v>865</v>
      </c>
      <c r="F42" s="515">
        <v>10</v>
      </c>
      <c r="G42" s="515">
        <v>10</v>
      </c>
      <c r="H42" s="515">
        <v>10</v>
      </c>
      <c r="I42" s="515">
        <v>10</v>
      </c>
      <c r="J42" s="515">
        <v>10</v>
      </c>
      <c r="K42" s="515">
        <v>10</v>
      </c>
      <c r="L42" s="515">
        <v>10</v>
      </c>
      <c r="M42" s="515">
        <v>10</v>
      </c>
      <c r="N42" s="515">
        <v>10</v>
      </c>
      <c r="O42" s="707">
        <v>10</v>
      </c>
      <c r="P42" s="707">
        <v>10</v>
      </c>
      <c r="Q42" s="707">
        <v>10</v>
      </c>
      <c r="R42" s="707">
        <v>10</v>
      </c>
      <c r="S42" s="707">
        <v>10</v>
      </c>
      <c r="T42" s="707">
        <v>10</v>
      </c>
      <c r="U42" s="707">
        <v>10</v>
      </c>
    </row>
    <row r="43" spans="1:21" s="261" customFormat="1" ht="10.5" customHeight="1">
      <c r="A43" s="632" t="s">
        <v>40</v>
      </c>
      <c r="B43" s="421"/>
      <c r="C43" s="2137" t="s">
        <v>2382</v>
      </c>
      <c r="D43" s="2137"/>
      <c r="E43" s="2137"/>
      <c r="F43" s="709"/>
      <c r="G43" s="709"/>
      <c r="H43" s="709"/>
      <c r="I43" s="709"/>
      <c r="K43" s="636" t="s">
        <v>2384</v>
      </c>
      <c r="L43" s="709"/>
      <c r="M43" s="709"/>
      <c r="N43" s="420"/>
      <c r="O43" s="634"/>
      <c r="P43" s="585"/>
      <c r="Q43" s="585"/>
      <c r="R43" s="585"/>
      <c r="S43" s="585"/>
      <c r="T43" s="585"/>
      <c r="U43" s="585"/>
    </row>
    <row r="44" spans="1:21" s="420" customFormat="1" ht="9.75" customHeight="1">
      <c r="A44" s="632"/>
      <c r="B44" s="421"/>
      <c r="C44" s="2137" t="s">
        <v>2317</v>
      </c>
      <c r="D44" s="2137"/>
      <c r="E44" s="2137"/>
      <c r="F44" s="2137"/>
      <c r="G44" s="2137"/>
      <c r="H44" s="2137"/>
      <c r="I44" s="2137"/>
      <c r="K44" s="636" t="s">
        <v>2385</v>
      </c>
      <c r="L44" s="198"/>
      <c r="M44" s="18"/>
      <c r="N44" s="198"/>
      <c r="O44" s="198"/>
      <c r="P44" s="634"/>
    </row>
    <row r="45" spans="1:21" s="420" customFormat="1" ht="9.75" customHeight="1">
      <c r="A45" s="633"/>
      <c r="B45" s="421"/>
      <c r="C45" s="2137" t="s">
        <v>2383</v>
      </c>
      <c r="D45" s="2137"/>
      <c r="E45" s="2137"/>
      <c r="G45" s="634"/>
      <c r="H45" s="634"/>
      <c r="I45" s="634"/>
      <c r="K45" s="636" t="s">
        <v>2386</v>
      </c>
      <c r="L45" s="634"/>
    </row>
    <row r="46" spans="1:21" s="420" customFormat="1" ht="9.75" customHeight="1">
      <c r="A46" s="633"/>
      <c r="B46" s="421"/>
      <c r="C46" s="198" t="s">
        <v>702</v>
      </c>
      <c r="H46" s="634"/>
      <c r="I46" s="634"/>
      <c r="J46" s="634"/>
      <c r="K46" s="636" t="s">
        <v>2387</v>
      </c>
    </row>
    <row r="47" spans="1:21" s="18" customFormat="1" ht="9.75" customHeight="1">
      <c r="A47" s="1043"/>
      <c r="H47" s="198"/>
      <c r="I47" s="198"/>
      <c r="J47" s="198"/>
      <c r="K47" s="636" t="s">
        <v>2388</v>
      </c>
    </row>
    <row r="48" spans="1:21" s="18" customFormat="1" ht="9.75" customHeight="1">
      <c r="A48" s="635"/>
      <c r="D48" s="198"/>
      <c r="E48" s="198"/>
      <c r="F48" s="198"/>
      <c r="G48" s="198"/>
      <c r="H48" s="198"/>
      <c r="I48" s="198"/>
      <c r="J48" s="198"/>
    </row>
    <row r="54" spans="2:10">
      <c r="B54" s="602"/>
      <c r="C54" s="605"/>
      <c r="D54" s="606"/>
      <c r="E54" s="598"/>
      <c r="F54" s="599"/>
      <c r="G54" s="600"/>
      <c r="H54" s="601"/>
      <c r="I54" s="600"/>
      <c r="J54" s="600"/>
    </row>
    <row r="55" spans="2:10">
      <c r="B55" s="607"/>
      <c r="C55" s="605"/>
      <c r="D55" s="608"/>
      <c r="E55" s="598"/>
      <c r="F55" s="609"/>
      <c r="G55" s="600"/>
      <c r="H55" s="601"/>
      <c r="I55" s="609"/>
      <c r="J55" s="609"/>
    </row>
    <row r="56" spans="2:10">
      <c r="B56" s="610"/>
      <c r="C56" s="610"/>
      <c r="D56" s="604"/>
      <c r="E56" s="610"/>
      <c r="F56" s="611"/>
      <c r="G56" s="610"/>
      <c r="H56" s="610"/>
      <c r="I56" s="610"/>
      <c r="J56" s="610"/>
    </row>
    <row r="57" spans="2:10">
      <c r="B57" s="603"/>
      <c r="C57" s="610"/>
      <c r="D57" s="604"/>
      <c r="E57" s="610"/>
      <c r="F57" s="611"/>
      <c r="G57" s="610"/>
      <c r="H57" s="610"/>
      <c r="I57" s="610"/>
      <c r="J57" s="610"/>
    </row>
  </sheetData>
  <mergeCells count="46">
    <mergeCell ref="C44:I44"/>
    <mergeCell ref="B42:D42"/>
    <mergeCell ref="C29:D29"/>
    <mergeCell ref="C30:D30"/>
    <mergeCell ref="C31:D31"/>
    <mergeCell ref="C36:D36"/>
    <mergeCell ref="C34:D34"/>
    <mergeCell ref="C35:D35"/>
    <mergeCell ref="C41:D41"/>
    <mergeCell ref="B38:D38"/>
    <mergeCell ref="C43:E43"/>
    <mergeCell ref="C40:D40"/>
    <mergeCell ref="C45:E45"/>
    <mergeCell ref="B39:D39"/>
    <mergeCell ref="C37:D37"/>
    <mergeCell ref="B4:D4"/>
    <mergeCell ref="C9:D9"/>
    <mergeCell ref="C10:D10"/>
    <mergeCell ref="B18:D18"/>
    <mergeCell ref="C32:D32"/>
    <mergeCell ref="B17:D17"/>
    <mergeCell ref="B5:D5"/>
    <mergeCell ref="C13:D13"/>
    <mergeCell ref="C23:D23"/>
    <mergeCell ref="C14:D14"/>
    <mergeCell ref="C15:D15"/>
    <mergeCell ref="C22:D22"/>
    <mergeCell ref="A6:D6"/>
    <mergeCell ref="B8:D8"/>
    <mergeCell ref="S1:U1"/>
    <mergeCell ref="A1:I1"/>
    <mergeCell ref="J1:R1"/>
    <mergeCell ref="A2:D3"/>
    <mergeCell ref="B7:D7"/>
    <mergeCell ref="A28:D28"/>
    <mergeCell ref="A33:D33"/>
    <mergeCell ref="B19:D19"/>
    <mergeCell ref="C11:D11"/>
    <mergeCell ref="B12:D12"/>
    <mergeCell ref="A16:D16"/>
    <mergeCell ref="A21:D21"/>
    <mergeCell ref="B20:D20"/>
    <mergeCell ref="C24:D24"/>
    <mergeCell ref="C25:D25"/>
    <mergeCell ref="C26:D26"/>
    <mergeCell ref="C27:D27"/>
  </mergeCells>
  <phoneticPr fontId="0" type="noConversion"/>
  <pageMargins left="0.511811023622047" right="0.511811023622047" top="0.511811023622047" bottom="0.511811023622047" header="0" footer="0.43307086614173201"/>
  <pageSetup paperSize="448" firstPageNumber="64" orientation="portrait" useFirstPageNumber="1" r:id="rId1"/>
  <headerFooter alignWithMargins="0">
    <oddFooter>&amp;C&amp;"Times New Roman,Regular"&amp;8&amp;P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>
  <sheetPr codeName="Sheet27"/>
  <dimension ref="A1:BL50"/>
  <sheetViews>
    <sheetView topLeftCell="A13" zoomScale="160" zoomScaleNormal="160" workbookViewId="0">
      <pane xSplit="20055" topLeftCell="AP1"/>
      <selection activeCell="B2" sqref="B2"/>
      <selection pane="topRight" activeCell="AP1" sqref="AP1"/>
    </sheetView>
  </sheetViews>
  <sheetFormatPr defaultColWidth="9.140625" defaultRowHeight="11.25"/>
  <cols>
    <col min="1" max="1" width="3" style="1179" customWidth="1"/>
    <col min="2" max="2" width="16.28515625" style="1180" customWidth="1"/>
    <col min="3" max="3" width="7.7109375" style="1179" customWidth="1"/>
    <col min="4" max="4" width="7.42578125" style="1179" customWidth="1"/>
    <col min="5" max="5" width="7.140625" style="1179" customWidth="1"/>
    <col min="6" max="9" width="7.85546875" style="1179" customWidth="1"/>
    <col min="10" max="10" width="7.7109375" style="1179" customWidth="1"/>
    <col min="11" max="11" width="8.5703125" style="1179" customWidth="1"/>
    <col min="12" max="12" width="8.85546875" style="1179" bestFit="1" customWidth="1"/>
    <col min="13" max="13" width="8.140625" style="1179" customWidth="1"/>
    <col min="14" max="14" width="7.5703125" style="1179" customWidth="1"/>
    <col min="15" max="15" width="8.85546875" style="1179" bestFit="1" customWidth="1"/>
    <col min="16" max="16" width="8" style="1179" customWidth="1"/>
    <col min="17" max="17" width="6.5703125" style="1179" customWidth="1"/>
    <col min="18" max="18" width="4.140625" style="1179" customWidth="1"/>
    <col min="19" max="19" width="18" style="1180" customWidth="1"/>
    <col min="20" max="20" width="6.7109375" style="1179" customWidth="1"/>
    <col min="21" max="21" width="15.5703125" style="1180" customWidth="1"/>
    <col min="22" max="22" width="10" style="1179" customWidth="1"/>
    <col min="23" max="23" width="8.42578125" style="1179" customWidth="1"/>
    <col min="24" max="24" width="10.42578125" style="1179" customWidth="1"/>
    <col min="25" max="25" width="9.85546875" style="1179" customWidth="1"/>
    <col min="26" max="27" width="9.7109375" style="1179" customWidth="1"/>
    <col min="28" max="28" width="10.5703125" style="1179" customWidth="1"/>
    <col min="29" max="30" width="9.28515625" style="1179" customWidth="1"/>
    <col min="31" max="31" width="11.85546875" style="1179" customWidth="1"/>
    <col min="32" max="32" width="10.140625" style="1179" customWidth="1"/>
    <col min="33" max="33" width="9.7109375" style="1179" customWidth="1"/>
    <col min="34" max="34" width="3" style="1179" customWidth="1"/>
    <col min="35" max="35" width="16.42578125" style="1180" customWidth="1"/>
    <col min="36" max="36" width="3" style="1179" customWidth="1"/>
    <col min="37" max="37" width="16.5703125" style="1180" customWidth="1"/>
    <col min="38" max="38" width="9.140625" style="1179" customWidth="1"/>
    <col min="39" max="39" width="10" style="1179" customWidth="1"/>
    <col min="40" max="40" width="9.28515625" style="1179" customWidth="1"/>
    <col min="41" max="41" width="9" style="1179" customWidth="1"/>
    <col min="42" max="42" width="10.42578125" style="1179" customWidth="1"/>
    <col min="43" max="43" width="10" style="1179" customWidth="1"/>
    <col min="44" max="44" width="10.140625" style="1179" customWidth="1"/>
    <col min="45" max="45" width="8.7109375" style="1179" customWidth="1"/>
    <col min="46" max="46" width="9.85546875" style="1179" customWidth="1"/>
    <col min="47" max="47" width="8.7109375" style="1179" customWidth="1"/>
    <col min="48" max="48" width="8" style="1179" customWidth="1"/>
    <col min="49" max="49" width="7.42578125" style="1179" customWidth="1"/>
    <col min="50" max="50" width="9.140625" style="1179" customWidth="1"/>
    <col min="51" max="51" width="3" style="1179" customWidth="1"/>
    <col min="52" max="52" width="15.42578125" style="1180" customWidth="1"/>
    <col min="53" max="53" width="3" style="1179" customWidth="1"/>
    <col min="54" max="54" width="18" style="1180" customWidth="1"/>
    <col min="55" max="55" width="13.5703125" style="1179" customWidth="1"/>
    <col min="56" max="56" width="13.85546875" style="1179" customWidth="1"/>
    <col min="57" max="57" width="15.42578125" style="1179" customWidth="1"/>
    <col min="58" max="58" width="14.28515625" style="1179" customWidth="1"/>
    <col min="59" max="59" width="15.7109375" style="1179" customWidth="1"/>
    <col min="60" max="61" width="14.28515625" style="1179" customWidth="1"/>
    <col min="62" max="62" width="13" style="1179" customWidth="1"/>
    <col min="63" max="63" width="3" style="1179" customWidth="1"/>
    <col min="64" max="64" width="16.7109375" style="1180" customWidth="1"/>
    <col min="65" max="16384" width="9.140625" style="1179"/>
  </cols>
  <sheetData>
    <row r="1" spans="1:64" s="1176" customFormat="1" ht="13.5" customHeight="1">
      <c r="B1" s="2173" t="s">
        <v>1312</v>
      </c>
      <c r="C1" s="2173"/>
      <c r="D1" s="2173"/>
      <c r="E1" s="2173"/>
      <c r="F1" s="2173"/>
      <c r="G1" s="2173"/>
      <c r="H1" s="2173"/>
      <c r="I1" s="2173"/>
      <c r="J1" s="2173"/>
      <c r="K1" s="2176" t="s">
        <v>2852</v>
      </c>
      <c r="L1" s="2177"/>
      <c r="M1" s="2177"/>
      <c r="N1" s="2177"/>
      <c r="O1" s="2177"/>
      <c r="P1" s="2177"/>
      <c r="Q1" s="2177"/>
      <c r="R1" s="2173" t="s">
        <v>1815</v>
      </c>
      <c r="S1" s="2173"/>
      <c r="T1" s="2173" t="s">
        <v>1781</v>
      </c>
      <c r="U1" s="2173"/>
      <c r="V1" s="2173"/>
      <c r="W1" s="2173"/>
      <c r="X1" s="2173"/>
      <c r="Y1" s="2173"/>
      <c r="Z1" s="2173"/>
      <c r="AA1" s="2173"/>
      <c r="AB1" s="2176" t="s">
        <v>2853</v>
      </c>
      <c r="AC1" s="2177"/>
      <c r="AD1" s="2177"/>
      <c r="AE1" s="2177"/>
      <c r="AF1" s="2177"/>
      <c r="AG1" s="2177"/>
      <c r="AH1" s="2173" t="s">
        <v>1815</v>
      </c>
      <c r="AI1" s="2173"/>
      <c r="AJ1" s="2173" t="s">
        <v>1683</v>
      </c>
      <c r="AK1" s="2173"/>
      <c r="AL1" s="2173"/>
      <c r="AM1" s="2173"/>
      <c r="AN1" s="2173"/>
      <c r="AO1" s="2173"/>
      <c r="AP1" s="2173"/>
      <c r="AQ1" s="2173"/>
      <c r="AR1" s="2162" t="s">
        <v>2853</v>
      </c>
      <c r="AS1" s="2162"/>
      <c r="AT1" s="2162"/>
      <c r="AU1" s="2162"/>
      <c r="AV1" s="2162"/>
      <c r="AW1" s="2162"/>
      <c r="AX1" s="1177"/>
      <c r="AY1" s="2173" t="s">
        <v>1815</v>
      </c>
      <c r="AZ1" s="2173"/>
      <c r="BB1" s="1178"/>
      <c r="BC1" s="2173" t="s">
        <v>1312</v>
      </c>
      <c r="BD1" s="2173"/>
      <c r="BE1" s="2173"/>
      <c r="BF1" s="2173"/>
      <c r="BG1" s="2179" t="s">
        <v>2853</v>
      </c>
      <c r="BH1" s="2180"/>
      <c r="BI1" s="2180"/>
      <c r="BJ1" s="2180"/>
      <c r="BK1" s="2173" t="s">
        <v>1816</v>
      </c>
      <c r="BL1" s="2173"/>
    </row>
    <row r="2" spans="1:64" ht="11.25" customHeight="1">
      <c r="C2" s="1181"/>
      <c r="D2" s="1181"/>
      <c r="E2" s="1181"/>
      <c r="F2" s="1181"/>
      <c r="G2" s="1181"/>
      <c r="H2" s="1181"/>
      <c r="I2" s="1181"/>
      <c r="J2" s="1181"/>
      <c r="K2" s="2175"/>
      <c r="L2" s="2175"/>
      <c r="M2" s="1182"/>
      <c r="N2" s="1182"/>
      <c r="O2" s="1182"/>
      <c r="P2" s="1182"/>
      <c r="R2" s="1183"/>
      <c r="S2" s="1184" t="s">
        <v>766</v>
      </c>
      <c r="X2" s="2163"/>
      <c r="Y2" s="2163"/>
      <c r="Z2" s="1185"/>
      <c r="AA2" s="1185"/>
      <c r="AB2" s="1185"/>
      <c r="AC2" s="1185"/>
      <c r="AD2" s="1185"/>
      <c r="AE2" s="1185"/>
      <c r="AF2" s="1185"/>
      <c r="AG2" s="1182"/>
      <c r="AH2" s="1183"/>
      <c r="AI2" s="1184" t="s">
        <v>766</v>
      </c>
      <c r="AJ2" s="1183"/>
      <c r="AK2" s="1184"/>
      <c r="AM2" s="1181"/>
      <c r="AN2" s="1181"/>
      <c r="AO2" s="1186"/>
      <c r="AP2" s="1185"/>
      <c r="AQ2" s="1185"/>
      <c r="AR2" s="1185"/>
      <c r="AS2" s="1185"/>
      <c r="AT2" s="1185"/>
      <c r="AU2" s="1185"/>
      <c r="AV2" s="1185"/>
      <c r="AW2" s="1182"/>
      <c r="AX2" s="1182"/>
      <c r="AY2" s="1183"/>
      <c r="AZ2" s="1184" t="s">
        <v>766</v>
      </c>
      <c r="BC2" s="1181"/>
      <c r="BD2" s="1181"/>
      <c r="BE2" s="2174"/>
      <c r="BF2" s="2174"/>
      <c r="BG2" s="2175"/>
      <c r="BH2" s="2175"/>
      <c r="BI2" s="2175"/>
      <c r="BJ2" s="1182"/>
      <c r="BK2" s="1183"/>
      <c r="BL2" s="1184" t="s">
        <v>766</v>
      </c>
    </row>
    <row r="3" spans="1:64" s="1187" customFormat="1" ht="13.5" customHeight="1">
      <c r="A3" s="2156" t="s">
        <v>182</v>
      </c>
      <c r="B3" s="2157"/>
      <c r="C3" s="2164" t="s">
        <v>115</v>
      </c>
      <c r="D3" s="2165"/>
      <c r="E3" s="2165"/>
      <c r="F3" s="2165"/>
      <c r="G3" s="2165"/>
      <c r="H3" s="2166"/>
      <c r="I3" s="2164" t="s">
        <v>183</v>
      </c>
      <c r="J3" s="2165"/>
      <c r="K3" s="2164" t="s">
        <v>184</v>
      </c>
      <c r="L3" s="2165"/>
      <c r="M3" s="2165"/>
      <c r="N3" s="2165"/>
      <c r="O3" s="2165"/>
      <c r="P3" s="2165"/>
      <c r="Q3" s="2166"/>
      <c r="R3" s="2156" t="s">
        <v>182</v>
      </c>
      <c r="S3" s="2157"/>
      <c r="T3" s="2156" t="s">
        <v>182</v>
      </c>
      <c r="U3" s="2157"/>
      <c r="V3" s="2164" t="s">
        <v>882</v>
      </c>
      <c r="W3" s="2165"/>
      <c r="X3" s="2165"/>
      <c r="Y3" s="2165"/>
      <c r="Z3" s="2165"/>
      <c r="AA3" s="2165"/>
      <c r="AB3" s="2165"/>
      <c r="AC3" s="2165"/>
      <c r="AD3" s="2165"/>
      <c r="AE3" s="2165"/>
      <c r="AF3" s="2165"/>
      <c r="AG3" s="2166"/>
      <c r="AH3" s="2156" t="s">
        <v>182</v>
      </c>
      <c r="AI3" s="2157"/>
      <c r="AJ3" s="2167" t="s">
        <v>182</v>
      </c>
      <c r="AK3" s="2168"/>
      <c r="AL3" s="2164" t="s">
        <v>883</v>
      </c>
      <c r="AM3" s="2165"/>
      <c r="AN3" s="2165"/>
      <c r="AO3" s="2165"/>
      <c r="AP3" s="2165"/>
      <c r="AQ3" s="2165"/>
      <c r="AR3" s="2165"/>
      <c r="AS3" s="2165"/>
      <c r="AT3" s="2165"/>
      <c r="AU3" s="2165"/>
      <c r="AV3" s="2165"/>
      <c r="AW3" s="2165"/>
      <c r="AX3" s="2166"/>
      <c r="AY3" s="2156" t="s">
        <v>182</v>
      </c>
      <c r="AZ3" s="2157"/>
      <c r="BA3" s="2156" t="s">
        <v>182</v>
      </c>
      <c r="BB3" s="2157"/>
      <c r="BC3" s="2164" t="s">
        <v>884</v>
      </c>
      <c r="BD3" s="2165"/>
      <c r="BE3" s="2165"/>
      <c r="BF3" s="2165"/>
      <c r="BG3" s="2165"/>
      <c r="BH3" s="2165"/>
      <c r="BI3" s="2165"/>
      <c r="BJ3" s="2166"/>
      <c r="BK3" s="2156" t="s">
        <v>182</v>
      </c>
      <c r="BL3" s="2157"/>
    </row>
    <row r="4" spans="1:64" s="1188" customFormat="1" ht="24" customHeight="1">
      <c r="A4" s="2158"/>
      <c r="B4" s="2159"/>
      <c r="C4" s="1500" t="s">
        <v>2618</v>
      </c>
      <c r="D4" s="1649" t="s">
        <v>2619</v>
      </c>
      <c r="E4" s="1500" t="s">
        <v>2620</v>
      </c>
      <c r="F4" s="1500" t="s">
        <v>2621</v>
      </c>
      <c r="G4" s="1500" t="s">
        <v>2622</v>
      </c>
      <c r="H4" s="1500" t="s">
        <v>710</v>
      </c>
      <c r="I4" s="1500" t="s">
        <v>2270</v>
      </c>
      <c r="J4" s="1500" t="s">
        <v>185</v>
      </c>
      <c r="K4" s="1499" t="s">
        <v>2623</v>
      </c>
      <c r="L4" s="1500" t="s">
        <v>186</v>
      </c>
      <c r="M4" s="1500" t="s">
        <v>2624</v>
      </c>
      <c r="N4" s="1500" t="s">
        <v>2625</v>
      </c>
      <c r="O4" s="1500" t="s">
        <v>2626</v>
      </c>
      <c r="P4" s="1500" t="s">
        <v>2627</v>
      </c>
      <c r="Q4" s="1650" t="s">
        <v>2628</v>
      </c>
      <c r="R4" s="2158"/>
      <c r="S4" s="2159"/>
      <c r="T4" s="2158"/>
      <c r="U4" s="2159"/>
      <c r="V4" s="1500" t="s">
        <v>2629</v>
      </c>
      <c r="W4" s="1610" t="s">
        <v>209</v>
      </c>
      <c r="X4" s="1500" t="s">
        <v>2630</v>
      </c>
      <c r="Y4" s="1500" t="s">
        <v>2631</v>
      </c>
      <c r="Z4" s="1500" t="s">
        <v>210</v>
      </c>
      <c r="AA4" s="1500" t="s">
        <v>2632</v>
      </c>
      <c r="AB4" s="1500" t="s">
        <v>2633</v>
      </c>
      <c r="AC4" s="1500" t="s">
        <v>2634</v>
      </c>
      <c r="AD4" s="1500" t="s">
        <v>2635</v>
      </c>
      <c r="AE4" s="1658" t="s">
        <v>2636</v>
      </c>
      <c r="AF4" s="1658" t="s">
        <v>2822</v>
      </c>
      <c r="AG4" s="1500" t="s">
        <v>2637</v>
      </c>
      <c r="AH4" s="2158"/>
      <c r="AI4" s="2159"/>
      <c r="AJ4" s="2169"/>
      <c r="AK4" s="2170"/>
      <c r="AL4" s="1500" t="s">
        <v>2638</v>
      </c>
      <c r="AM4" s="1500" t="s">
        <v>2639</v>
      </c>
      <c r="AN4" s="1500" t="s">
        <v>2640</v>
      </c>
      <c r="AO4" s="1500" t="s">
        <v>2641</v>
      </c>
      <c r="AP4" s="1500" t="s">
        <v>2642</v>
      </c>
      <c r="AQ4" s="1606" t="s">
        <v>2643</v>
      </c>
      <c r="AR4" s="1500" t="s">
        <v>2644</v>
      </c>
      <c r="AS4" s="1500" t="s">
        <v>2645</v>
      </c>
      <c r="AT4" s="1500" t="s">
        <v>2646</v>
      </c>
      <c r="AU4" s="1500" t="s">
        <v>2647</v>
      </c>
      <c r="AV4" s="1500" t="s">
        <v>211</v>
      </c>
      <c r="AW4" s="1500" t="s">
        <v>2648</v>
      </c>
      <c r="AX4" s="1500" t="s">
        <v>2649</v>
      </c>
      <c r="AY4" s="2158"/>
      <c r="AZ4" s="2159"/>
      <c r="BA4" s="2158"/>
      <c r="BB4" s="2159"/>
      <c r="BC4" s="1547" t="s">
        <v>2650</v>
      </c>
      <c r="BD4" s="1547" t="s">
        <v>2651</v>
      </c>
      <c r="BE4" s="1547" t="s">
        <v>2652</v>
      </c>
      <c r="BF4" s="1585" t="s">
        <v>2318</v>
      </c>
      <c r="BG4" s="1546" t="s">
        <v>2653</v>
      </c>
      <c r="BH4" s="1650" t="s">
        <v>2654</v>
      </c>
      <c r="BI4" s="1500" t="s">
        <v>212</v>
      </c>
      <c r="BJ4" s="1500" t="s">
        <v>885</v>
      </c>
      <c r="BK4" s="2158"/>
      <c r="BL4" s="2159"/>
    </row>
    <row r="5" spans="1:64" s="1189" customFormat="1" ht="10.5" customHeight="1">
      <c r="A5" s="2160"/>
      <c r="B5" s="2161"/>
      <c r="C5" s="1501">
        <v>1</v>
      </c>
      <c r="D5" s="1502">
        <v>2</v>
      </c>
      <c r="E5" s="1501">
        <v>3</v>
      </c>
      <c r="F5" s="1502">
        <v>4</v>
      </c>
      <c r="G5" s="1501">
        <v>5</v>
      </c>
      <c r="H5" s="1501">
        <v>6</v>
      </c>
      <c r="I5" s="1501">
        <v>7</v>
      </c>
      <c r="J5" s="1502">
        <v>8</v>
      </c>
      <c r="K5" s="1503">
        <v>9</v>
      </c>
      <c r="L5" s="1502">
        <v>10</v>
      </c>
      <c r="M5" s="1501">
        <v>11</v>
      </c>
      <c r="N5" s="1502">
        <v>12</v>
      </c>
      <c r="O5" s="1501">
        <v>13</v>
      </c>
      <c r="P5" s="1502">
        <v>14</v>
      </c>
      <c r="Q5" s="1501">
        <v>15</v>
      </c>
      <c r="R5" s="2160"/>
      <c r="S5" s="2161"/>
      <c r="T5" s="2160"/>
      <c r="U5" s="2161"/>
      <c r="V5" s="1501">
        <v>16</v>
      </c>
      <c r="W5" s="1502">
        <v>17</v>
      </c>
      <c r="X5" s="1501">
        <v>18</v>
      </c>
      <c r="Y5" s="1501">
        <v>19</v>
      </c>
      <c r="Z5" s="1501">
        <v>20</v>
      </c>
      <c r="AA5" s="1501">
        <v>21</v>
      </c>
      <c r="AB5" s="1502">
        <v>22</v>
      </c>
      <c r="AC5" s="1502">
        <v>23</v>
      </c>
      <c r="AD5" s="1502">
        <v>24</v>
      </c>
      <c r="AE5" s="1502">
        <v>25</v>
      </c>
      <c r="AF5" s="1502">
        <v>26</v>
      </c>
      <c r="AG5" s="1462">
        <v>27</v>
      </c>
      <c r="AH5" s="2160"/>
      <c r="AI5" s="2161"/>
      <c r="AJ5" s="2171"/>
      <c r="AK5" s="2172"/>
      <c r="AL5" s="1501">
        <v>28</v>
      </c>
      <c r="AM5" s="1502">
        <v>29</v>
      </c>
      <c r="AN5" s="1501">
        <v>30</v>
      </c>
      <c r="AO5" s="1502">
        <v>31</v>
      </c>
      <c r="AP5" s="1501">
        <v>32</v>
      </c>
      <c r="AQ5" s="1502">
        <v>33</v>
      </c>
      <c r="AR5" s="1501">
        <v>34</v>
      </c>
      <c r="AS5" s="1502">
        <v>35</v>
      </c>
      <c r="AT5" s="1501">
        <v>36</v>
      </c>
      <c r="AU5" s="1502">
        <v>37</v>
      </c>
      <c r="AV5" s="1501">
        <v>38</v>
      </c>
      <c r="AW5" s="1501">
        <v>39</v>
      </c>
      <c r="AX5" s="1504">
        <v>40</v>
      </c>
      <c r="AY5" s="2160"/>
      <c r="AZ5" s="2161"/>
      <c r="BA5" s="2160"/>
      <c r="BB5" s="2161"/>
      <c r="BC5" s="1503">
        <v>41</v>
      </c>
      <c r="BD5" s="1502">
        <v>42</v>
      </c>
      <c r="BE5" s="1505" t="s">
        <v>2655</v>
      </c>
      <c r="BF5" s="1502">
        <v>44</v>
      </c>
      <c r="BG5" s="1503">
        <v>45</v>
      </c>
      <c r="BH5" s="1502">
        <v>46</v>
      </c>
      <c r="BI5" s="1503">
        <v>47</v>
      </c>
      <c r="BJ5" s="1502">
        <v>48</v>
      </c>
      <c r="BK5" s="2160"/>
      <c r="BL5" s="2161"/>
    </row>
    <row r="6" spans="1:64" s="1190" customFormat="1" ht="11.85" customHeight="1">
      <c r="A6" s="2178" t="s">
        <v>35</v>
      </c>
      <c r="B6" s="2178"/>
      <c r="C6" s="1506" t="s">
        <v>2656</v>
      </c>
      <c r="D6" s="1506" t="s">
        <v>2656</v>
      </c>
      <c r="E6" s="1506" t="s">
        <v>2656</v>
      </c>
      <c r="F6" s="1506" t="s">
        <v>2532</v>
      </c>
      <c r="G6" s="1506" t="s">
        <v>2657</v>
      </c>
      <c r="H6" s="1506" t="s">
        <v>2657</v>
      </c>
      <c r="I6" s="1506" t="s">
        <v>2656</v>
      </c>
      <c r="J6" s="1506" t="s">
        <v>2657</v>
      </c>
      <c r="K6" s="1506" t="s">
        <v>2549</v>
      </c>
      <c r="L6" s="1506" t="s">
        <v>2533</v>
      </c>
      <c r="M6" s="1506" t="s">
        <v>2656</v>
      </c>
      <c r="N6" s="1506" t="s">
        <v>2658</v>
      </c>
      <c r="O6" s="1506" t="s">
        <v>2659</v>
      </c>
      <c r="P6" s="1506" t="s">
        <v>2769</v>
      </c>
      <c r="Q6" s="1506" t="s">
        <v>2660</v>
      </c>
      <c r="R6" s="2152" t="s">
        <v>35</v>
      </c>
      <c r="S6" s="2152"/>
      <c r="T6" s="2152" t="s">
        <v>35</v>
      </c>
      <c r="U6" s="2152"/>
      <c r="V6" s="1607" t="s">
        <v>2723</v>
      </c>
      <c r="W6" s="1506" t="s">
        <v>2656</v>
      </c>
      <c r="X6" s="1506" t="s">
        <v>2771</v>
      </c>
      <c r="Y6" s="1506" t="s">
        <v>2277</v>
      </c>
      <c r="Z6" s="1506" t="s">
        <v>2548</v>
      </c>
      <c r="AA6" s="1506" t="s">
        <v>2821</v>
      </c>
      <c r="AB6" s="1506" t="s">
        <v>2831</v>
      </c>
      <c r="AC6" s="1506" t="s">
        <v>2763</v>
      </c>
      <c r="AD6" s="1506" t="s">
        <v>2661</v>
      </c>
      <c r="AE6" s="1506" t="s">
        <v>2657</v>
      </c>
      <c r="AF6" s="1506" t="s">
        <v>2679</v>
      </c>
      <c r="AG6" s="1506" t="s">
        <v>2657</v>
      </c>
      <c r="AH6" s="2152" t="s">
        <v>35</v>
      </c>
      <c r="AI6" s="2152"/>
      <c r="AJ6" s="2152" t="s">
        <v>35</v>
      </c>
      <c r="AK6" s="2152"/>
      <c r="AL6" s="1506" t="s">
        <v>2099</v>
      </c>
      <c r="AM6" s="1506" t="s">
        <v>2532</v>
      </c>
      <c r="AN6" s="1506" t="s">
        <v>2657</v>
      </c>
      <c r="AO6" s="1506" t="s">
        <v>2746</v>
      </c>
      <c r="AP6" s="1506" t="s">
        <v>2659</v>
      </c>
      <c r="AQ6" s="1506" t="s">
        <v>2687</v>
      </c>
      <c r="AR6" s="1506" t="s">
        <v>2553</v>
      </c>
      <c r="AS6" s="1506" t="s">
        <v>2796</v>
      </c>
      <c r="AT6" s="1506" t="s">
        <v>2696</v>
      </c>
      <c r="AU6" s="1506" t="s">
        <v>2670</v>
      </c>
      <c r="AV6" s="1506" t="s">
        <v>2501</v>
      </c>
      <c r="AW6" s="1506" t="s">
        <v>2659</v>
      </c>
      <c r="AX6" s="1506" t="s">
        <v>2448</v>
      </c>
      <c r="AY6" s="2152" t="s">
        <v>35</v>
      </c>
      <c r="AZ6" s="2152"/>
      <c r="BA6" s="2152" t="s">
        <v>35</v>
      </c>
      <c r="BB6" s="2152"/>
      <c r="BC6" s="1506" t="s">
        <v>2878</v>
      </c>
      <c r="BD6" s="1506" t="s">
        <v>2837</v>
      </c>
      <c r="BE6" s="1506" t="s">
        <v>2656</v>
      </c>
      <c r="BF6" s="1506" t="s">
        <v>2657</v>
      </c>
      <c r="BG6" s="1506" t="s">
        <v>2661</v>
      </c>
      <c r="BH6" s="1506" t="s">
        <v>2663</v>
      </c>
      <c r="BI6" s="1506" t="s">
        <v>2656</v>
      </c>
      <c r="BJ6" s="1506" t="s">
        <v>2764</v>
      </c>
      <c r="BK6" s="2152" t="s">
        <v>35</v>
      </c>
      <c r="BL6" s="2152"/>
    </row>
    <row r="7" spans="1:64" ht="11.85" customHeight="1">
      <c r="A7" s="2154" t="s">
        <v>1282</v>
      </c>
      <c r="B7" s="2155"/>
      <c r="C7" s="1355"/>
      <c r="D7" s="1355"/>
      <c r="E7" s="1355"/>
      <c r="F7" s="1245"/>
      <c r="G7" s="1245"/>
      <c r="H7" s="1245"/>
      <c r="I7" s="1245"/>
      <c r="J7" s="1245"/>
      <c r="K7" s="1245"/>
      <c r="L7" s="1245"/>
      <c r="M7" s="1245"/>
      <c r="N7" s="1245"/>
      <c r="O7" s="1245"/>
      <c r="P7" s="1245"/>
      <c r="Q7" s="1245"/>
      <c r="R7" s="2154" t="s">
        <v>1282</v>
      </c>
      <c r="S7" s="2155"/>
      <c r="T7" s="2154" t="s">
        <v>1282</v>
      </c>
      <c r="U7" s="2155"/>
      <c r="V7" s="1507"/>
      <c r="W7" s="1247"/>
      <c r="X7" s="1247"/>
      <c r="Y7" s="1247"/>
      <c r="Z7" s="1247"/>
      <c r="AA7" s="1247"/>
      <c r="AB7" s="1247"/>
      <c r="AC7" s="1247"/>
      <c r="AD7" s="1247"/>
      <c r="AE7" s="1247"/>
      <c r="AF7" s="1247"/>
      <c r="AG7" s="1247"/>
      <c r="AH7" s="2154" t="s">
        <v>1282</v>
      </c>
      <c r="AI7" s="2155"/>
      <c r="AJ7" s="2154" t="s">
        <v>1282</v>
      </c>
      <c r="AK7" s="2155"/>
      <c r="AL7" s="1245" t="s">
        <v>1996</v>
      </c>
      <c r="AM7" s="1245"/>
      <c r="AN7" s="1245"/>
      <c r="AO7" s="1245"/>
      <c r="AP7" s="1245"/>
      <c r="AQ7" s="1245"/>
      <c r="AR7" s="1245"/>
      <c r="AS7" s="1245"/>
      <c r="AT7" s="1245"/>
      <c r="AU7" s="1245"/>
      <c r="AV7" s="1245"/>
      <c r="AW7" s="1245"/>
      <c r="AX7" s="1245"/>
      <c r="AY7" s="2154" t="s">
        <v>1282</v>
      </c>
      <c r="AZ7" s="2155"/>
      <c r="BA7" s="2154" t="s">
        <v>1282</v>
      </c>
      <c r="BB7" s="2155"/>
      <c r="BC7" s="1249"/>
      <c r="BD7" s="1249"/>
      <c r="BE7" s="1245"/>
      <c r="BF7" s="1245"/>
      <c r="BG7" s="1245"/>
      <c r="BH7" s="1245"/>
      <c r="BI7" s="1245"/>
      <c r="BJ7" s="1245"/>
      <c r="BK7" s="2154" t="s">
        <v>1282</v>
      </c>
      <c r="BL7" s="2155"/>
    </row>
    <row r="8" spans="1:64" ht="11.85" customHeight="1">
      <c r="A8" s="1508" t="s">
        <v>516</v>
      </c>
      <c r="B8" s="1509" t="s">
        <v>1273</v>
      </c>
      <c r="C8" s="1506" t="s">
        <v>2656</v>
      </c>
      <c r="D8" s="1506" t="s">
        <v>2656</v>
      </c>
      <c r="E8" s="1506" t="s">
        <v>2664</v>
      </c>
      <c r="F8" s="1506" t="s">
        <v>2657</v>
      </c>
      <c r="G8" s="1506" t="s">
        <v>2657</v>
      </c>
      <c r="H8" s="1506" t="s">
        <v>2656</v>
      </c>
      <c r="I8" s="1506" t="s">
        <v>2657</v>
      </c>
      <c r="J8" s="1506" t="s">
        <v>2657</v>
      </c>
      <c r="K8" s="1506" t="s">
        <v>2668</v>
      </c>
      <c r="L8" s="1506" t="s">
        <v>2662</v>
      </c>
      <c r="M8" s="1506" t="s">
        <v>2662</v>
      </c>
      <c r="N8" s="1506" t="s">
        <v>2657</v>
      </c>
      <c r="O8" s="1506" t="s">
        <v>2667</v>
      </c>
      <c r="P8" s="1506" t="s">
        <v>2656</v>
      </c>
      <c r="Q8" s="1506" t="s">
        <v>2656</v>
      </c>
      <c r="R8" s="1508" t="s">
        <v>516</v>
      </c>
      <c r="S8" s="1509" t="s">
        <v>1273</v>
      </c>
      <c r="T8" s="1508" t="s">
        <v>516</v>
      </c>
      <c r="U8" s="1509" t="s">
        <v>1273</v>
      </c>
      <c r="V8" s="1246" t="s">
        <v>2668</v>
      </c>
      <c r="W8" s="1246" t="s">
        <v>2666</v>
      </c>
      <c r="X8" s="1246" t="s">
        <v>2659</v>
      </c>
      <c r="Y8" s="1246" t="s">
        <v>2662</v>
      </c>
      <c r="Z8" s="1246" t="s">
        <v>2662</v>
      </c>
      <c r="AA8" s="1246" t="s">
        <v>2666</v>
      </c>
      <c r="AB8" s="1246" t="s">
        <v>2666</v>
      </c>
      <c r="AC8" s="1246" t="s">
        <v>2659</v>
      </c>
      <c r="AD8" s="1246" t="s">
        <v>2657</v>
      </c>
      <c r="AE8" s="1246" t="s">
        <v>2657</v>
      </c>
      <c r="AF8" s="1246" t="s">
        <v>2830</v>
      </c>
      <c r="AG8" s="1246" t="s">
        <v>2662</v>
      </c>
      <c r="AH8" s="1508" t="s">
        <v>516</v>
      </c>
      <c r="AI8" s="1509" t="s">
        <v>1273</v>
      </c>
      <c r="AJ8" s="1508" t="s">
        <v>516</v>
      </c>
      <c r="AK8" s="1509" t="s">
        <v>1273</v>
      </c>
      <c r="AL8" s="1244" t="s">
        <v>2656</v>
      </c>
      <c r="AM8" s="1244" t="s">
        <v>2662</v>
      </c>
      <c r="AN8" s="1244" t="s">
        <v>2669</v>
      </c>
      <c r="AO8" s="1244" t="s">
        <v>2668</v>
      </c>
      <c r="AP8" s="1244" t="s">
        <v>2667</v>
      </c>
      <c r="AQ8" s="1244" t="s">
        <v>2667</v>
      </c>
      <c r="AR8" s="1244" t="s">
        <v>2670</v>
      </c>
      <c r="AS8" s="1244" t="s">
        <v>2659</v>
      </c>
      <c r="AT8" s="1244" t="s">
        <v>2666</v>
      </c>
      <c r="AU8" s="1244" t="s">
        <v>2656</v>
      </c>
      <c r="AV8" s="1244" t="s">
        <v>2662</v>
      </c>
      <c r="AW8" s="1244" t="s">
        <v>2666</v>
      </c>
      <c r="AX8" s="1244" t="s">
        <v>2659</v>
      </c>
      <c r="AY8" s="1508" t="s">
        <v>516</v>
      </c>
      <c r="AZ8" s="1509" t="s">
        <v>1273</v>
      </c>
      <c r="BA8" s="1508" t="s">
        <v>516</v>
      </c>
      <c r="BB8" s="1509" t="s">
        <v>1273</v>
      </c>
      <c r="BC8" s="1244" t="s">
        <v>2666</v>
      </c>
      <c r="BD8" s="1244" t="s">
        <v>2672</v>
      </c>
      <c r="BE8" s="1244" t="s">
        <v>2668</v>
      </c>
      <c r="BF8" s="1244" t="s">
        <v>2659</v>
      </c>
      <c r="BG8" s="1244" t="s">
        <v>2666</v>
      </c>
      <c r="BH8" s="1244" t="s">
        <v>2673</v>
      </c>
      <c r="BI8" s="1244" t="s">
        <v>2669</v>
      </c>
      <c r="BJ8" s="1244" t="s">
        <v>2672</v>
      </c>
      <c r="BK8" s="1508" t="s">
        <v>516</v>
      </c>
      <c r="BL8" s="1509" t="s">
        <v>1273</v>
      </c>
    </row>
    <row r="9" spans="1:64" ht="11.85" customHeight="1">
      <c r="A9" s="1510" t="s">
        <v>729</v>
      </c>
      <c r="B9" s="1511" t="s">
        <v>1274</v>
      </c>
      <c r="C9" s="1355" t="s">
        <v>2656</v>
      </c>
      <c r="D9" s="1355" t="s">
        <v>2656</v>
      </c>
      <c r="E9" s="1355" t="s">
        <v>2664</v>
      </c>
      <c r="F9" s="1245" t="s">
        <v>2657</v>
      </c>
      <c r="G9" s="1245" t="s">
        <v>2657</v>
      </c>
      <c r="H9" s="1245" t="s">
        <v>2656</v>
      </c>
      <c r="I9" s="1245" t="s">
        <v>2657</v>
      </c>
      <c r="J9" s="1245" t="s">
        <v>2657</v>
      </c>
      <c r="K9" s="1245" t="s">
        <v>2659</v>
      </c>
      <c r="L9" s="1245" t="s">
        <v>2662</v>
      </c>
      <c r="M9" s="1245" t="s">
        <v>2671</v>
      </c>
      <c r="N9" s="1245" t="s">
        <v>2667</v>
      </c>
      <c r="O9" s="1245" t="s">
        <v>2667</v>
      </c>
      <c r="P9" s="1245" t="s">
        <v>2670</v>
      </c>
      <c r="Q9" s="1245" t="s">
        <v>2657</v>
      </c>
      <c r="R9" s="1510" t="s">
        <v>729</v>
      </c>
      <c r="S9" s="1511" t="s">
        <v>1274</v>
      </c>
      <c r="T9" s="1510" t="s">
        <v>729</v>
      </c>
      <c r="U9" s="1511" t="s">
        <v>1274</v>
      </c>
      <c r="V9" s="1247" t="s">
        <v>2666</v>
      </c>
      <c r="W9" s="1247" t="s">
        <v>2657</v>
      </c>
      <c r="X9" s="1247" t="s">
        <v>2659</v>
      </c>
      <c r="Y9" s="1247" t="s">
        <v>2660</v>
      </c>
      <c r="Z9" s="1247" t="s">
        <v>2659</v>
      </c>
      <c r="AA9" s="1247" t="s">
        <v>2662</v>
      </c>
      <c r="AB9" s="1247" t="s">
        <v>2659</v>
      </c>
      <c r="AC9" s="1247" t="s">
        <v>2659</v>
      </c>
      <c r="AD9" s="1247" t="s">
        <v>2657</v>
      </c>
      <c r="AE9" s="1247" t="s">
        <v>2667</v>
      </c>
      <c r="AF9" s="1247" t="s">
        <v>2692</v>
      </c>
      <c r="AG9" s="1247" t="s">
        <v>2659</v>
      </c>
      <c r="AH9" s="1510" t="s">
        <v>729</v>
      </c>
      <c r="AI9" s="1511" t="s">
        <v>1274</v>
      </c>
      <c r="AJ9" s="1510" t="s">
        <v>729</v>
      </c>
      <c r="AK9" s="1511" t="s">
        <v>1274</v>
      </c>
      <c r="AL9" s="1245" t="s">
        <v>2656</v>
      </c>
      <c r="AM9" s="1245" t="s">
        <v>2659</v>
      </c>
      <c r="AN9" s="1245" t="s">
        <v>2675</v>
      </c>
      <c r="AO9" s="1245" t="s">
        <v>2669</v>
      </c>
      <c r="AP9" s="1245" t="s">
        <v>2683</v>
      </c>
      <c r="AQ9" s="1245" t="s">
        <v>2661</v>
      </c>
      <c r="AR9" s="1245" t="s">
        <v>2676</v>
      </c>
      <c r="AS9" s="1245" t="s">
        <v>2657</v>
      </c>
      <c r="AT9" s="1245" t="s">
        <v>2659</v>
      </c>
      <c r="AU9" s="1245" t="s">
        <v>2667</v>
      </c>
      <c r="AV9" s="1245" t="s">
        <v>2657</v>
      </c>
      <c r="AW9" s="1245" t="s">
        <v>2662</v>
      </c>
      <c r="AX9" s="1245" t="s">
        <v>2659</v>
      </c>
      <c r="AY9" s="1510" t="s">
        <v>729</v>
      </c>
      <c r="AZ9" s="1511" t="s">
        <v>1274</v>
      </c>
      <c r="BA9" s="1510" t="s">
        <v>729</v>
      </c>
      <c r="BB9" s="1511" t="s">
        <v>1274</v>
      </c>
      <c r="BC9" s="1245" t="s">
        <v>2666</v>
      </c>
      <c r="BD9" s="1245" t="s">
        <v>2672</v>
      </c>
      <c r="BE9" s="1245" t="s">
        <v>2669</v>
      </c>
      <c r="BF9" s="1245" t="s">
        <v>2659</v>
      </c>
      <c r="BG9" s="1245" t="s">
        <v>2665</v>
      </c>
      <c r="BH9" s="1245" t="s">
        <v>2677</v>
      </c>
      <c r="BI9" s="1245" t="s">
        <v>2669</v>
      </c>
      <c r="BJ9" s="1245" t="s">
        <v>2747</v>
      </c>
      <c r="BK9" s="1510" t="s">
        <v>729</v>
      </c>
      <c r="BL9" s="1511" t="s">
        <v>1274</v>
      </c>
    </row>
    <row r="10" spans="1:64" ht="11.85" customHeight="1">
      <c r="A10" s="1508" t="s">
        <v>490</v>
      </c>
      <c r="B10" s="1509" t="s">
        <v>1275</v>
      </c>
      <c r="C10" s="1506" t="s">
        <v>2656</v>
      </c>
      <c r="D10" s="1506" t="s">
        <v>2656</v>
      </c>
      <c r="E10" s="1506" t="s">
        <v>2664</v>
      </c>
      <c r="F10" s="1244" t="s">
        <v>2657</v>
      </c>
      <c r="G10" s="1244" t="s">
        <v>2657</v>
      </c>
      <c r="H10" s="1244" t="s">
        <v>2656</v>
      </c>
      <c r="I10" s="1244" t="s">
        <v>2657</v>
      </c>
      <c r="J10" s="1244" t="s">
        <v>2657</v>
      </c>
      <c r="K10" s="1244" t="s">
        <v>2657</v>
      </c>
      <c r="L10" s="1244" t="s">
        <v>2662</v>
      </c>
      <c r="M10" s="1244" t="s">
        <v>2670</v>
      </c>
      <c r="N10" s="1244" t="s">
        <v>2661</v>
      </c>
      <c r="O10" s="1244" t="s">
        <v>2667</v>
      </c>
      <c r="P10" s="1244" t="s">
        <v>2661</v>
      </c>
      <c r="Q10" s="1244" t="s">
        <v>2661</v>
      </c>
      <c r="R10" s="1508" t="s">
        <v>490</v>
      </c>
      <c r="S10" s="1509" t="s">
        <v>1275</v>
      </c>
      <c r="T10" s="1508" t="s">
        <v>490</v>
      </c>
      <c r="U10" s="1509" t="s">
        <v>1275</v>
      </c>
      <c r="V10" s="1246" t="s">
        <v>2662</v>
      </c>
      <c r="W10" s="1246" t="s">
        <v>2657</v>
      </c>
      <c r="X10" s="1246" t="s">
        <v>2656</v>
      </c>
      <c r="Y10" s="1246" t="s">
        <v>2656</v>
      </c>
      <c r="Z10" s="1246" t="s">
        <v>2662</v>
      </c>
      <c r="AA10" s="1246" t="s">
        <v>2671</v>
      </c>
      <c r="AB10" s="1246" t="s">
        <v>2656</v>
      </c>
      <c r="AC10" s="1246" t="s">
        <v>2659</v>
      </c>
      <c r="AD10" s="1246" t="s">
        <v>2657</v>
      </c>
      <c r="AE10" s="1246" t="s">
        <v>2661</v>
      </c>
      <c r="AF10" s="1246" t="s">
        <v>2692</v>
      </c>
      <c r="AG10" s="1246" t="s">
        <v>2656</v>
      </c>
      <c r="AH10" s="1508" t="s">
        <v>490</v>
      </c>
      <c r="AI10" s="1509" t="s">
        <v>1275</v>
      </c>
      <c r="AJ10" s="1508" t="s">
        <v>490</v>
      </c>
      <c r="AK10" s="1509" t="s">
        <v>1275</v>
      </c>
      <c r="AL10" s="1244" t="s">
        <v>2657</v>
      </c>
      <c r="AM10" s="1244" t="s">
        <v>2656</v>
      </c>
      <c r="AN10" s="1244" t="s">
        <v>2678</v>
      </c>
      <c r="AO10" s="1244" t="s">
        <v>2666</v>
      </c>
      <c r="AP10" s="1244" t="s">
        <v>2702</v>
      </c>
      <c r="AQ10" s="1244" t="s">
        <v>2676</v>
      </c>
      <c r="AR10" s="1244" t="s">
        <v>2676</v>
      </c>
      <c r="AS10" s="1244" t="s">
        <v>2676</v>
      </c>
      <c r="AT10" s="1244" t="s">
        <v>2659</v>
      </c>
      <c r="AU10" s="1244" t="s">
        <v>2661</v>
      </c>
      <c r="AV10" s="1244" t="s">
        <v>2679</v>
      </c>
      <c r="AW10" s="1244" t="s">
        <v>2659</v>
      </c>
      <c r="AX10" s="1244" t="s">
        <v>2659</v>
      </c>
      <c r="AY10" s="1508" t="s">
        <v>490</v>
      </c>
      <c r="AZ10" s="1509" t="s">
        <v>1275</v>
      </c>
      <c r="BA10" s="1508" t="s">
        <v>490</v>
      </c>
      <c r="BB10" s="1509" t="s">
        <v>1275</v>
      </c>
      <c r="BC10" s="1244" t="s">
        <v>2665</v>
      </c>
      <c r="BD10" s="1244" t="s">
        <v>2680</v>
      </c>
      <c r="BE10" s="1244" t="s">
        <v>2669</v>
      </c>
      <c r="BF10" s="1244" t="s">
        <v>2659</v>
      </c>
      <c r="BG10" s="1244" t="s">
        <v>2662</v>
      </c>
      <c r="BH10" s="1244" t="s">
        <v>2681</v>
      </c>
      <c r="BI10" s="1244" t="s">
        <v>2669</v>
      </c>
      <c r="BJ10" s="1244" t="s">
        <v>2668</v>
      </c>
      <c r="BK10" s="1508" t="s">
        <v>490</v>
      </c>
      <c r="BL10" s="1509" t="s">
        <v>1275</v>
      </c>
    </row>
    <row r="11" spans="1:64" ht="11.85" customHeight="1">
      <c r="A11" s="1510" t="s">
        <v>491</v>
      </c>
      <c r="B11" s="1511" t="s">
        <v>1276</v>
      </c>
      <c r="C11" s="1355" t="s">
        <v>2664</v>
      </c>
      <c r="D11" s="1355" t="s">
        <v>2664</v>
      </c>
      <c r="E11" s="1355" t="s">
        <v>2664</v>
      </c>
      <c r="F11" s="1245" t="s">
        <v>2657</v>
      </c>
      <c r="G11" s="1245" t="s">
        <v>2657</v>
      </c>
      <c r="H11" s="1245" t="s">
        <v>2656</v>
      </c>
      <c r="I11" s="1245" t="s">
        <v>2657</v>
      </c>
      <c r="J11" s="1245" t="s">
        <v>2657</v>
      </c>
      <c r="K11" s="1245" t="s">
        <v>2676</v>
      </c>
      <c r="L11" s="1245" t="s">
        <v>2656</v>
      </c>
      <c r="M11" s="1245" t="s">
        <v>2661</v>
      </c>
      <c r="N11" s="1245" t="s">
        <v>2676</v>
      </c>
      <c r="O11" s="1245" t="s">
        <v>2667</v>
      </c>
      <c r="P11" s="1245" t="s">
        <v>2702</v>
      </c>
      <c r="Q11" s="1245" t="s">
        <v>2679</v>
      </c>
      <c r="R11" s="1510" t="s">
        <v>491</v>
      </c>
      <c r="S11" s="1511" t="s">
        <v>1276</v>
      </c>
      <c r="T11" s="1510" t="s">
        <v>491</v>
      </c>
      <c r="U11" s="1511" t="s">
        <v>1276</v>
      </c>
      <c r="V11" s="1247" t="s">
        <v>2659</v>
      </c>
      <c r="W11" s="1247" t="s">
        <v>2679</v>
      </c>
      <c r="X11" s="1247" t="s">
        <v>2657</v>
      </c>
      <c r="Y11" s="1247" t="s">
        <v>2664</v>
      </c>
      <c r="Z11" s="1247" t="s">
        <v>2662</v>
      </c>
      <c r="AA11" s="1247" t="s">
        <v>2671</v>
      </c>
      <c r="AB11" s="1247" t="s">
        <v>2656</v>
      </c>
      <c r="AC11" s="1247" t="s">
        <v>2656</v>
      </c>
      <c r="AD11" s="1247" t="s">
        <v>2657</v>
      </c>
      <c r="AE11" s="1247" t="s">
        <v>2676</v>
      </c>
      <c r="AF11" s="1247" t="s">
        <v>2692</v>
      </c>
      <c r="AG11" s="1247" t="s">
        <v>2661</v>
      </c>
      <c r="AH11" s="1510" t="s">
        <v>491</v>
      </c>
      <c r="AI11" s="1511" t="s">
        <v>1276</v>
      </c>
      <c r="AJ11" s="1510" t="s">
        <v>491</v>
      </c>
      <c r="AK11" s="1511" t="s">
        <v>1276</v>
      </c>
      <c r="AL11" s="1245" t="s">
        <v>2661</v>
      </c>
      <c r="AM11" s="1245" t="s">
        <v>2656</v>
      </c>
      <c r="AN11" s="1245" t="s">
        <v>2684</v>
      </c>
      <c r="AO11" s="1245" t="s">
        <v>2659</v>
      </c>
      <c r="AP11" s="1245" t="s">
        <v>2682</v>
      </c>
      <c r="AQ11" s="1245" t="s">
        <v>2683</v>
      </c>
      <c r="AR11" s="1245" t="s">
        <v>2683</v>
      </c>
      <c r="AS11" s="1245" t="s">
        <v>2676</v>
      </c>
      <c r="AT11" s="1245" t="s">
        <v>2656</v>
      </c>
      <c r="AU11" s="1245" t="s">
        <v>2676</v>
      </c>
      <c r="AV11" s="1245" t="s">
        <v>2689</v>
      </c>
      <c r="AW11" s="1245" t="s">
        <v>2656</v>
      </c>
      <c r="AX11" s="1245" t="s">
        <v>2659</v>
      </c>
      <c r="AY11" s="1510" t="s">
        <v>491</v>
      </c>
      <c r="AZ11" s="1511" t="s">
        <v>1276</v>
      </c>
      <c r="BA11" s="1510" t="s">
        <v>491</v>
      </c>
      <c r="BB11" s="1511" t="s">
        <v>1276</v>
      </c>
      <c r="BC11" s="1245" t="s">
        <v>2662</v>
      </c>
      <c r="BD11" s="1245" t="s">
        <v>2666</v>
      </c>
      <c r="BE11" s="1245" t="s">
        <v>2669</v>
      </c>
      <c r="BF11" s="1245" t="s">
        <v>2659</v>
      </c>
      <c r="BG11" s="1245" t="s">
        <v>2659</v>
      </c>
      <c r="BH11" s="1245" t="s">
        <v>2668</v>
      </c>
      <c r="BI11" s="1245" t="s">
        <v>2669</v>
      </c>
      <c r="BJ11" s="1245" t="s">
        <v>2678</v>
      </c>
      <c r="BK11" s="1510" t="s">
        <v>491</v>
      </c>
      <c r="BL11" s="1511" t="s">
        <v>1276</v>
      </c>
    </row>
    <row r="12" spans="1:64" ht="11.85" customHeight="1">
      <c r="A12" s="1508" t="s">
        <v>514</v>
      </c>
      <c r="B12" s="1509" t="s">
        <v>2190</v>
      </c>
      <c r="C12" s="1506" t="s">
        <v>2657</v>
      </c>
      <c r="D12" s="1506" t="s">
        <v>2657</v>
      </c>
      <c r="E12" s="1506" t="s">
        <v>2664</v>
      </c>
      <c r="F12" s="1244" t="s">
        <v>2657</v>
      </c>
      <c r="G12" s="1244" t="s">
        <v>2657</v>
      </c>
      <c r="H12" s="1244" t="s">
        <v>2656</v>
      </c>
      <c r="I12" s="1244" t="s">
        <v>2657</v>
      </c>
      <c r="J12" s="1244" t="s">
        <v>2657</v>
      </c>
      <c r="K12" s="1244" t="s">
        <v>2828</v>
      </c>
      <c r="L12" s="1244" t="s">
        <v>2656</v>
      </c>
      <c r="M12" s="1244" t="s">
        <v>2676</v>
      </c>
      <c r="N12" s="1244" t="s">
        <v>2828</v>
      </c>
      <c r="O12" s="1244" t="s">
        <v>2667</v>
      </c>
      <c r="P12" s="1244" t="s">
        <v>2689</v>
      </c>
      <c r="Q12" s="1244" t="s">
        <v>2679</v>
      </c>
      <c r="R12" s="1508" t="s">
        <v>514</v>
      </c>
      <c r="S12" s="1509" t="s">
        <v>2190</v>
      </c>
      <c r="T12" s="1508" t="s">
        <v>514</v>
      </c>
      <c r="U12" s="1509" t="s">
        <v>2190</v>
      </c>
      <c r="V12" s="1246" t="s">
        <v>2659</v>
      </c>
      <c r="W12" s="1246" t="s">
        <v>2679</v>
      </c>
      <c r="X12" s="1246" t="s">
        <v>2657</v>
      </c>
      <c r="Y12" s="1246" t="s">
        <v>2657</v>
      </c>
      <c r="Z12" s="1246" t="s">
        <v>2659</v>
      </c>
      <c r="AA12" s="1246" t="s">
        <v>2657</v>
      </c>
      <c r="AB12" s="1246" t="s">
        <v>2656</v>
      </c>
      <c r="AC12" s="1246" t="s">
        <v>2657</v>
      </c>
      <c r="AD12" s="1246" t="s">
        <v>2657</v>
      </c>
      <c r="AE12" s="1246" t="s">
        <v>2679</v>
      </c>
      <c r="AF12" s="1246" t="s">
        <v>2692</v>
      </c>
      <c r="AG12" s="1246" t="s">
        <v>2679</v>
      </c>
      <c r="AH12" s="1508" t="s">
        <v>514</v>
      </c>
      <c r="AI12" s="1509" t="s">
        <v>2190</v>
      </c>
      <c r="AJ12" s="1508" t="s">
        <v>514</v>
      </c>
      <c r="AK12" s="1509" t="s">
        <v>2190</v>
      </c>
      <c r="AL12" s="1244" t="s">
        <v>2679</v>
      </c>
      <c r="AM12" s="1244" t="s">
        <v>2657</v>
      </c>
      <c r="AN12" s="1244" t="s">
        <v>2666</v>
      </c>
      <c r="AO12" s="1244" t="s">
        <v>2657</v>
      </c>
      <c r="AP12" s="1244" t="s">
        <v>2682</v>
      </c>
      <c r="AQ12" s="1244" t="s">
        <v>2679</v>
      </c>
      <c r="AR12" s="1244" t="s">
        <v>2683</v>
      </c>
      <c r="AS12" s="1244" t="s">
        <v>2676</v>
      </c>
      <c r="AT12" s="1244" t="s">
        <v>2656</v>
      </c>
      <c r="AU12" s="1244" t="s">
        <v>2679</v>
      </c>
      <c r="AV12" s="1244" t="s">
        <v>2830</v>
      </c>
      <c r="AW12" s="1244" t="s">
        <v>2682</v>
      </c>
      <c r="AX12" s="1244" t="s">
        <v>2659</v>
      </c>
      <c r="AY12" s="1508" t="s">
        <v>514</v>
      </c>
      <c r="AZ12" s="1509" t="s">
        <v>2190</v>
      </c>
      <c r="BA12" s="1508" t="s">
        <v>514</v>
      </c>
      <c r="BB12" s="1509" t="s">
        <v>2190</v>
      </c>
      <c r="BC12" s="1244" t="s">
        <v>2657</v>
      </c>
      <c r="BD12" s="1244" t="s">
        <v>2666</v>
      </c>
      <c r="BE12" s="1244" t="s">
        <v>2669</v>
      </c>
      <c r="BF12" s="1244" t="s">
        <v>2659</v>
      </c>
      <c r="BG12" s="1244" t="s">
        <v>2656</v>
      </c>
      <c r="BH12" s="1244" t="s">
        <v>2672</v>
      </c>
      <c r="BI12" s="1244" t="s">
        <v>2669</v>
      </c>
      <c r="BJ12" s="1244" t="s">
        <v>2666</v>
      </c>
      <c r="BK12" s="1508" t="s">
        <v>514</v>
      </c>
      <c r="BL12" s="1509" t="s">
        <v>2190</v>
      </c>
    </row>
    <row r="13" spans="1:64" ht="11.85" customHeight="1">
      <c r="A13" s="2153" t="s">
        <v>36</v>
      </c>
      <c r="B13" s="2153"/>
      <c r="C13" s="1512"/>
      <c r="D13" s="1512"/>
      <c r="E13" s="1512"/>
      <c r="F13" s="1512"/>
      <c r="G13" s="1512"/>
      <c r="H13" s="1512"/>
      <c r="I13" s="1512"/>
      <c r="J13" s="1512"/>
      <c r="K13" s="1513"/>
      <c r="L13" s="1512"/>
      <c r="M13" s="1512"/>
      <c r="N13" s="1512"/>
      <c r="O13" s="1512"/>
      <c r="P13" s="1512"/>
      <c r="Q13" s="1512"/>
      <c r="R13" s="2153" t="s">
        <v>36</v>
      </c>
      <c r="S13" s="2153"/>
      <c r="T13" s="2153" t="s">
        <v>36</v>
      </c>
      <c r="U13" s="2153"/>
      <c r="V13" s="1507"/>
      <c r="W13" s="1507"/>
      <c r="X13" s="1507"/>
      <c r="Y13" s="1507"/>
      <c r="Z13" s="1507"/>
      <c r="AA13" s="1507"/>
      <c r="AB13" s="1507"/>
      <c r="AC13" s="1507"/>
      <c r="AD13" s="1507"/>
      <c r="AE13" s="1507"/>
      <c r="AF13" s="1507"/>
      <c r="AG13" s="1247"/>
      <c r="AH13" s="2153" t="s">
        <v>36</v>
      </c>
      <c r="AI13" s="2153"/>
      <c r="AJ13" s="2153" t="s">
        <v>36</v>
      </c>
      <c r="AK13" s="2153"/>
      <c r="AL13" s="1249"/>
      <c r="AM13" s="1249"/>
      <c r="AN13" s="1249"/>
      <c r="AO13" s="1249"/>
      <c r="AP13" s="1249"/>
      <c r="AQ13" s="1249"/>
      <c r="AR13" s="1249"/>
      <c r="AS13" s="1249"/>
      <c r="AT13" s="1249"/>
      <c r="AU13" s="1249"/>
      <c r="AV13" s="1249"/>
      <c r="AW13" s="1249"/>
      <c r="AX13" s="1249"/>
      <c r="AY13" s="2153" t="s">
        <v>36</v>
      </c>
      <c r="AZ13" s="2153"/>
      <c r="BA13" s="2153" t="s">
        <v>36</v>
      </c>
      <c r="BB13" s="2153"/>
      <c r="BC13" s="1249"/>
      <c r="BD13" s="1249"/>
      <c r="BE13" s="1249"/>
      <c r="BF13" s="1249"/>
      <c r="BG13" s="1249"/>
      <c r="BH13" s="1249"/>
      <c r="BI13" s="1245"/>
      <c r="BJ13" s="1245"/>
      <c r="BK13" s="2153" t="s">
        <v>36</v>
      </c>
      <c r="BL13" s="2153"/>
    </row>
    <row r="14" spans="1:64" ht="11.85" customHeight="1">
      <c r="A14" s="1508" t="s">
        <v>516</v>
      </c>
      <c r="B14" s="1509" t="s">
        <v>1277</v>
      </c>
      <c r="C14" s="1506" t="s">
        <v>2676</v>
      </c>
      <c r="D14" s="1506" t="s">
        <v>2683</v>
      </c>
      <c r="E14" s="1244" t="s">
        <v>2674</v>
      </c>
      <c r="F14" s="1244" t="s">
        <v>2674</v>
      </c>
      <c r="G14" s="1244" t="s">
        <v>2676</v>
      </c>
      <c r="H14" s="1244" t="s">
        <v>2679</v>
      </c>
      <c r="I14" s="1244" t="s">
        <v>2683</v>
      </c>
      <c r="J14" s="1246" t="s">
        <v>2474</v>
      </c>
      <c r="K14" s="1244" t="s">
        <v>2039</v>
      </c>
      <c r="L14" s="1244" t="s">
        <v>2271</v>
      </c>
      <c r="M14" s="1244" t="s">
        <v>2693</v>
      </c>
      <c r="N14" s="1244" t="s">
        <v>2691</v>
      </c>
      <c r="O14" s="1244" t="s">
        <v>2679</v>
      </c>
      <c r="P14" s="1244" t="s">
        <v>2679</v>
      </c>
      <c r="Q14" s="1609" t="s">
        <v>2478</v>
      </c>
      <c r="R14" s="1508" t="s">
        <v>516</v>
      </c>
      <c r="S14" s="1509" t="s">
        <v>1277</v>
      </c>
      <c r="T14" s="1508" t="s">
        <v>516</v>
      </c>
      <c r="U14" s="1509" t="s">
        <v>1277</v>
      </c>
      <c r="V14" s="1246" t="s">
        <v>2819</v>
      </c>
      <c r="W14" s="1246" t="s">
        <v>2557</v>
      </c>
      <c r="X14" s="1246" t="s">
        <v>2861</v>
      </c>
      <c r="Y14" s="1246" t="s">
        <v>2679</v>
      </c>
      <c r="Z14" s="1246" t="s">
        <v>2679</v>
      </c>
      <c r="AA14" s="1246" t="s">
        <v>2773</v>
      </c>
      <c r="AB14" s="1246" t="s">
        <v>2685</v>
      </c>
      <c r="AC14" s="1246" t="s">
        <v>2679</v>
      </c>
      <c r="AD14" s="1246" t="s">
        <v>1728</v>
      </c>
      <c r="AE14" s="1246" t="s">
        <v>2010</v>
      </c>
      <c r="AF14" s="1246" t="s">
        <v>2691</v>
      </c>
      <c r="AG14" s="1246" t="s">
        <v>2774</v>
      </c>
      <c r="AH14" s="1508" t="s">
        <v>516</v>
      </c>
      <c r="AI14" s="1509" t="s">
        <v>1277</v>
      </c>
      <c r="AJ14" s="1508" t="s">
        <v>516</v>
      </c>
      <c r="AK14" s="1509" t="s">
        <v>1277</v>
      </c>
      <c r="AL14" s="1244" t="s">
        <v>2679</v>
      </c>
      <c r="AM14" s="1244" t="s">
        <v>2039</v>
      </c>
      <c r="AN14" s="1244" t="s">
        <v>2689</v>
      </c>
      <c r="AO14" s="1248" t="s">
        <v>2863</v>
      </c>
      <c r="AP14" s="1244" t="s">
        <v>2864</v>
      </c>
      <c r="AQ14" s="1246" t="s">
        <v>2693</v>
      </c>
      <c r="AR14" s="1244" t="s">
        <v>2039</v>
      </c>
      <c r="AS14" s="1244" t="s">
        <v>2272</v>
      </c>
      <c r="AT14" s="1244" t="s">
        <v>2770</v>
      </c>
      <c r="AU14" s="1244" t="s">
        <v>2865</v>
      </c>
      <c r="AV14" s="1244" t="s">
        <v>1728</v>
      </c>
      <c r="AW14" s="1244" t="s">
        <v>2772</v>
      </c>
      <c r="AX14" s="1244" t="s">
        <v>2679</v>
      </c>
      <c r="AY14" s="1508" t="s">
        <v>516</v>
      </c>
      <c r="AZ14" s="1509" t="s">
        <v>1277</v>
      </c>
      <c r="BA14" s="1508" t="s">
        <v>516</v>
      </c>
      <c r="BB14" s="1509" t="s">
        <v>1277</v>
      </c>
      <c r="BC14" s="1244" t="s">
        <v>2276</v>
      </c>
      <c r="BD14" s="1244" t="s">
        <v>2879</v>
      </c>
      <c r="BE14" s="1244" t="s">
        <v>2679</v>
      </c>
      <c r="BF14" s="1244" t="s">
        <v>2823</v>
      </c>
      <c r="BG14" s="1244" t="s">
        <v>2679</v>
      </c>
      <c r="BH14" s="1244" t="s">
        <v>2838</v>
      </c>
      <c r="BI14" s="1244" t="s">
        <v>2839</v>
      </c>
      <c r="BJ14" s="1244" t="s">
        <v>2765</v>
      </c>
      <c r="BK14" s="1508" t="s">
        <v>516</v>
      </c>
      <c r="BL14" s="1509" t="s">
        <v>1277</v>
      </c>
    </row>
    <row r="15" spans="1:64" ht="11.85" customHeight="1">
      <c r="A15" s="1510" t="s">
        <v>729</v>
      </c>
      <c r="B15" s="1511" t="s">
        <v>1278</v>
      </c>
      <c r="C15" s="1355" t="s">
        <v>2683</v>
      </c>
      <c r="D15" s="1245" t="s">
        <v>2688</v>
      </c>
      <c r="E15" s="1245" t="s">
        <v>2676</v>
      </c>
      <c r="F15" s="1245" t="s">
        <v>2676</v>
      </c>
      <c r="G15" s="1245" t="s">
        <v>2683</v>
      </c>
      <c r="H15" s="1245" t="s">
        <v>2679</v>
      </c>
      <c r="I15" s="1245" t="s">
        <v>2688</v>
      </c>
      <c r="J15" s="1247" t="s">
        <v>2742</v>
      </c>
      <c r="K15" s="1245" t="s">
        <v>2856</v>
      </c>
      <c r="L15" s="1245" t="s">
        <v>2775</v>
      </c>
      <c r="M15" s="1245" t="s">
        <v>2776</v>
      </c>
      <c r="N15" s="1245" t="s">
        <v>2829</v>
      </c>
      <c r="O15" s="1245" t="s">
        <v>2776</v>
      </c>
      <c r="P15" s="1245" t="s">
        <v>2557</v>
      </c>
      <c r="Q15" s="1245" t="s">
        <v>2857</v>
      </c>
      <c r="R15" s="1510" t="s">
        <v>729</v>
      </c>
      <c r="S15" s="1511" t="s">
        <v>1278</v>
      </c>
      <c r="T15" s="1510" t="s">
        <v>729</v>
      </c>
      <c r="U15" s="1511" t="s">
        <v>1278</v>
      </c>
      <c r="V15" s="1247" t="s">
        <v>2820</v>
      </c>
      <c r="W15" s="1247" t="s">
        <v>2775</v>
      </c>
      <c r="X15" s="1247" t="s">
        <v>2861</v>
      </c>
      <c r="Y15" s="1247" t="s">
        <v>2475</v>
      </c>
      <c r="Z15" s="1247" t="s">
        <v>2830</v>
      </c>
      <c r="AA15" s="1247" t="s">
        <v>2770</v>
      </c>
      <c r="AB15" s="1247" t="s">
        <v>2690</v>
      </c>
      <c r="AC15" s="1247" t="s">
        <v>2273</v>
      </c>
      <c r="AD15" s="1247" t="s">
        <v>2832</v>
      </c>
      <c r="AE15" s="1247" t="s">
        <v>2010</v>
      </c>
      <c r="AF15" s="1247" t="s">
        <v>2694</v>
      </c>
      <c r="AG15" s="1247" t="s">
        <v>2725</v>
      </c>
      <c r="AH15" s="1510" t="s">
        <v>729</v>
      </c>
      <c r="AI15" s="1511" t="s">
        <v>1278</v>
      </c>
      <c r="AJ15" s="1510" t="s">
        <v>729</v>
      </c>
      <c r="AK15" s="1511" t="s">
        <v>1278</v>
      </c>
      <c r="AL15" s="1245" t="s">
        <v>2271</v>
      </c>
      <c r="AM15" s="1245" t="s">
        <v>2682</v>
      </c>
      <c r="AN15" s="1245" t="s">
        <v>2830</v>
      </c>
      <c r="AO15" s="1249" t="s">
        <v>2856</v>
      </c>
      <c r="AP15" s="1245" t="s">
        <v>2695</v>
      </c>
      <c r="AQ15" s="1247" t="s">
        <v>2724</v>
      </c>
      <c r="AR15" s="1245" t="s">
        <v>2866</v>
      </c>
      <c r="AS15" s="1245" t="s">
        <v>2818</v>
      </c>
      <c r="AT15" s="1245" t="s">
        <v>2273</v>
      </c>
      <c r="AU15" s="1245" t="s">
        <v>2866</v>
      </c>
      <c r="AV15" s="1245" t="s">
        <v>2271</v>
      </c>
      <c r="AW15" s="1245" t="s">
        <v>2867</v>
      </c>
      <c r="AX15" s="1245" t="s">
        <v>2447</v>
      </c>
      <c r="AY15" s="1510" t="s">
        <v>729</v>
      </c>
      <c r="AZ15" s="1511" t="s">
        <v>1278</v>
      </c>
      <c r="BA15" s="1510" t="s">
        <v>729</v>
      </c>
      <c r="BB15" s="1511" t="s">
        <v>1278</v>
      </c>
      <c r="BC15" s="1245" t="s">
        <v>2724</v>
      </c>
      <c r="BD15" s="1245" t="s">
        <v>2728</v>
      </c>
      <c r="BE15" s="1245" t="s">
        <v>2682</v>
      </c>
      <c r="BF15" s="1245" t="s">
        <v>2865</v>
      </c>
      <c r="BG15" s="1245" t="s">
        <v>2679</v>
      </c>
      <c r="BH15" s="1245" t="s">
        <v>2840</v>
      </c>
      <c r="BI15" s="1245" t="s">
        <v>2742</v>
      </c>
      <c r="BJ15" s="1245" t="s">
        <v>2748</v>
      </c>
      <c r="BK15" s="1510" t="s">
        <v>729</v>
      </c>
      <c r="BL15" s="1511" t="s">
        <v>1278</v>
      </c>
    </row>
    <row r="16" spans="1:64" ht="11.85" customHeight="1">
      <c r="A16" s="1508" t="s">
        <v>490</v>
      </c>
      <c r="B16" s="1509" t="s">
        <v>1279</v>
      </c>
      <c r="C16" s="1506" t="s">
        <v>2679</v>
      </c>
      <c r="D16" s="1506" t="s">
        <v>2679</v>
      </c>
      <c r="E16" s="1244" t="s">
        <v>2679</v>
      </c>
      <c r="F16" s="1244" t="s">
        <v>2679</v>
      </c>
      <c r="G16" s="1244" t="s">
        <v>2679</v>
      </c>
      <c r="H16" s="1244" t="s">
        <v>2679</v>
      </c>
      <c r="I16" s="1244" t="s">
        <v>2679</v>
      </c>
      <c r="J16" s="1246" t="s">
        <v>2743</v>
      </c>
      <c r="K16" s="1244" t="s">
        <v>2858</v>
      </c>
      <c r="L16" s="1244" t="s">
        <v>2798</v>
      </c>
      <c r="M16" s="1244" t="s">
        <v>2795</v>
      </c>
      <c r="N16" s="1244" t="s">
        <v>2829</v>
      </c>
      <c r="O16" s="1244" t="s">
        <v>2776</v>
      </c>
      <c r="P16" s="1244" t="s">
        <v>2770</v>
      </c>
      <c r="Q16" s="1244" t="s">
        <v>2686</v>
      </c>
      <c r="R16" s="1508" t="s">
        <v>490</v>
      </c>
      <c r="S16" s="1509" t="s">
        <v>1279</v>
      </c>
      <c r="T16" s="1508" t="s">
        <v>490</v>
      </c>
      <c r="U16" s="1509" t="s">
        <v>1279</v>
      </c>
      <c r="V16" s="1246" t="s">
        <v>2269</v>
      </c>
      <c r="W16" s="1246" t="s">
        <v>2775</v>
      </c>
      <c r="X16" s="1246" t="s">
        <v>2856</v>
      </c>
      <c r="Y16" s="1246" t="s">
        <v>2546</v>
      </c>
      <c r="Z16" s="1246" t="s">
        <v>2692</v>
      </c>
      <c r="AA16" s="1246" t="s">
        <v>2775</v>
      </c>
      <c r="AB16" s="1246" t="s">
        <v>2256</v>
      </c>
      <c r="AC16" s="1246" t="s">
        <v>2692</v>
      </c>
      <c r="AD16" s="1246" t="s">
        <v>2833</v>
      </c>
      <c r="AE16" s="1246" t="s">
        <v>2010</v>
      </c>
      <c r="AF16" s="1246" t="s">
        <v>2834</v>
      </c>
      <c r="AG16" s="1246" t="s">
        <v>2477</v>
      </c>
      <c r="AH16" s="1508" t="s">
        <v>490</v>
      </c>
      <c r="AI16" s="1509" t="s">
        <v>1279</v>
      </c>
      <c r="AJ16" s="1508" t="s">
        <v>490</v>
      </c>
      <c r="AK16" s="1509" t="s">
        <v>1279</v>
      </c>
      <c r="AL16" s="1244" t="s">
        <v>2272</v>
      </c>
      <c r="AM16" s="1244" t="s">
        <v>2477</v>
      </c>
      <c r="AN16" s="1244" t="s">
        <v>2686</v>
      </c>
      <c r="AO16" s="1248" t="s">
        <v>2868</v>
      </c>
      <c r="AP16" s="1244" t="s">
        <v>2869</v>
      </c>
      <c r="AQ16" s="1246" t="s">
        <v>2725</v>
      </c>
      <c r="AR16" s="1244" t="s">
        <v>2870</v>
      </c>
      <c r="AS16" s="1244" t="s">
        <v>2795</v>
      </c>
      <c r="AT16" s="1244" t="s">
        <v>2727</v>
      </c>
      <c r="AU16" s="1244" t="s">
        <v>2871</v>
      </c>
      <c r="AV16" s="1244" t="s">
        <v>2272</v>
      </c>
      <c r="AW16" s="1244" t="s">
        <v>2867</v>
      </c>
      <c r="AX16" s="1244" t="s">
        <v>2447</v>
      </c>
      <c r="AY16" s="1508" t="s">
        <v>490</v>
      </c>
      <c r="AZ16" s="1509" t="s">
        <v>1279</v>
      </c>
      <c r="BA16" s="1508" t="s">
        <v>490</v>
      </c>
      <c r="BB16" s="1509" t="s">
        <v>1279</v>
      </c>
      <c r="BC16" s="1248" t="s">
        <v>2880</v>
      </c>
      <c r="BD16" s="1248" t="s">
        <v>2881</v>
      </c>
      <c r="BE16" s="1244" t="s">
        <v>2689</v>
      </c>
      <c r="BF16" s="1244" t="s">
        <v>2882</v>
      </c>
      <c r="BG16" s="1244" t="s">
        <v>2691</v>
      </c>
      <c r="BH16" s="1244" t="s">
        <v>2657</v>
      </c>
      <c r="BI16" s="1244" t="s">
        <v>2679</v>
      </c>
      <c r="BJ16" s="1244" t="s">
        <v>2765</v>
      </c>
      <c r="BK16" s="1508" t="s">
        <v>490</v>
      </c>
      <c r="BL16" s="1509" t="s">
        <v>1279</v>
      </c>
    </row>
    <row r="17" spans="1:64" ht="11.85" customHeight="1">
      <c r="A17" s="1510" t="s">
        <v>491</v>
      </c>
      <c r="B17" s="1511" t="s">
        <v>1280</v>
      </c>
      <c r="C17" s="1355" t="s">
        <v>2679</v>
      </c>
      <c r="D17" s="1514" t="s">
        <v>68</v>
      </c>
      <c r="E17" s="1245" t="s">
        <v>68</v>
      </c>
      <c r="F17" s="1245" t="s">
        <v>2679</v>
      </c>
      <c r="G17" s="1245" t="s">
        <v>2679</v>
      </c>
      <c r="H17" s="1245" t="s">
        <v>68</v>
      </c>
      <c r="I17" s="1245" t="s">
        <v>68</v>
      </c>
      <c r="J17" s="1247" t="s">
        <v>1728</v>
      </c>
      <c r="K17" s="1245" t="s">
        <v>2859</v>
      </c>
      <c r="L17" s="1245" t="s">
        <v>2798</v>
      </c>
      <c r="M17" s="1245" t="s">
        <v>2795</v>
      </c>
      <c r="N17" s="1245" t="s">
        <v>2829</v>
      </c>
      <c r="O17" s="1245" t="s">
        <v>2818</v>
      </c>
      <c r="P17" s="1245" t="s">
        <v>2679</v>
      </c>
      <c r="Q17" s="1245" t="s">
        <v>2691</v>
      </c>
      <c r="R17" s="1510" t="s">
        <v>491</v>
      </c>
      <c r="S17" s="1511" t="s">
        <v>1280</v>
      </c>
      <c r="T17" s="1510" t="s">
        <v>491</v>
      </c>
      <c r="U17" s="1511" t="s">
        <v>1280</v>
      </c>
      <c r="V17" s="1247" t="s">
        <v>2661</v>
      </c>
      <c r="W17" s="1247" t="s">
        <v>68</v>
      </c>
      <c r="X17" s="1247" t="s">
        <v>2679</v>
      </c>
      <c r="Y17" s="1247" t="s">
        <v>2546</v>
      </c>
      <c r="Z17" s="1247" t="s">
        <v>68</v>
      </c>
      <c r="AA17" s="1247" t="s">
        <v>2795</v>
      </c>
      <c r="AB17" s="1247" t="s">
        <v>2256</v>
      </c>
      <c r="AC17" s="1247" t="s">
        <v>68</v>
      </c>
      <c r="AD17" s="1247" t="s">
        <v>2833</v>
      </c>
      <c r="AE17" s="1247" t="s">
        <v>2010</v>
      </c>
      <c r="AF17" s="1247" t="s">
        <v>68</v>
      </c>
      <c r="AG17" s="1247" t="s">
        <v>68</v>
      </c>
      <c r="AH17" s="1510" t="s">
        <v>491</v>
      </c>
      <c r="AI17" s="1511" t="s">
        <v>1280</v>
      </c>
      <c r="AJ17" s="1510" t="s">
        <v>491</v>
      </c>
      <c r="AK17" s="1511" t="s">
        <v>1280</v>
      </c>
      <c r="AL17" s="1245" t="s">
        <v>2272</v>
      </c>
      <c r="AM17" s="1249" t="s">
        <v>2686</v>
      </c>
      <c r="AN17" s="1245" t="s">
        <v>2686</v>
      </c>
      <c r="AO17" s="1245" t="s">
        <v>2825</v>
      </c>
      <c r="AP17" s="1245" t="s">
        <v>68</v>
      </c>
      <c r="AQ17" s="1247" t="s">
        <v>68</v>
      </c>
      <c r="AR17" s="1245" t="s">
        <v>68</v>
      </c>
      <c r="AS17" s="1245" t="s">
        <v>2273</v>
      </c>
      <c r="AT17" s="1245" t="s">
        <v>2824</v>
      </c>
      <c r="AU17" s="1245" t="s">
        <v>2872</v>
      </c>
      <c r="AV17" s="1245" t="s">
        <v>2273</v>
      </c>
      <c r="AW17" s="1245" t="s">
        <v>68</v>
      </c>
      <c r="AX17" s="1245" t="s">
        <v>2679</v>
      </c>
      <c r="AY17" s="1510" t="s">
        <v>491</v>
      </c>
      <c r="AZ17" s="1511" t="s">
        <v>1280</v>
      </c>
      <c r="BA17" s="1510" t="s">
        <v>491</v>
      </c>
      <c r="BB17" s="1511" t="s">
        <v>1280</v>
      </c>
      <c r="BC17" s="1245" t="s">
        <v>2825</v>
      </c>
      <c r="BD17" s="1249" t="s">
        <v>2550</v>
      </c>
      <c r="BE17" s="1245" t="s">
        <v>2276</v>
      </c>
      <c r="BF17" s="1245" t="s">
        <v>2667</v>
      </c>
      <c r="BG17" s="1245" t="s">
        <v>2694</v>
      </c>
      <c r="BH17" s="1515" t="s">
        <v>68</v>
      </c>
      <c r="BI17" s="1245" t="s">
        <v>2841</v>
      </c>
      <c r="BJ17" s="1245" t="s">
        <v>2748</v>
      </c>
      <c r="BK17" s="1510" t="s">
        <v>491</v>
      </c>
      <c r="BL17" s="1511" t="s">
        <v>1280</v>
      </c>
    </row>
    <row r="18" spans="1:64" ht="11.85" customHeight="1">
      <c r="A18" s="1508" t="s">
        <v>514</v>
      </c>
      <c r="B18" s="1509" t="s">
        <v>1281</v>
      </c>
      <c r="C18" s="1506" t="s">
        <v>68</v>
      </c>
      <c r="D18" s="1516" t="s">
        <v>68</v>
      </c>
      <c r="E18" s="1244" t="s">
        <v>68</v>
      </c>
      <c r="F18" s="1244" t="s">
        <v>2679</v>
      </c>
      <c r="G18" s="1244" t="s">
        <v>2679</v>
      </c>
      <c r="H18" s="1244" t="s">
        <v>68</v>
      </c>
      <c r="I18" s="1244" t="s">
        <v>68</v>
      </c>
      <c r="J18" s="1246" t="s">
        <v>2039</v>
      </c>
      <c r="K18" s="1244" t="s">
        <v>2860</v>
      </c>
      <c r="L18" s="1244" t="s">
        <v>2692</v>
      </c>
      <c r="M18" s="1244" t="s">
        <v>68</v>
      </c>
      <c r="N18" s="1244" t="s">
        <v>2829</v>
      </c>
      <c r="O18" s="1244" t="s">
        <v>2726</v>
      </c>
      <c r="P18" s="1244" t="s">
        <v>68</v>
      </c>
      <c r="Q18" s="1354" t="s">
        <v>2720</v>
      </c>
      <c r="R18" s="1508" t="s">
        <v>514</v>
      </c>
      <c r="S18" s="1509" t="s">
        <v>1281</v>
      </c>
      <c r="T18" s="1508" t="s">
        <v>514</v>
      </c>
      <c r="U18" s="1509" t="s">
        <v>1281</v>
      </c>
      <c r="V18" s="1246" t="s">
        <v>2661</v>
      </c>
      <c r="W18" s="1246" t="s">
        <v>2830</v>
      </c>
      <c r="X18" s="1246" t="s">
        <v>2862</v>
      </c>
      <c r="Y18" s="1246" t="s">
        <v>68</v>
      </c>
      <c r="Z18" s="1246" t="s">
        <v>68</v>
      </c>
      <c r="AA18" s="1246" t="s">
        <v>68</v>
      </c>
      <c r="AB18" s="1246" t="s">
        <v>2256</v>
      </c>
      <c r="AC18" s="1246" t="s">
        <v>68</v>
      </c>
      <c r="AD18" s="1246" t="s">
        <v>2833</v>
      </c>
      <c r="AE18" s="1246" t="s">
        <v>2010</v>
      </c>
      <c r="AF18" s="1246" t="s">
        <v>68</v>
      </c>
      <c r="AG18" s="1246" t="s">
        <v>68</v>
      </c>
      <c r="AH18" s="1508" t="s">
        <v>514</v>
      </c>
      <c r="AI18" s="1509" t="s">
        <v>1281</v>
      </c>
      <c r="AJ18" s="1508" t="s">
        <v>514</v>
      </c>
      <c r="AK18" s="1509" t="s">
        <v>1281</v>
      </c>
      <c r="AL18" s="1244" t="s">
        <v>2272</v>
      </c>
      <c r="AM18" s="1244" t="s">
        <v>2676</v>
      </c>
      <c r="AN18" s="1244" t="s">
        <v>2686</v>
      </c>
      <c r="AO18" s="1244" t="s">
        <v>2825</v>
      </c>
      <c r="AP18" s="1244" t="s">
        <v>68</v>
      </c>
      <c r="AQ18" s="1246" t="s">
        <v>68</v>
      </c>
      <c r="AR18" s="1244" t="s">
        <v>68</v>
      </c>
      <c r="AS18" s="1244" t="s">
        <v>68</v>
      </c>
      <c r="AT18" s="1244" t="s">
        <v>2873</v>
      </c>
      <c r="AU18" s="1244" t="s">
        <v>2872</v>
      </c>
      <c r="AV18" s="1244" t="s">
        <v>2776</v>
      </c>
      <c r="AW18" s="1244" t="s">
        <v>68</v>
      </c>
      <c r="AX18" s="1244" t="s">
        <v>2679</v>
      </c>
      <c r="AY18" s="1508" t="s">
        <v>514</v>
      </c>
      <c r="AZ18" s="1509" t="s">
        <v>1281</v>
      </c>
      <c r="BA18" s="1508" t="s">
        <v>514</v>
      </c>
      <c r="BB18" s="1509" t="s">
        <v>1281</v>
      </c>
      <c r="BC18" s="1248" t="s">
        <v>2695</v>
      </c>
      <c r="BD18" s="1244" t="s">
        <v>2696</v>
      </c>
      <c r="BE18" s="1244" t="s">
        <v>2729</v>
      </c>
      <c r="BF18" s="1244" t="s">
        <v>2667</v>
      </c>
      <c r="BG18" s="1244" t="s">
        <v>2694</v>
      </c>
      <c r="BH18" s="1517" t="s">
        <v>68</v>
      </c>
      <c r="BI18" s="1244" t="s">
        <v>2828</v>
      </c>
      <c r="BJ18" s="1244" t="s">
        <v>2748</v>
      </c>
      <c r="BK18" s="1508" t="s">
        <v>514</v>
      </c>
      <c r="BL18" s="1509" t="s">
        <v>1281</v>
      </c>
    </row>
    <row r="19" spans="1:64" ht="11.85" customHeight="1">
      <c r="A19" s="2153" t="s">
        <v>190</v>
      </c>
      <c r="B19" s="2153"/>
      <c r="C19" s="1245"/>
      <c r="D19" s="1245"/>
      <c r="E19" s="1245"/>
      <c r="F19" s="1245"/>
      <c r="G19" s="1245"/>
      <c r="H19" s="1245"/>
      <c r="I19" s="1245"/>
      <c r="J19" s="1245"/>
      <c r="K19" s="1245"/>
      <c r="L19" s="1245"/>
      <c r="M19" s="1245"/>
      <c r="N19" s="1245"/>
      <c r="O19" s="1249" t="s">
        <v>171</v>
      </c>
      <c r="P19" s="1245"/>
      <c r="Q19" s="1249"/>
      <c r="R19" s="2153" t="s">
        <v>190</v>
      </c>
      <c r="S19" s="2153"/>
      <c r="T19" s="2153" t="s">
        <v>190</v>
      </c>
      <c r="U19" s="2153"/>
      <c r="V19" s="1247"/>
      <c r="W19" s="1247"/>
      <c r="X19" s="1247"/>
      <c r="Y19" s="1247"/>
      <c r="Z19" s="1247"/>
      <c r="AA19" s="1247"/>
      <c r="AB19" s="1507"/>
      <c r="AC19" s="1507"/>
      <c r="AD19" s="1507"/>
      <c r="AE19" s="1507"/>
      <c r="AF19" s="1507"/>
      <c r="AG19" s="1247"/>
      <c r="AH19" s="2153" t="s">
        <v>190</v>
      </c>
      <c r="AI19" s="2153"/>
      <c r="AJ19" s="2153" t="s">
        <v>190</v>
      </c>
      <c r="AK19" s="2153"/>
      <c r="AL19" s="1249"/>
      <c r="AM19" s="1249"/>
      <c r="AN19" s="1245"/>
      <c r="AO19" s="1249"/>
      <c r="AP19" s="1245"/>
      <c r="AQ19" s="1245"/>
      <c r="AR19" s="1245"/>
      <c r="AS19" s="1245"/>
      <c r="AT19" s="1245"/>
      <c r="AU19" s="1245"/>
      <c r="AV19" s="1245"/>
      <c r="AW19" s="1245"/>
      <c r="AX19" s="1245"/>
      <c r="AY19" s="2153" t="s">
        <v>190</v>
      </c>
      <c r="AZ19" s="2153"/>
      <c r="BA19" s="2153" t="s">
        <v>190</v>
      </c>
      <c r="BB19" s="2153"/>
      <c r="BC19" s="1249"/>
      <c r="BD19" s="1249"/>
      <c r="BE19" s="1249"/>
      <c r="BF19" s="1249"/>
      <c r="BG19" s="1249"/>
      <c r="BH19" s="1249"/>
      <c r="BI19" s="1245"/>
      <c r="BJ19" s="1245"/>
      <c r="BK19" s="2153" t="s">
        <v>190</v>
      </c>
      <c r="BL19" s="2153"/>
    </row>
    <row r="20" spans="1:64" ht="11.85" customHeight="1">
      <c r="A20" s="2152" t="s">
        <v>191</v>
      </c>
      <c r="B20" s="2152"/>
      <c r="C20" s="1244"/>
      <c r="D20" s="1244"/>
      <c r="E20" s="1244"/>
      <c r="F20" s="1244"/>
      <c r="G20" s="1244"/>
      <c r="H20" s="1244"/>
      <c r="I20" s="1244"/>
      <c r="J20" s="1244"/>
      <c r="K20" s="1244"/>
      <c r="L20" s="1244"/>
      <c r="M20" s="1244"/>
      <c r="N20" s="1244"/>
      <c r="O20" s="1248"/>
      <c r="P20" s="1244"/>
      <c r="Q20" s="1248"/>
      <c r="R20" s="2152" t="s">
        <v>191</v>
      </c>
      <c r="S20" s="2152"/>
      <c r="T20" s="2152" t="s">
        <v>191</v>
      </c>
      <c r="U20" s="2152"/>
      <c r="V20" s="1518"/>
      <c r="W20" s="1246"/>
      <c r="X20" s="1246"/>
      <c r="Y20" s="1246"/>
      <c r="Z20" s="1246"/>
      <c r="AA20" s="1246"/>
      <c r="AB20" s="1519"/>
      <c r="AC20" s="1519"/>
      <c r="AD20" s="1519"/>
      <c r="AE20" s="1519"/>
      <c r="AF20" s="1519"/>
      <c r="AG20" s="1246"/>
      <c r="AH20" s="2152" t="s">
        <v>191</v>
      </c>
      <c r="AI20" s="2152"/>
      <c r="AJ20" s="2152" t="s">
        <v>191</v>
      </c>
      <c r="AK20" s="2152"/>
      <c r="AL20" s="1248"/>
      <c r="AM20" s="1248"/>
      <c r="AN20" s="1244"/>
      <c r="AO20" s="1248"/>
      <c r="AP20" s="1244"/>
      <c r="AQ20" s="1244"/>
      <c r="AR20" s="1244"/>
      <c r="AS20" s="1244"/>
      <c r="AT20" s="1244"/>
      <c r="AU20" s="1244"/>
      <c r="AV20" s="1244"/>
      <c r="AW20" s="1244"/>
      <c r="AX20" s="1244"/>
      <c r="AY20" s="2152" t="s">
        <v>191</v>
      </c>
      <c r="AZ20" s="2152"/>
      <c r="BA20" s="2152" t="s">
        <v>191</v>
      </c>
      <c r="BB20" s="2152"/>
      <c r="BC20" s="1248"/>
      <c r="BD20" s="1248"/>
      <c r="BE20" s="1248"/>
      <c r="BF20" s="1248"/>
      <c r="BG20" s="1248"/>
      <c r="BH20" s="1248"/>
      <c r="BI20" s="1244"/>
      <c r="BJ20" s="1244"/>
      <c r="BK20" s="2152" t="s">
        <v>191</v>
      </c>
      <c r="BL20" s="2152"/>
    </row>
    <row r="21" spans="1:64" ht="11.85" customHeight="1">
      <c r="A21" s="1520"/>
      <c r="B21" s="476" t="s">
        <v>192</v>
      </c>
      <c r="C21" s="1247" t="s">
        <v>2269</v>
      </c>
      <c r="D21" s="1245" t="s">
        <v>2269</v>
      </c>
      <c r="E21" s="1247" t="s">
        <v>2269</v>
      </c>
      <c r="F21" s="1247" t="s">
        <v>2269</v>
      </c>
      <c r="G21" s="1245" t="s">
        <v>2692</v>
      </c>
      <c r="H21" s="1245" t="s">
        <v>2692</v>
      </c>
      <c r="I21" s="1247" t="s">
        <v>2692</v>
      </c>
      <c r="J21" s="1247" t="s">
        <v>2692</v>
      </c>
      <c r="K21" s="1245" t="s">
        <v>2682</v>
      </c>
      <c r="L21" s="1245" t="s">
        <v>2692</v>
      </c>
      <c r="M21" s="1245" t="s">
        <v>2692</v>
      </c>
      <c r="N21" s="1247" t="s">
        <v>2269</v>
      </c>
      <c r="O21" s="1245" t="s">
        <v>2692</v>
      </c>
      <c r="P21" s="1245" t="s">
        <v>2692</v>
      </c>
      <c r="Q21" s="1245" t="s">
        <v>2269</v>
      </c>
      <c r="R21" s="1316"/>
      <c r="S21" s="476" t="s">
        <v>192</v>
      </c>
      <c r="T21" s="1316"/>
      <c r="U21" s="476" t="s">
        <v>192</v>
      </c>
      <c r="V21" s="1247" t="s">
        <v>2272</v>
      </c>
      <c r="W21" s="1247" t="s">
        <v>2692</v>
      </c>
      <c r="X21" s="1247" t="s">
        <v>2039</v>
      </c>
      <c r="Y21" s="1247" t="s">
        <v>2692</v>
      </c>
      <c r="Z21" s="1247" t="s">
        <v>2692</v>
      </c>
      <c r="AA21" s="1247" t="s">
        <v>2039</v>
      </c>
      <c r="AB21" s="1247" t="s">
        <v>2271</v>
      </c>
      <c r="AC21" s="1247" t="s">
        <v>2692</v>
      </c>
      <c r="AD21" s="1247" t="s">
        <v>2269</v>
      </c>
      <c r="AE21" s="1247" t="s">
        <v>2692</v>
      </c>
      <c r="AF21" s="1247" t="s">
        <v>2269</v>
      </c>
      <c r="AG21" s="1247" t="s">
        <v>2692</v>
      </c>
      <c r="AH21" s="1316"/>
      <c r="AI21" s="476" t="s">
        <v>192</v>
      </c>
      <c r="AJ21" s="1316"/>
      <c r="AK21" s="476" t="s">
        <v>192</v>
      </c>
      <c r="AL21" s="1245" t="s">
        <v>2272</v>
      </c>
      <c r="AM21" s="1245" t="s">
        <v>2692</v>
      </c>
      <c r="AN21" s="1245" t="s">
        <v>2692</v>
      </c>
      <c r="AO21" s="1247" t="s">
        <v>2692</v>
      </c>
      <c r="AP21" s="1245" t="s">
        <v>2692</v>
      </c>
      <c r="AQ21" s="1245" t="s">
        <v>2692</v>
      </c>
      <c r="AR21" s="1245" t="s">
        <v>2692</v>
      </c>
      <c r="AS21" s="1245" t="s">
        <v>2692</v>
      </c>
      <c r="AT21" s="1245" t="s">
        <v>2272</v>
      </c>
      <c r="AU21" s="1245" t="s">
        <v>2692</v>
      </c>
      <c r="AV21" s="1245" t="s">
        <v>2692</v>
      </c>
      <c r="AW21" s="1245" t="s">
        <v>2692</v>
      </c>
      <c r="AX21" s="1245" t="s">
        <v>2692</v>
      </c>
      <c r="AY21" s="1316"/>
      <c r="AZ21" s="476" t="s">
        <v>192</v>
      </c>
      <c r="BA21" s="1316"/>
      <c r="BB21" s="476" t="s">
        <v>192</v>
      </c>
      <c r="BC21" s="1245" t="s">
        <v>2039</v>
      </c>
      <c r="BD21" s="1245" t="s">
        <v>2039</v>
      </c>
      <c r="BE21" s="1245" t="s">
        <v>2271</v>
      </c>
      <c r="BF21" s="1245" t="s">
        <v>2273</v>
      </c>
      <c r="BG21" s="1245" t="s">
        <v>2692</v>
      </c>
      <c r="BH21" s="1245" t="s">
        <v>2010</v>
      </c>
      <c r="BI21" s="1245" t="s">
        <v>2271</v>
      </c>
      <c r="BJ21" s="1245" t="s">
        <v>2692</v>
      </c>
      <c r="BK21" s="1316"/>
      <c r="BL21" s="476" t="s">
        <v>192</v>
      </c>
    </row>
    <row r="22" spans="1:64" ht="11.85" customHeight="1">
      <c r="A22" s="44"/>
      <c r="B22" s="1521" t="s">
        <v>193</v>
      </c>
      <c r="C22" s="1522" t="s">
        <v>68</v>
      </c>
      <c r="D22" s="1244" t="s">
        <v>68</v>
      </c>
      <c r="E22" s="1522" t="s">
        <v>68</v>
      </c>
      <c r="F22" s="1244" t="s">
        <v>68</v>
      </c>
      <c r="G22" s="1244" t="s">
        <v>68</v>
      </c>
      <c r="H22" s="1244" t="s">
        <v>68</v>
      </c>
      <c r="I22" s="1244" t="s">
        <v>68</v>
      </c>
      <c r="J22" s="1246" t="s">
        <v>68</v>
      </c>
      <c r="K22" s="1244" t="s">
        <v>68</v>
      </c>
      <c r="L22" s="1244" t="s">
        <v>68</v>
      </c>
      <c r="M22" s="1244" t="s">
        <v>68</v>
      </c>
      <c r="N22" s="144" t="s">
        <v>2692</v>
      </c>
      <c r="O22" s="1248" t="s">
        <v>68</v>
      </c>
      <c r="P22" s="1244" t="s">
        <v>68</v>
      </c>
      <c r="Q22" s="1244" t="s">
        <v>68</v>
      </c>
      <c r="R22" s="10"/>
      <c r="S22" s="1521" t="s">
        <v>193</v>
      </c>
      <c r="T22" s="10"/>
      <c r="U22" s="1521" t="s">
        <v>193</v>
      </c>
      <c r="V22" s="1246" t="s">
        <v>68</v>
      </c>
      <c r="W22" s="1246" t="s">
        <v>68</v>
      </c>
      <c r="X22" s="1246" t="s">
        <v>68</v>
      </c>
      <c r="Y22" s="1246" t="s">
        <v>68</v>
      </c>
      <c r="Z22" s="1246" t="s">
        <v>68</v>
      </c>
      <c r="AA22" s="1246" t="s">
        <v>68</v>
      </c>
      <c r="AB22" s="1246" t="s">
        <v>2271</v>
      </c>
      <c r="AC22" s="1246" t="s">
        <v>68</v>
      </c>
      <c r="AD22" s="1246" t="s">
        <v>68</v>
      </c>
      <c r="AE22" s="1246" t="s">
        <v>68</v>
      </c>
      <c r="AF22" s="1246" t="s">
        <v>2269</v>
      </c>
      <c r="AG22" s="1246" t="s">
        <v>68</v>
      </c>
      <c r="AH22" s="10"/>
      <c r="AI22" s="1521" t="s">
        <v>193</v>
      </c>
      <c r="AJ22" s="10"/>
      <c r="AK22" s="1521" t="s">
        <v>193</v>
      </c>
      <c r="AL22" s="1244" t="s">
        <v>68</v>
      </c>
      <c r="AM22" s="1244" t="s">
        <v>68</v>
      </c>
      <c r="AN22" s="1244" t="s">
        <v>68</v>
      </c>
      <c r="AO22" s="1244" t="s">
        <v>68</v>
      </c>
      <c r="AP22" s="1244" t="s">
        <v>68</v>
      </c>
      <c r="AQ22" s="1244" t="s">
        <v>68</v>
      </c>
      <c r="AR22" s="1244" t="s">
        <v>68</v>
      </c>
      <c r="AS22" s="1244" t="s">
        <v>68</v>
      </c>
      <c r="AT22" s="1244" t="s">
        <v>68</v>
      </c>
      <c r="AU22" s="1244" t="s">
        <v>68</v>
      </c>
      <c r="AV22" s="1244" t="s">
        <v>68</v>
      </c>
      <c r="AW22" s="1244" t="s">
        <v>68</v>
      </c>
      <c r="AX22" s="1244" t="s">
        <v>68</v>
      </c>
      <c r="AY22" s="10"/>
      <c r="AZ22" s="1521" t="s">
        <v>193</v>
      </c>
      <c r="BA22" s="10"/>
      <c r="BB22" s="1521" t="s">
        <v>193</v>
      </c>
      <c r="BC22" s="1244" t="s">
        <v>68</v>
      </c>
      <c r="BD22" s="1244" t="s">
        <v>68</v>
      </c>
      <c r="BE22" s="1244" t="s">
        <v>68</v>
      </c>
      <c r="BF22" s="1248" t="s">
        <v>68</v>
      </c>
      <c r="BG22" s="1244" t="s">
        <v>68</v>
      </c>
      <c r="BH22" s="1244" t="s">
        <v>68</v>
      </c>
      <c r="BI22" s="1244" t="s">
        <v>68</v>
      </c>
      <c r="BJ22" s="1523" t="s">
        <v>68</v>
      </c>
      <c r="BK22" s="10"/>
      <c r="BL22" s="1521" t="s">
        <v>193</v>
      </c>
    </row>
    <row r="23" spans="1:64" ht="21" customHeight="1">
      <c r="A23" s="2153" t="s">
        <v>200</v>
      </c>
      <c r="B23" s="2153"/>
      <c r="C23" s="1245"/>
      <c r="D23" s="1245"/>
      <c r="E23" s="1245"/>
      <c r="F23" s="1245"/>
      <c r="G23" s="1245"/>
      <c r="H23" s="1245"/>
      <c r="I23" s="1245"/>
      <c r="J23" s="1247"/>
      <c r="K23" s="1245"/>
      <c r="L23" s="1245"/>
      <c r="M23" s="1245"/>
      <c r="N23" s="1245"/>
      <c r="O23" s="1249"/>
      <c r="P23" s="1245"/>
      <c r="Q23" s="1249"/>
      <c r="R23" s="2153" t="s">
        <v>200</v>
      </c>
      <c r="S23" s="2153"/>
      <c r="T23" s="2153" t="s">
        <v>200</v>
      </c>
      <c r="U23" s="2153"/>
      <c r="V23" s="1247"/>
      <c r="W23" s="1247"/>
      <c r="X23" s="1247"/>
      <c r="Y23" s="1247"/>
      <c r="Z23" s="1247"/>
      <c r="AA23" s="1247"/>
      <c r="AB23" s="1247"/>
      <c r="AC23" s="1247"/>
      <c r="AD23" s="1247"/>
      <c r="AE23" s="1247"/>
      <c r="AF23" s="1247"/>
      <c r="AG23" s="1247"/>
      <c r="AH23" s="2153" t="s">
        <v>200</v>
      </c>
      <c r="AI23" s="2153"/>
      <c r="AJ23" s="2153" t="s">
        <v>200</v>
      </c>
      <c r="AK23" s="2153"/>
      <c r="AL23" s="1249"/>
      <c r="AM23" s="1249"/>
      <c r="AN23" s="1245"/>
      <c r="AO23" s="1245"/>
      <c r="AP23" s="1245"/>
      <c r="AQ23" s="1245"/>
      <c r="AR23" s="1245"/>
      <c r="AS23" s="1245"/>
      <c r="AT23" s="1245"/>
      <c r="AU23" s="1245"/>
      <c r="AV23" s="1245"/>
      <c r="AW23" s="1245"/>
      <c r="AX23" s="1245"/>
      <c r="AY23" s="2153" t="s">
        <v>200</v>
      </c>
      <c r="AZ23" s="2153"/>
      <c r="BA23" s="2153" t="s">
        <v>200</v>
      </c>
      <c r="BB23" s="2153"/>
      <c r="BC23" s="1249"/>
      <c r="BD23" s="1245"/>
      <c r="BE23" s="1245"/>
      <c r="BF23" s="1249"/>
      <c r="BG23" s="1245"/>
      <c r="BH23" s="1245"/>
      <c r="BI23" s="1245"/>
      <c r="BJ23" s="1245"/>
      <c r="BK23" s="2153" t="s">
        <v>200</v>
      </c>
      <c r="BL23" s="2153"/>
    </row>
    <row r="24" spans="1:64" ht="11.85" customHeight="1">
      <c r="A24" s="10"/>
      <c r="B24" s="1521" t="s">
        <v>192</v>
      </c>
      <c r="C24" s="1244" t="s">
        <v>2692</v>
      </c>
      <c r="D24" s="144" t="s">
        <v>2692</v>
      </c>
      <c r="E24" s="1246" t="s">
        <v>2692</v>
      </c>
      <c r="F24" s="1244" t="s">
        <v>2692</v>
      </c>
      <c r="G24" s="144" t="s">
        <v>2692</v>
      </c>
      <c r="H24" s="1246" t="s">
        <v>2692</v>
      </c>
      <c r="I24" s="1244" t="s">
        <v>68</v>
      </c>
      <c r="J24" s="1246" t="s">
        <v>2692</v>
      </c>
      <c r="K24" s="1244" t="s">
        <v>1272</v>
      </c>
      <c r="L24" s="1244" t="s">
        <v>1729</v>
      </c>
      <c r="M24" s="1246" t="s">
        <v>2031</v>
      </c>
      <c r="N24" s="144" t="s">
        <v>1431</v>
      </c>
      <c r="O24" s="1244" t="s">
        <v>2692</v>
      </c>
      <c r="P24" s="1522" t="s">
        <v>1729</v>
      </c>
      <c r="Q24" s="144" t="s">
        <v>2449</v>
      </c>
      <c r="R24" s="10"/>
      <c r="S24" s="1521" t="s">
        <v>192</v>
      </c>
      <c r="T24" s="10"/>
      <c r="U24" s="1521" t="s">
        <v>192</v>
      </c>
      <c r="V24" s="1246" t="s">
        <v>1180</v>
      </c>
      <c r="W24" s="1246" t="s">
        <v>1729</v>
      </c>
      <c r="X24" s="1246" t="s">
        <v>2028</v>
      </c>
      <c r="Y24" s="1246" t="s">
        <v>68</v>
      </c>
      <c r="Z24" s="1246" t="s">
        <v>2692</v>
      </c>
      <c r="AA24" s="1246" t="s">
        <v>1180</v>
      </c>
      <c r="AB24" s="1246" t="s">
        <v>1729</v>
      </c>
      <c r="AC24" s="1246" t="s">
        <v>2767</v>
      </c>
      <c r="AD24" s="1246" t="s">
        <v>2692</v>
      </c>
      <c r="AE24" s="1246" t="s">
        <v>2477</v>
      </c>
      <c r="AF24" s="1522" t="s">
        <v>2698</v>
      </c>
      <c r="AG24" s="1246" t="s">
        <v>1180</v>
      </c>
      <c r="AH24" s="10"/>
      <c r="AI24" s="1521" t="s">
        <v>192</v>
      </c>
      <c r="AJ24" s="10"/>
      <c r="AK24" s="1521" t="s">
        <v>192</v>
      </c>
      <c r="AL24" s="1244" t="s">
        <v>1180</v>
      </c>
      <c r="AM24" s="1244" t="s">
        <v>1729</v>
      </c>
      <c r="AN24" s="1244" t="s">
        <v>1180</v>
      </c>
      <c r="AO24" s="1244" t="s">
        <v>1450</v>
      </c>
      <c r="AP24" s="1244" t="s">
        <v>1180</v>
      </c>
      <c r="AQ24" s="1244" t="s">
        <v>1729</v>
      </c>
      <c r="AR24" s="1244" t="s">
        <v>1450</v>
      </c>
      <c r="AS24" s="1244" t="s">
        <v>1450</v>
      </c>
      <c r="AT24" s="1244" t="s">
        <v>1451</v>
      </c>
      <c r="AU24" s="1244" t="s">
        <v>1180</v>
      </c>
      <c r="AV24" s="1244" t="s">
        <v>1180</v>
      </c>
      <c r="AW24" s="1244" t="s">
        <v>1180</v>
      </c>
      <c r="AX24" s="1244" t="s">
        <v>2692</v>
      </c>
      <c r="AY24" s="10"/>
      <c r="AZ24" s="1521" t="s">
        <v>192</v>
      </c>
      <c r="BA24" s="10"/>
      <c r="BB24" s="1521" t="s">
        <v>192</v>
      </c>
      <c r="BC24" s="1244" t="s">
        <v>2541</v>
      </c>
      <c r="BD24" s="1244" t="s">
        <v>2542</v>
      </c>
      <c r="BE24" s="1244" t="s">
        <v>1729</v>
      </c>
      <c r="BF24" s="1244" t="s">
        <v>2500</v>
      </c>
      <c r="BG24" s="1244" t="s">
        <v>2558</v>
      </c>
      <c r="BH24" s="1244" t="s">
        <v>2039</v>
      </c>
      <c r="BI24" s="1244" t="s">
        <v>2039</v>
      </c>
      <c r="BJ24" s="1244" t="s">
        <v>2011</v>
      </c>
      <c r="BK24" s="10"/>
      <c r="BL24" s="1521" t="s">
        <v>192</v>
      </c>
    </row>
    <row r="25" spans="1:64" ht="11.85" customHeight="1">
      <c r="A25" s="1316"/>
      <c r="B25" s="476" t="s">
        <v>193</v>
      </c>
      <c r="C25" s="1245" t="s">
        <v>68</v>
      </c>
      <c r="D25" s="1245" t="s">
        <v>68</v>
      </c>
      <c r="E25" s="1245" t="s">
        <v>68</v>
      </c>
      <c r="F25" s="1245" t="s">
        <v>68</v>
      </c>
      <c r="G25" s="1245" t="s">
        <v>68</v>
      </c>
      <c r="H25" s="1245" t="s">
        <v>68</v>
      </c>
      <c r="I25" s="1245" t="s">
        <v>2692</v>
      </c>
      <c r="J25" s="1247" t="s">
        <v>68</v>
      </c>
      <c r="K25" s="1245" t="s">
        <v>68</v>
      </c>
      <c r="L25" s="1245" t="s">
        <v>1448</v>
      </c>
      <c r="M25" s="1245" t="s">
        <v>1431</v>
      </c>
      <c r="N25" s="1250" t="s">
        <v>1431</v>
      </c>
      <c r="O25" s="1245" t="s">
        <v>68</v>
      </c>
      <c r="P25" s="1249" t="s">
        <v>2777</v>
      </c>
      <c r="Q25" s="1249" t="s">
        <v>68</v>
      </c>
      <c r="R25" s="1316"/>
      <c r="S25" s="476" t="s">
        <v>193</v>
      </c>
      <c r="T25" s="1316"/>
      <c r="U25" s="476" t="s">
        <v>193</v>
      </c>
      <c r="V25" s="1247" t="s">
        <v>68</v>
      </c>
      <c r="W25" s="1247" t="s">
        <v>68</v>
      </c>
      <c r="X25" s="1247" t="s">
        <v>68</v>
      </c>
      <c r="Y25" s="1247" t="s">
        <v>1450</v>
      </c>
      <c r="Z25" s="1247" t="s">
        <v>68</v>
      </c>
      <c r="AA25" s="1247" t="s">
        <v>68</v>
      </c>
      <c r="AB25" s="1247" t="s">
        <v>1729</v>
      </c>
      <c r="AC25" s="1247" t="s">
        <v>2551</v>
      </c>
      <c r="AD25" s="1247" t="s">
        <v>68</v>
      </c>
      <c r="AE25" s="1524" t="s">
        <v>1450</v>
      </c>
      <c r="AF25" s="452" t="s">
        <v>68</v>
      </c>
      <c r="AG25" s="1247" t="s">
        <v>2028</v>
      </c>
      <c r="AH25" s="1316"/>
      <c r="AI25" s="476" t="s">
        <v>193</v>
      </c>
      <c r="AJ25" s="1316"/>
      <c r="AK25" s="476" t="s">
        <v>193</v>
      </c>
      <c r="AL25" s="1525" t="s">
        <v>68</v>
      </c>
      <c r="AM25" s="1245" t="s">
        <v>1729</v>
      </c>
      <c r="AN25" s="1245" t="s">
        <v>68</v>
      </c>
      <c r="AO25" s="1525" t="s">
        <v>68</v>
      </c>
      <c r="AP25" s="1245" t="s">
        <v>68</v>
      </c>
      <c r="AQ25" s="1245" t="s">
        <v>68</v>
      </c>
      <c r="AR25" s="1245" t="s">
        <v>68</v>
      </c>
      <c r="AS25" s="1245" t="s">
        <v>68</v>
      </c>
      <c r="AT25" s="1245" t="s">
        <v>68</v>
      </c>
      <c r="AU25" s="1245" t="s">
        <v>68</v>
      </c>
      <c r="AV25" s="1245" t="s">
        <v>68</v>
      </c>
      <c r="AW25" s="1245" t="s">
        <v>68</v>
      </c>
      <c r="AX25" s="1245" t="s">
        <v>68</v>
      </c>
      <c r="AY25" s="1316"/>
      <c r="AZ25" s="476" t="s">
        <v>193</v>
      </c>
      <c r="BA25" s="1316"/>
      <c r="BB25" s="476" t="s">
        <v>193</v>
      </c>
      <c r="BC25" s="1245" t="s">
        <v>68</v>
      </c>
      <c r="BD25" s="1245" t="s">
        <v>2542</v>
      </c>
      <c r="BE25" s="1245" t="s">
        <v>68</v>
      </c>
      <c r="BF25" s="1249" t="s">
        <v>68</v>
      </c>
      <c r="BG25" s="1245" t="s">
        <v>68</v>
      </c>
      <c r="BH25" s="1525" t="s">
        <v>68</v>
      </c>
      <c r="BI25" s="1245" t="s">
        <v>68</v>
      </c>
      <c r="BJ25" s="1525" t="s">
        <v>68</v>
      </c>
      <c r="BK25" s="1316"/>
      <c r="BL25" s="476" t="s">
        <v>193</v>
      </c>
    </row>
    <row r="26" spans="1:64" ht="11.85" customHeight="1">
      <c r="A26" s="2152" t="s">
        <v>38</v>
      </c>
      <c r="B26" s="2152"/>
      <c r="C26" s="1244"/>
      <c r="D26" s="1244"/>
      <c r="E26" s="1244"/>
      <c r="F26" s="1244"/>
      <c r="G26" s="1244"/>
      <c r="H26" s="1244"/>
      <c r="I26" s="1244"/>
      <c r="J26" s="1246"/>
      <c r="K26" s="1244"/>
      <c r="L26" s="1244"/>
      <c r="M26" s="1244"/>
      <c r="N26" s="1244"/>
      <c r="O26" s="1244"/>
      <c r="P26" s="1248"/>
      <c r="Q26" s="1248"/>
      <c r="R26" s="2152" t="s">
        <v>38</v>
      </c>
      <c r="S26" s="2152"/>
      <c r="T26" s="2152" t="s">
        <v>38</v>
      </c>
      <c r="U26" s="2152"/>
      <c r="V26" s="1246" t="s">
        <v>911</v>
      </c>
      <c r="W26" s="1246"/>
      <c r="X26" s="1246"/>
      <c r="Y26" s="1246"/>
      <c r="Z26" s="1246"/>
      <c r="AA26" s="1246"/>
      <c r="AB26" s="1246"/>
      <c r="AC26" s="1246"/>
      <c r="AD26" s="1246"/>
      <c r="AE26" s="1246"/>
      <c r="AF26" s="1246"/>
      <c r="AG26" s="1246"/>
      <c r="AH26" s="2152" t="s">
        <v>38</v>
      </c>
      <c r="AI26" s="2152"/>
      <c r="AJ26" s="2152" t="s">
        <v>38</v>
      </c>
      <c r="AK26" s="2152"/>
      <c r="AL26" s="1244"/>
      <c r="AM26" s="1244"/>
      <c r="AN26" s="1244"/>
      <c r="AO26" s="1244"/>
      <c r="AP26" s="1244"/>
      <c r="AQ26" s="1244"/>
      <c r="AR26" s="1244"/>
      <c r="AS26" s="1244"/>
      <c r="AT26" s="1244"/>
      <c r="AU26" s="1244"/>
      <c r="AV26" s="1244"/>
      <c r="AW26" s="1244"/>
      <c r="AX26" s="1244"/>
      <c r="AY26" s="2152" t="s">
        <v>38</v>
      </c>
      <c r="AZ26" s="2152"/>
      <c r="BA26" s="2152" t="s">
        <v>38</v>
      </c>
      <c r="BB26" s="2152"/>
      <c r="BC26" s="1244"/>
      <c r="BD26" s="1244"/>
      <c r="BE26" s="1244"/>
      <c r="BF26" s="1248"/>
      <c r="BG26" s="1244"/>
      <c r="BH26" s="1244"/>
      <c r="BI26" s="1244"/>
      <c r="BJ26" s="1244"/>
      <c r="BK26" s="2152" t="s">
        <v>38</v>
      </c>
      <c r="BL26" s="2152"/>
    </row>
    <row r="27" spans="1:64" ht="11.85" customHeight="1">
      <c r="A27" s="1316"/>
      <c r="B27" s="476" t="s">
        <v>192</v>
      </c>
      <c r="C27" s="1247" t="s">
        <v>2692</v>
      </c>
      <c r="D27" s="1250" t="s">
        <v>2692</v>
      </c>
      <c r="E27" s="1247" t="s">
        <v>2692</v>
      </c>
      <c r="F27" s="1245" t="s">
        <v>2692</v>
      </c>
      <c r="G27" s="1250" t="s">
        <v>2692</v>
      </c>
      <c r="H27" s="1250" t="s">
        <v>2692</v>
      </c>
      <c r="I27" s="1247" t="s">
        <v>68</v>
      </c>
      <c r="J27" s="1247" t="s">
        <v>2692</v>
      </c>
      <c r="K27" s="1245" t="s">
        <v>2030</v>
      </c>
      <c r="L27" s="1245" t="s">
        <v>2031</v>
      </c>
      <c r="M27" s="1247" t="s">
        <v>2031</v>
      </c>
      <c r="N27" s="1250" t="s">
        <v>1431</v>
      </c>
      <c r="O27" s="1245" t="s">
        <v>1451</v>
      </c>
      <c r="P27" s="1247" t="s">
        <v>1729</v>
      </c>
      <c r="Q27" s="1250" t="s">
        <v>2449</v>
      </c>
      <c r="R27" s="1316"/>
      <c r="S27" s="476" t="s">
        <v>192</v>
      </c>
      <c r="T27" s="1316"/>
      <c r="U27" s="476" t="s">
        <v>192</v>
      </c>
      <c r="V27" s="1247" t="s">
        <v>1451</v>
      </c>
      <c r="W27" s="1247" t="s">
        <v>1729</v>
      </c>
      <c r="X27" s="1247" t="s">
        <v>1451</v>
      </c>
      <c r="Y27" s="1247" t="s">
        <v>2031</v>
      </c>
      <c r="Z27" s="1247" t="s">
        <v>2692</v>
      </c>
      <c r="AA27" s="1247" t="s">
        <v>2030</v>
      </c>
      <c r="AB27" s="1247" t="s">
        <v>2141</v>
      </c>
      <c r="AC27" s="1247" t="s">
        <v>2552</v>
      </c>
      <c r="AD27" s="1247" t="s">
        <v>2692</v>
      </c>
      <c r="AE27" s="1247" t="s">
        <v>2477</v>
      </c>
      <c r="AF27" s="1247" t="s">
        <v>2699</v>
      </c>
      <c r="AG27" s="1247" t="s">
        <v>2028</v>
      </c>
      <c r="AH27" s="1316"/>
      <c r="AI27" s="476" t="s">
        <v>192</v>
      </c>
      <c r="AJ27" s="1316"/>
      <c r="AK27" s="476" t="s">
        <v>192</v>
      </c>
      <c r="AL27" s="1245" t="s">
        <v>1451</v>
      </c>
      <c r="AM27" s="1245" t="s">
        <v>1450</v>
      </c>
      <c r="AN27" s="1245" t="s">
        <v>2029</v>
      </c>
      <c r="AO27" s="1247" t="s">
        <v>1447</v>
      </c>
      <c r="AP27" s="1245" t="s">
        <v>1180</v>
      </c>
      <c r="AQ27" s="1245" t="s">
        <v>1451</v>
      </c>
      <c r="AR27" s="1245" t="s">
        <v>2030</v>
      </c>
      <c r="AS27" s="1245" t="s">
        <v>2538</v>
      </c>
      <c r="AT27" s="1245" t="s">
        <v>1451</v>
      </c>
      <c r="AU27" s="1245" t="s">
        <v>2028</v>
      </c>
      <c r="AV27" s="1245" t="s">
        <v>1451</v>
      </c>
      <c r="AW27" s="1245" t="s">
        <v>1180</v>
      </c>
      <c r="AX27" s="1245" t="s">
        <v>68</v>
      </c>
      <c r="AY27" s="1316"/>
      <c r="AZ27" s="476" t="s">
        <v>192</v>
      </c>
      <c r="BA27" s="1316"/>
      <c r="BB27" s="476" t="s">
        <v>192</v>
      </c>
      <c r="BC27" s="1245" t="s">
        <v>1729</v>
      </c>
      <c r="BD27" s="1245" t="s">
        <v>1448</v>
      </c>
      <c r="BE27" s="1245" t="s">
        <v>1180</v>
      </c>
      <c r="BF27" s="1245" t="s">
        <v>2559</v>
      </c>
      <c r="BG27" s="1245" t="s">
        <v>2560</v>
      </c>
      <c r="BH27" s="1245" t="s">
        <v>68</v>
      </c>
      <c r="BI27" s="1245" t="s">
        <v>1450</v>
      </c>
      <c r="BJ27" s="1245" t="s">
        <v>2028</v>
      </c>
      <c r="BK27" s="1316"/>
      <c r="BL27" s="476" t="s">
        <v>192</v>
      </c>
    </row>
    <row r="28" spans="1:64" ht="11.85" customHeight="1">
      <c r="A28" s="10"/>
      <c r="B28" s="1521" t="s">
        <v>193</v>
      </c>
      <c r="C28" s="1244" t="s">
        <v>68</v>
      </c>
      <c r="D28" s="1244" t="s">
        <v>68</v>
      </c>
      <c r="E28" s="1244" t="s">
        <v>68</v>
      </c>
      <c r="F28" s="1517" t="s">
        <v>68</v>
      </c>
      <c r="G28" s="1244" t="s">
        <v>68</v>
      </c>
      <c r="H28" s="1244" t="s">
        <v>68</v>
      </c>
      <c r="I28" s="1244" t="s">
        <v>2692</v>
      </c>
      <c r="J28" s="1246" t="s">
        <v>68</v>
      </c>
      <c r="K28" s="1517" t="s">
        <v>68</v>
      </c>
      <c r="L28" s="1244" t="s">
        <v>1448</v>
      </c>
      <c r="M28" s="1244" t="s">
        <v>1431</v>
      </c>
      <c r="N28" s="1244" t="s">
        <v>68</v>
      </c>
      <c r="O28" s="1244" t="s">
        <v>68</v>
      </c>
      <c r="P28" s="1248" t="s">
        <v>1450</v>
      </c>
      <c r="Q28" s="1248" t="s">
        <v>68</v>
      </c>
      <c r="R28" s="10"/>
      <c r="S28" s="1521" t="s">
        <v>193</v>
      </c>
      <c r="T28" s="10"/>
      <c r="U28" s="1521" t="s">
        <v>193</v>
      </c>
      <c r="V28" s="1246" t="s">
        <v>68</v>
      </c>
      <c r="W28" s="1246" t="s">
        <v>68</v>
      </c>
      <c r="X28" s="1246" t="s">
        <v>68</v>
      </c>
      <c r="Y28" s="1246" t="s">
        <v>68</v>
      </c>
      <c r="Z28" s="1246" t="s">
        <v>68</v>
      </c>
      <c r="AA28" s="1246" t="s">
        <v>68</v>
      </c>
      <c r="AB28" s="1246" t="s">
        <v>68</v>
      </c>
      <c r="AC28" s="1246" t="s">
        <v>68</v>
      </c>
      <c r="AD28" s="1246" t="s">
        <v>68</v>
      </c>
      <c r="AE28" s="1246" t="s">
        <v>1450</v>
      </c>
      <c r="AF28" s="1246" t="s">
        <v>68</v>
      </c>
      <c r="AG28" s="1246" t="s">
        <v>2029</v>
      </c>
      <c r="AH28" s="10"/>
      <c r="AI28" s="1521" t="s">
        <v>193</v>
      </c>
      <c r="AJ28" s="10"/>
      <c r="AK28" s="1521" t="s">
        <v>193</v>
      </c>
      <c r="AL28" s="1523" t="s">
        <v>68</v>
      </c>
      <c r="AM28" s="1244" t="s">
        <v>1450</v>
      </c>
      <c r="AN28" s="1244" t="s">
        <v>68</v>
      </c>
      <c r="AO28" s="1526" t="s">
        <v>68</v>
      </c>
      <c r="AP28" s="1244" t="s">
        <v>68</v>
      </c>
      <c r="AQ28" s="1244" t="s">
        <v>68</v>
      </c>
      <c r="AR28" s="1523" t="s">
        <v>68</v>
      </c>
      <c r="AS28" s="1244" t="s">
        <v>68</v>
      </c>
      <c r="AT28" s="1244" t="s">
        <v>68</v>
      </c>
      <c r="AU28" s="1244" t="s">
        <v>68</v>
      </c>
      <c r="AV28" s="1244" t="s">
        <v>68</v>
      </c>
      <c r="AW28" s="1244" t="s">
        <v>68</v>
      </c>
      <c r="AX28" s="1244" t="s">
        <v>68</v>
      </c>
      <c r="AY28" s="10"/>
      <c r="AZ28" s="1521" t="s">
        <v>193</v>
      </c>
      <c r="BA28" s="10"/>
      <c r="BB28" s="1521" t="s">
        <v>193</v>
      </c>
      <c r="BC28" s="1244" t="s">
        <v>68</v>
      </c>
      <c r="BD28" s="1244" t="s">
        <v>1448</v>
      </c>
      <c r="BE28" s="1244" t="s">
        <v>68</v>
      </c>
      <c r="BF28" s="1248" t="s">
        <v>68</v>
      </c>
      <c r="BG28" s="1244" t="s">
        <v>68</v>
      </c>
      <c r="BH28" s="1244" t="s">
        <v>68</v>
      </c>
      <c r="BI28" s="1244" t="s">
        <v>68</v>
      </c>
      <c r="BJ28" s="1523" t="s">
        <v>68</v>
      </c>
      <c r="BK28" s="10"/>
      <c r="BL28" s="1521" t="s">
        <v>193</v>
      </c>
    </row>
    <row r="29" spans="1:64">
      <c r="A29" s="2183" t="s">
        <v>204</v>
      </c>
      <c r="B29" s="2183"/>
      <c r="C29" s="1245"/>
      <c r="D29" s="1245"/>
      <c r="E29" s="1245"/>
      <c r="F29" s="1245"/>
      <c r="G29" s="1245"/>
      <c r="H29" s="1245"/>
      <c r="I29" s="1245"/>
      <c r="J29" s="1247"/>
      <c r="K29" s="1245"/>
      <c r="L29" s="1245"/>
      <c r="M29" s="1245"/>
      <c r="N29" s="1245"/>
      <c r="O29" s="1245"/>
      <c r="P29" s="1249"/>
      <c r="Q29" s="1249"/>
      <c r="R29" s="2153" t="s">
        <v>204</v>
      </c>
      <c r="S29" s="2153"/>
      <c r="T29" s="2153" t="s">
        <v>204</v>
      </c>
      <c r="U29" s="2153"/>
      <c r="V29" s="1247"/>
      <c r="W29" s="1247"/>
      <c r="X29" s="1247"/>
      <c r="Y29" s="1247"/>
      <c r="Z29" s="1247"/>
      <c r="AA29" s="1247"/>
      <c r="AB29" s="1247"/>
      <c r="AC29" s="1247"/>
      <c r="AD29" s="1247"/>
      <c r="AE29" s="1247"/>
      <c r="AF29" s="1247"/>
      <c r="AG29" s="1247"/>
      <c r="AH29" s="2153" t="s">
        <v>204</v>
      </c>
      <c r="AI29" s="2153"/>
      <c r="AJ29" s="2153" t="s">
        <v>204</v>
      </c>
      <c r="AK29" s="2153"/>
      <c r="AL29" s="1249"/>
      <c r="AM29" s="1249"/>
      <c r="AN29" s="1245"/>
      <c r="AO29" s="1527"/>
      <c r="AP29" s="1245"/>
      <c r="AQ29" s="1245"/>
      <c r="AR29" s="1245"/>
      <c r="AS29" s="1245"/>
      <c r="AT29" s="1245"/>
      <c r="AU29" s="1245"/>
      <c r="AV29" s="1245"/>
      <c r="AW29" s="1245"/>
      <c r="AX29" s="1245"/>
      <c r="AY29" s="2153" t="s">
        <v>204</v>
      </c>
      <c r="AZ29" s="2153"/>
      <c r="BA29" s="2153" t="s">
        <v>204</v>
      </c>
      <c r="BB29" s="2153"/>
      <c r="BC29" s="1245"/>
      <c r="BD29" s="1245"/>
      <c r="BE29" s="1245"/>
      <c r="BF29" s="1249"/>
      <c r="BG29" s="1245"/>
      <c r="BH29" s="1245"/>
      <c r="BI29" s="1245"/>
      <c r="BJ29" s="1245"/>
      <c r="BK29" s="2153" t="s">
        <v>204</v>
      </c>
      <c r="BL29" s="2153"/>
    </row>
    <row r="30" spans="1:64" s="1191" customFormat="1" ht="18" customHeight="1">
      <c r="A30" s="1528" t="s">
        <v>516</v>
      </c>
      <c r="B30" s="1529" t="s">
        <v>879</v>
      </c>
      <c r="C30" s="1246"/>
      <c r="D30" s="1246"/>
      <c r="E30" s="1246"/>
      <c r="F30" s="1246"/>
      <c r="G30" s="1246"/>
      <c r="H30" s="1246"/>
      <c r="I30" s="1246"/>
      <c r="J30" s="1246"/>
      <c r="K30" s="1518"/>
      <c r="L30" s="1246"/>
      <c r="M30" s="1246"/>
      <c r="N30" s="1246"/>
      <c r="O30" s="1522"/>
      <c r="P30" s="1519"/>
      <c r="Q30" s="1519"/>
      <c r="R30" s="1528" t="s">
        <v>516</v>
      </c>
      <c r="S30" s="1530" t="s">
        <v>879</v>
      </c>
      <c r="T30" s="1528" t="s">
        <v>516</v>
      </c>
      <c r="U30" s="1530" t="s">
        <v>879</v>
      </c>
      <c r="V30" s="1246"/>
      <c r="W30" s="1246"/>
      <c r="X30" s="1246"/>
      <c r="Y30" s="1246"/>
      <c r="Z30" s="1246"/>
      <c r="AA30" s="1246"/>
      <c r="AB30" s="1246"/>
      <c r="AC30" s="1246"/>
      <c r="AD30" s="1246"/>
      <c r="AE30" s="1246"/>
      <c r="AF30" s="1246"/>
      <c r="AG30" s="1246"/>
      <c r="AH30" s="1528" t="s">
        <v>516</v>
      </c>
      <c r="AI30" s="1530" t="s">
        <v>879</v>
      </c>
      <c r="AJ30" s="1528" t="s">
        <v>516</v>
      </c>
      <c r="AK30" s="1530" t="s">
        <v>879</v>
      </c>
      <c r="AL30" s="1519"/>
      <c r="AM30" s="1519"/>
      <c r="AN30" s="1246"/>
      <c r="AO30" s="1246"/>
      <c r="AP30" s="1246"/>
      <c r="AQ30" s="1246"/>
      <c r="AR30" s="1246"/>
      <c r="AS30" s="1246"/>
      <c r="AT30" s="1246"/>
      <c r="AU30" s="1246"/>
      <c r="AV30" s="1246"/>
      <c r="AW30" s="1246"/>
      <c r="AX30" s="1246"/>
      <c r="AY30" s="1528" t="s">
        <v>516</v>
      </c>
      <c r="AZ30" s="1530" t="s">
        <v>879</v>
      </c>
      <c r="BA30" s="1528" t="s">
        <v>516</v>
      </c>
      <c r="BB30" s="1530" t="s">
        <v>879</v>
      </c>
      <c r="BC30" s="1246"/>
      <c r="BD30" s="1246"/>
      <c r="BE30" s="1246"/>
      <c r="BF30" s="1519"/>
      <c r="BG30" s="1246"/>
      <c r="BH30" s="1246"/>
      <c r="BI30" s="1246"/>
      <c r="BJ30" s="1246"/>
      <c r="BK30" s="1528" t="s">
        <v>516</v>
      </c>
      <c r="BL30" s="1530" t="s">
        <v>879</v>
      </c>
    </row>
    <row r="31" spans="1:64" ht="11.85" customHeight="1">
      <c r="A31" s="1531"/>
      <c r="B31" s="476" t="s">
        <v>201</v>
      </c>
      <c r="C31" s="1247" t="s">
        <v>2692</v>
      </c>
      <c r="D31" s="1250" t="s">
        <v>2692</v>
      </c>
      <c r="E31" s="1247" t="s">
        <v>2692</v>
      </c>
      <c r="F31" s="1245" t="s">
        <v>2692</v>
      </c>
      <c r="G31" s="1250" t="s">
        <v>2692</v>
      </c>
      <c r="H31" s="1247" t="s">
        <v>2692</v>
      </c>
      <c r="I31" s="1245" t="s">
        <v>68</v>
      </c>
      <c r="J31" s="1250" t="s">
        <v>2692</v>
      </c>
      <c r="K31" s="1245" t="s">
        <v>2744</v>
      </c>
      <c r="L31" s="1245" t="s">
        <v>1729</v>
      </c>
      <c r="M31" s="1247" t="s">
        <v>2031</v>
      </c>
      <c r="N31" s="1250" t="s">
        <v>1431</v>
      </c>
      <c r="O31" s="1245" t="s">
        <v>2692</v>
      </c>
      <c r="P31" s="1247" t="s">
        <v>2692</v>
      </c>
      <c r="Q31" s="1247" t="s">
        <v>2692</v>
      </c>
      <c r="R31" s="1531"/>
      <c r="S31" s="476" t="s">
        <v>192</v>
      </c>
      <c r="T31" s="1531"/>
      <c r="U31" s="476" t="s">
        <v>192</v>
      </c>
      <c r="V31" s="1247" t="s">
        <v>1180</v>
      </c>
      <c r="W31" s="1247" t="s">
        <v>1729</v>
      </c>
      <c r="X31" s="1247" t="s">
        <v>2028</v>
      </c>
      <c r="Y31" s="1247" t="s">
        <v>1450</v>
      </c>
      <c r="Z31" s="1247" t="s">
        <v>2692</v>
      </c>
      <c r="AA31" s="1247" t="s">
        <v>2027</v>
      </c>
      <c r="AB31" s="1247" t="s">
        <v>1729</v>
      </c>
      <c r="AC31" s="1247" t="s">
        <v>2835</v>
      </c>
      <c r="AD31" s="1247" t="s">
        <v>2692</v>
      </c>
      <c r="AE31" s="1247" t="s">
        <v>2477</v>
      </c>
      <c r="AF31" s="1247" t="s">
        <v>2700</v>
      </c>
      <c r="AG31" s="1247" t="s">
        <v>1180</v>
      </c>
      <c r="AH31" s="1531"/>
      <c r="AI31" s="476" t="s">
        <v>192</v>
      </c>
      <c r="AJ31" s="1531"/>
      <c r="AK31" s="476" t="s">
        <v>192</v>
      </c>
      <c r="AL31" s="1245" t="s">
        <v>1729</v>
      </c>
      <c r="AM31" s="1532" t="s">
        <v>1729</v>
      </c>
      <c r="AN31" s="1245" t="s">
        <v>2027</v>
      </c>
      <c r="AO31" s="1247" t="s">
        <v>1180</v>
      </c>
      <c r="AP31" s="1245" t="s">
        <v>1450</v>
      </c>
      <c r="AQ31" s="1245" t="s">
        <v>2554</v>
      </c>
      <c r="AR31" s="1245" t="s">
        <v>1450</v>
      </c>
      <c r="AS31" s="1245" t="s">
        <v>2029</v>
      </c>
      <c r="AT31" s="1245" t="s">
        <v>1451</v>
      </c>
      <c r="AU31" s="1245" t="s">
        <v>1180</v>
      </c>
      <c r="AV31" s="1245" t="s">
        <v>1180</v>
      </c>
      <c r="AW31" s="1245" t="s">
        <v>1180</v>
      </c>
      <c r="AX31" s="1245" t="s">
        <v>68</v>
      </c>
      <c r="AY31" s="1531"/>
      <c r="AZ31" s="476" t="s">
        <v>192</v>
      </c>
      <c r="BA31" s="1531"/>
      <c r="BB31" s="476" t="s">
        <v>192</v>
      </c>
      <c r="BC31" s="1245" t="s">
        <v>2541</v>
      </c>
      <c r="BD31" s="1245" t="s">
        <v>2542</v>
      </c>
      <c r="BE31" s="1245" t="s">
        <v>1729</v>
      </c>
      <c r="BF31" s="1245" t="s">
        <v>2561</v>
      </c>
      <c r="BG31" s="1245" t="s">
        <v>2558</v>
      </c>
      <c r="BH31" s="1245" t="s">
        <v>2480</v>
      </c>
      <c r="BI31" s="1245" t="s">
        <v>2032</v>
      </c>
      <c r="BJ31" s="1245" t="s">
        <v>2011</v>
      </c>
      <c r="BK31" s="1531"/>
      <c r="BL31" s="476" t="s">
        <v>192</v>
      </c>
    </row>
    <row r="32" spans="1:64" ht="11.85" customHeight="1">
      <c r="A32" s="1528"/>
      <c r="B32" s="1521" t="s">
        <v>202</v>
      </c>
      <c r="C32" s="1244" t="s">
        <v>68</v>
      </c>
      <c r="D32" s="1523" t="s">
        <v>68</v>
      </c>
      <c r="E32" s="1244" t="s">
        <v>68</v>
      </c>
      <c r="F32" s="1244" t="s">
        <v>68</v>
      </c>
      <c r="G32" s="1244" t="s">
        <v>68</v>
      </c>
      <c r="H32" s="1244" t="s">
        <v>68</v>
      </c>
      <c r="I32" s="1244" t="s">
        <v>2692</v>
      </c>
      <c r="J32" s="1246" t="s">
        <v>68</v>
      </c>
      <c r="K32" s="1244" t="s">
        <v>68</v>
      </c>
      <c r="L32" s="1244" t="s">
        <v>1448</v>
      </c>
      <c r="M32" s="1244" t="s">
        <v>1431</v>
      </c>
      <c r="N32" s="144" t="s">
        <v>1431</v>
      </c>
      <c r="O32" s="1244" t="s">
        <v>68</v>
      </c>
      <c r="P32" s="1248" t="s">
        <v>1729</v>
      </c>
      <c r="Q32" s="1248" t="s">
        <v>68</v>
      </c>
      <c r="R32" s="1528"/>
      <c r="S32" s="1521" t="s">
        <v>193</v>
      </c>
      <c r="T32" s="1528"/>
      <c r="U32" s="1521" t="s">
        <v>193</v>
      </c>
      <c r="V32" s="1246" t="s">
        <v>68</v>
      </c>
      <c r="W32" s="1246" t="s">
        <v>68</v>
      </c>
      <c r="X32" s="1246" t="s">
        <v>68</v>
      </c>
      <c r="Y32" s="1246" t="s">
        <v>68</v>
      </c>
      <c r="Z32" s="1246" t="s">
        <v>68</v>
      </c>
      <c r="AA32" s="1246" t="s">
        <v>68</v>
      </c>
      <c r="AB32" s="1246" t="s">
        <v>1729</v>
      </c>
      <c r="AC32" s="1246" t="s">
        <v>68</v>
      </c>
      <c r="AD32" s="1246" t="s">
        <v>68</v>
      </c>
      <c r="AE32" s="1526" t="s">
        <v>1450</v>
      </c>
      <c r="AF32" s="1246" t="s">
        <v>68</v>
      </c>
      <c r="AG32" s="1246" t="s">
        <v>68</v>
      </c>
      <c r="AH32" s="1528"/>
      <c r="AI32" s="1521" t="s">
        <v>193</v>
      </c>
      <c r="AJ32" s="1528"/>
      <c r="AK32" s="1521" t="s">
        <v>193</v>
      </c>
      <c r="AL32" s="1523" t="s">
        <v>68</v>
      </c>
      <c r="AM32" s="1244" t="s">
        <v>68</v>
      </c>
      <c r="AN32" s="1248" t="s">
        <v>68</v>
      </c>
      <c r="AO32" s="1526" t="s">
        <v>68</v>
      </c>
      <c r="AP32" s="1244" t="s">
        <v>68</v>
      </c>
      <c r="AQ32" s="1244" t="s">
        <v>68</v>
      </c>
      <c r="AR32" s="1244" t="s">
        <v>68</v>
      </c>
      <c r="AS32" s="1244" t="s">
        <v>68</v>
      </c>
      <c r="AT32" s="1244" t="s">
        <v>68</v>
      </c>
      <c r="AU32" s="1244" t="s">
        <v>68</v>
      </c>
      <c r="AV32" s="1244" t="s">
        <v>68</v>
      </c>
      <c r="AW32" s="1244" t="s">
        <v>68</v>
      </c>
      <c r="AX32" s="1244" t="s">
        <v>68</v>
      </c>
      <c r="AY32" s="1528"/>
      <c r="AZ32" s="1521" t="s">
        <v>193</v>
      </c>
      <c r="BA32" s="1528"/>
      <c r="BB32" s="1521" t="s">
        <v>193</v>
      </c>
      <c r="BC32" s="1244" t="s">
        <v>68</v>
      </c>
      <c r="BD32" s="1244" t="s">
        <v>2542</v>
      </c>
      <c r="BE32" s="1244" t="s">
        <v>68</v>
      </c>
      <c r="BF32" s="1248" t="s">
        <v>68</v>
      </c>
      <c r="BG32" s="1244" t="s">
        <v>68</v>
      </c>
      <c r="BH32" s="1244" t="s">
        <v>2480</v>
      </c>
      <c r="BI32" s="1244" t="s">
        <v>68</v>
      </c>
      <c r="BJ32" s="1523" t="s">
        <v>68</v>
      </c>
      <c r="BK32" s="1528"/>
      <c r="BL32" s="1521" t="s">
        <v>193</v>
      </c>
    </row>
    <row r="33" spans="1:64" ht="20.25" customHeight="1">
      <c r="A33" s="1531" t="s">
        <v>729</v>
      </c>
      <c r="B33" s="1110" t="s">
        <v>880</v>
      </c>
      <c r="C33" s="1245"/>
      <c r="D33" s="1245"/>
      <c r="E33" s="1245"/>
      <c r="F33" s="1245"/>
      <c r="G33" s="1245"/>
      <c r="H33" s="1245"/>
      <c r="I33" s="1245"/>
      <c r="J33" s="1247"/>
      <c r="K33" s="1245"/>
      <c r="L33" s="1245"/>
      <c r="M33" s="1245"/>
      <c r="N33" s="1245"/>
      <c r="O33" s="1245"/>
      <c r="P33" s="1249"/>
      <c r="Q33" s="1249"/>
      <c r="R33" s="1531" t="s">
        <v>729</v>
      </c>
      <c r="S33" s="1110" t="s">
        <v>880</v>
      </c>
      <c r="T33" s="1531" t="s">
        <v>729</v>
      </c>
      <c r="U33" s="1110" t="s">
        <v>880</v>
      </c>
      <c r="V33" s="1247"/>
      <c r="W33" s="1247"/>
      <c r="X33" s="1247"/>
      <c r="Y33" s="1247"/>
      <c r="Z33" s="1247"/>
      <c r="AA33" s="1247"/>
      <c r="AB33" s="1247"/>
      <c r="AC33" s="1247"/>
      <c r="AD33" s="1247"/>
      <c r="AE33" s="1247"/>
      <c r="AF33" s="1247"/>
      <c r="AG33" s="1247"/>
      <c r="AH33" s="1531" t="s">
        <v>729</v>
      </c>
      <c r="AI33" s="1110" t="s">
        <v>880</v>
      </c>
      <c r="AJ33" s="1531" t="s">
        <v>729</v>
      </c>
      <c r="AK33" s="1110" t="s">
        <v>880</v>
      </c>
      <c r="AL33" s="1245"/>
      <c r="AM33" s="1245"/>
      <c r="AN33" s="1249"/>
      <c r="AO33" s="1245"/>
      <c r="AP33" s="1245"/>
      <c r="AQ33" s="1245"/>
      <c r="AR33" s="1245"/>
      <c r="AS33" s="1245"/>
      <c r="AT33" s="1245"/>
      <c r="AU33" s="1245"/>
      <c r="AV33" s="1245"/>
      <c r="AW33" s="1245"/>
      <c r="AX33" s="1245"/>
      <c r="AY33" s="1531" t="s">
        <v>729</v>
      </c>
      <c r="AZ33" s="1110" t="s">
        <v>880</v>
      </c>
      <c r="BA33" s="1531" t="s">
        <v>729</v>
      </c>
      <c r="BB33" s="1110" t="s">
        <v>880</v>
      </c>
      <c r="BC33" s="1245"/>
      <c r="BD33" s="1245"/>
      <c r="BE33" s="1245"/>
      <c r="BF33" s="1249"/>
      <c r="BG33" s="1245"/>
      <c r="BH33" s="1245"/>
      <c r="BI33" s="1245"/>
      <c r="BJ33" s="1245"/>
      <c r="BK33" s="1531" t="s">
        <v>729</v>
      </c>
      <c r="BL33" s="1110" t="s">
        <v>880</v>
      </c>
    </row>
    <row r="34" spans="1:64" ht="11.85" customHeight="1">
      <c r="A34" s="10"/>
      <c r="B34" s="1521" t="s">
        <v>201</v>
      </c>
      <c r="C34" s="1522" t="s">
        <v>2692</v>
      </c>
      <c r="D34" s="144" t="s">
        <v>2692</v>
      </c>
      <c r="E34" s="1246" t="s">
        <v>2692</v>
      </c>
      <c r="F34" s="1244" t="s">
        <v>2692</v>
      </c>
      <c r="G34" s="144" t="s">
        <v>2745</v>
      </c>
      <c r="H34" s="1244" t="s">
        <v>2692</v>
      </c>
      <c r="I34" s="1244" t="s">
        <v>68</v>
      </c>
      <c r="J34" s="144" t="s">
        <v>2692</v>
      </c>
      <c r="K34" s="1246" t="s">
        <v>2393</v>
      </c>
      <c r="L34" s="1246" t="s">
        <v>2031</v>
      </c>
      <c r="M34" s="1246" t="s">
        <v>2031</v>
      </c>
      <c r="N34" s="144" t="s">
        <v>1431</v>
      </c>
      <c r="O34" s="1244" t="s">
        <v>1451</v>
      </c>
      <c r="P34" s="1246" t="s">
        <v>2692</v>
      </c>
      <c r="Q34" s="1246" t="s">
        <v>2692</v>
      </c>
      <c r="R34" s="10"/>
      <c r="S34" s="1521" t="s">
        <v>192</v>
      </c>
      <c r="T34" s="10"/>
      <c r="U34" s="1521" t="s">
        <v>192</v>
      </c>
      <c r="V34" s="1246" t="s">
        <v>1451</v>
      </c>
      <c r="W34" s="1246" t="s">
        <v>1729</v>
      </c>
      <c r="X34" s="1246" t="s">
        <v>1451</v>
      </c>
      <c r="Y34" s="1246" t="s">
        <v>2031</v>
      </c>
      <c r="Z34" s="1522" t="s">
        <v>2692</v>
      </c>
      <c r="AA34" s="1246" t="s">
        <v>2030</v>
      </c>
      <c r="AB34" s="1246" t="s">
        <v>2141</v>
      </c>
      <c r="AC34" s="1246" t="s">
        <v>2701</v>
      </c>
      <c r="AD34" s="1246" t="s">
        <v>2692</v>
      </c>
      <c r="AE34" s="1246" t="s">
        <v>2477</v>
      </c>
      <c r="AF34" s="1246" t="s">
        <v>2699</v>
      </c>
      <c r="AG34" s="1246" t="s">
        <v>2028</v>
      </c>
      <c r="AH34" s="10"/>
      <c r="AI34" s="1521" t="s">
        <v>192</v>
      </c>
      <c r="AJ34" s="10"/>
      <c r="AK34" s="1521" t="s">
        <v>192</v>
      </c>
      <c r="AL34" s="1244" t="s">
        <v>2029</v>
      </c>
      <c r="AM34" s="1244" t="s">
        <v>1729</v>
      </c>
      <c r="AN34" s="1244" t="s">
        <v>2029</v>
      </c>
      <c r="AO34" s="1246" t="s">
        <v>1448</v>
      </c>
      <c r="AP34" s="1244" t="s">
        <v>1450</v>
      </c>
      <c r="AQ34" s="1244" t="s">
        <v>1451</v>
      </c>
      <c r="AR34" s="1244" t="s">
        <v>2030</v>
      </c>
      <c r="AS34" s="1244" t="s">
        <v>1451</v>
      </c>
      <c r="AT34" s="1244" t="s">
        <v>2874</v>
      </c>
      <c r="AU34" s="1244" t="s">
        <v>2028</v>
      </c>
      <c r="AV34" s="1244" t="s">
        <v>1451</v>
      </c>
      <c r="AW34" s="1357" t="s">
        <v>1180</v>
      </c>
      <c r="AX34" s="1244" t="s">
        <v>2692</v>
      </c>
      <c r="AY34" s="10"/>
      <c r="AZ34" s="1521" t="s">
        <v>192</v>
      </c>
      <c r="BA34" s="10"/>
      <c r="BB34" s="1521" t="s">
        <v>192</v>
      </c>
      <c r="BC34" s="1244" t="s">
        <v>1729</v>
      </c>
      <c r="BD34" s="1244" t="s">
        <v>1729</v>
      </c>
      <c r="BE34" s="1244" t="s">
        <v>2028</v>
      </c>
      <c r="BF34" s="1244" t="s">
        <v>2559</v>
      </c>
      <c r="BG34" s="1244" t="s">
        <v>2560</v>
      </c>
      <c r="BH34" s="1244" t="s">
        <v>68</v>
      </c>
      <c r="BI34" s="1244" t="s">
        <v>2027</v>
      </c>
      <c r="BJ34" s="1244" t="s">
        <v>1450</v>
      </c>
      <c r="BK34" s="10"/>
      <c r="BL34" s="1521" t="s">
        <v>192</v>
      </c>
    </row>
    <row r="35" spans="1:64" ht="11.85" customHeight="1">
      <c r="A35" s="1316"/>
      <c r="B35" s="476" t="s">
        <v>202</v>
      </c>
      <c r="C35" s="1245" t="s">
        <v>68</v>
      </c>
      <c r="D35" s="1525" t="s">
        <v>68</v>
      </c>
      <c r="E35" s="1245" t="s">
        <v>68</v>
      </c>
      <c r="F35" s="1245" t="s">
        <v>68</v>
      </c>
      <c r="G35" s="1245" t="s">
        <v>68</v>
      </c>
      <c r="H35" s="1245" t="s">
        <v>68</v>
      </c>
      <c r="I35" s="1245" t="s">
        <v>2692</v>
      </c>
      <c r="J35" s="1247" t="s">
        <v>68</v>
      </c>
      <c r="K35" s="1245" t="s">
        <v>68</v>
      </c>
      <c r="L35" s="1247" t="s">
        <v>1448</v>
      </c>
      <c r="M35" s="1245" t="s">
        <v>1431</v>
      </c>
      <c r="N35" s="1245" t="s">
        <v>68</v>
      </c>
      <c r="O35" s="1245" t="s">
        <v>68</v>
      </c>
      <c r="P35" s="1245" t="s">
        <v>1450</v>
      </c>
      <c r="Q35" s="1245" t="s">
        <v>68</v>
      </c>
      <c r="R35" s="1316"/>
      <c r="S35" s="476" t="s">
        <v>193</v>
      </c>
      <c r="T35" s="1316"/>
      <c r="U35" s="476" t="s">
        <v>193</v>
      </c>
      <c r="V35" s="1247" t="s">
        <v>68</v>
      </c>
      <c r="W35" s="1247" t="s">
        <v>68</v>
      </c>
      <c r="X35" s="1247" t="s">
        <v>68</v>
      </c>
      <c r="Y35" s="1247" t="s">
        <v>68</v>
      </c>
      <c r="Z35" s="1247" t="s">
        <v>68</v>
      </c>
      <c r="AA35" s="1247" t="s">
        <v>68</v>
      </c>
      <c r="AB35" s="1247" t="s">
        <v>68</v>
      </c>
      <c r="AC35" s="1247" t="s">
        <v>68</v>
      </c>
      <c r="AD35" s="1247" t="s">
        <v>68</v>
      </c>
      <c r="AE35" s="1247" t="s">
        <v>1450</v>
      </c>
      <c r="AF35" s="1247" t="s">
        <v>68</v>
      </c>
      <c r="AG35" s="1247" t="s">
        <v>2029</v>
      </c>
      <c r="AH35" s="1316"/>
      <c r="AI35" s="476" t="s">
        <v>193</v>
      </c>
      <c r="AJ35" s="1316"/>
      <c r="AK35" s="476" t="s">
        <v>193</v>
      </c>
      <c r="AL35" s="1525" t="s">
        <v>68</v>
      </c>
      <c r="AM35" s="1245" t="s">
        <v>68</v>
      </c>
      <c r="AN35" s="1245" t="s">
        <v>68</v>
      </c>
      <c r="AO35" s="1524" t="s">
        <v>68</v>
      </c>
      <c r="AP35" s="1245" t="s">
        <v>68</v>
      </c>
      <c r="AQ35" s="1245" t="s">
        <v>68</v>
      </c>
      <c r="AR35" s="1245" t="s">
        <v>68</v>
      </c>
      <c r="AS35" s="1245" t="s">
        <v>68</v>
      </c>
      <c r="AT35" s="1245" t="s">
        <v>68</v>
      </c>
      <c r="AU35" s="1245" t="s">
        <v>68</v>
      </c>
      <c r="AV35" s="1245" t="s">
        <v>68</v>
      </c>
      <c r="AW35" s="1245" t="s">
        <v>68</v>
      </c>
      <c r="AX35" s="1245" t="s">
        <v>68</v>
      </c>
      <c r="AY35" s="1316"/>
      <c r="AZ35" s="476" t="s">
        <v>193</v>
      </c>
      <c r="BA35" s="1316"/>
      <c r="BB35" s="476" t="s">
        <v>193</v>
      </c>
      <c r="BC35" s="1245" t="s">
        <v>68</v>
      </c>
      <c r="BD35" s="1245" t="s">
        <v>1729</v>
      </c>
      <c r="BE35" s="1245" t="s">
        <v>68</v>
      </c>
      <c r="BF35" s="1245" t="s">
        <v>68</v>
      </c>
      <c r="BG35" s="1245" t="s">
        <v>68</v>
      </c>
      <c r="BH35" s="1245" t="s">
        <v>68</v>
      </c>
      <c r="BI35" s="1245" t="s">
        <v>68</v>
      </c>
      <c r="BJ35" s="1525" t="s">
        <v>68</v>
      </c>
      <c r="BK35" s="1316"/>
      <c r="BL35" s="476" t="s">
        <v>193</v>
      </c>
    </row>
    <row r="36" spans="1:64" ht="11.85" customHeight="1">
      <c r="A36" s="2152" t="s">
        <v>106</v>
      </c>
      <c r="B36" s="2152"/>
      <c r="C36" s="1244" t="s">
        <v>2689</v>
      </c>
      <c r="D36" s="1244" t="s">
        <v>2689</v>
      </c>
      <c r="E36" s="1244" t="s">
        <v>2689</v>
      </c>
      <c r="F36" s="1244" t="s">
        <v>2689</v>
      </c>
      <c r="G36" s="1244" t="s">
        <v>2689</v>
      </c>
      <c r="H36" s="1244" t="s">
        <v>2689</v>
      </c>
      <c r="I36" s="1244" t="s">
        <v>68</v>
      </c>
      <c r="J36" s="1246" t="s">
        <v>2689</v>
      </c>
      <c r="K36" s="1244" t="s">
        <v>2689</v>
      </c>
      <c r="L36" s="1244" t="s">
        <v>2689</v>
      </c>
      <c r="M36" s="1244" t="s">
        <v>2689</v>
      </c>
      <c r="N36" s="1244" t="s">
        <v>2689</v>
      </c>
      <c r="O36" s="1244" t="s">
        <v>2689</v>
      </c>
      <c r="P36" s="1244" t="s">
        <v>2689</v>
      </c>
      <c r="Q36" s="1244" t="s">
        <v>2689</v>
      </c>
      <c r="R36" s="2152" t="s">
        <v>106</v>
      </c>
      <c r="S36" s="2152"/>
      <c r="T36" s="2152" t="s">
        <v>106</v>
      </c>
      <c r="U36" s="2152"/>
      <c r="V36" s="1246" t="s">
        <v>2689</v>
      </c>
      <c r="W36" s="1246" t="s">
        <v>2689</v>
      </c>
      <c r="X36" s="1246" t="s">
        <v>2689</v>
      </c>
      <c r="Y36" s="1246" t="s">
        <v>2689</v>
      </c>
      <c r="Z36" s="1246" t="s">
        <v>2689</v>
      </c>
      <c r="AA36" s="1246" t="s">
        <v>2689</v>
      </c>
      <c r="AB36" s="1246" t="s">
        <v>2689</v>
      </c>
      <c r="AC36" s="1246" t="s">
        <v>2689</v>
      </c>
      <c r="AD36" s="1246" t="s">
        <v>2689</v>
      </c>
      <c r="AE36" s="1246" t="s">
        <v>2689</v>
      </c>
      <c r="AF36" s="1246" t="s">
        <v>2689</v>
      </c>
      <c r="AG36" s="1246" t="s">
        <v>2689</v>
      </c>
      <c r="AH36" s="2152" t="s">
        <v>106</v>
      </c>
      <c r="AI36" s="2152"/>
      <c r="AJ36" s="2152" t="s">
        <v>106</v>
      </c>
      <c r="AK36" s="2152"/>
      <c r="AL36" s="1244" t="s">
        <v>2689</v>
      </c>
      <c r="AM36" s="1244" t="s">
        <v>2689</v>
      </c>
      <c r="AN36" s="1244" t="s">
        <v>2689</v>
      </c>
      <c r="AO36" s="1244" t="s">
        <v>2689</v>
      </c>
      <c r="AP36" s="1244" t="s">
        <v>2689</v>
      </c>
      <c r="AQ36" s="1244" t="s">
        <v>2689</v>
      </c>
      <c r="AR36" s="1244" t="s">
        <v>2689</v>
      </c>
      <c r="AS36" s="1244" t="s">
        <v>2689</v>
      </c>
      <c r="AT36" s="1244" t="s">
        <v>2689</v>
      </c>
      <c r="AU36" s="1244" t="s">
        <v>2689</v>
      </c>
      <c r="AV36" s="1244" t="s">
        <v>2689</v>
      </c>
      <c r="AW36" s="1244" t="s">
        <v>2689</v>
      </c>
      <c r="AX36" s="1244" t="s">
        <v>68</v>
      </c>
      <c r="AY36" s="2152" t="s">
        <v>106</v>
      </c>
      <c r="AZ36" s="2152"/>
      <c r="BA36" s="2152" t="s">
        <v>106</v>
      </c>
      <c r="BB36" s="2152"/>
      <c r="BC36" s="1244" t="s">
        <v>2689</v>
      </c>
      <c r="BD36" s="1244" t="s">
        <v>2689</v>
      </c>
      <c r="BE36" s="1244" t="s">
        <v>2689</v>
      </c>
      <c r="BF36" s="1244" t="s">
        <v>2689</v>
      </c>
      <c r="BG36" s="1244" t="s">
        <v>2702</v>
      </c>
      <c r="BH36" s="1244" t="s">
        <v>68</v>
      </c>
      <c r="BI36" s="1244" t="s">
        <v>2689</v>
      </c>
      <c r="BJ36" s="1244" t="s">
        <v>68</v>
      </c>
      <c r="BK36" s="2152" t="s">
        <v>106</v>
      </c>
      <c r="BL36" s="2152"/>
    </row>
    <row r="37" spans="1:64" ht="11.85" customHeight="1">
      <c r="A37" s="2153" t="s">
        <v>205</v>
      </c>
      <c r="B37" s="2153"/>
      <c r="C37" s="1245"/>
      <c r="D37" s="1245"/>
      <c r="E37" s="1245"/>
      <c r="F37" s="1245"/>
      <c r="G37" s="1245"/>
      <c r="H37" s="1245"/>
      <c r="I37" s="1245"/>
      <c r="J37" s="1247"/>
      <c r="K37" s="1245"/>
      <c r="L37" s="1245"/>
      <c r="M37" s="1245"/>
      <c r="N37" s="1245"/>
      <c r="O37" s="1245"/>
      <c r="P37" s="1249"/>
      <c r="Q37" s="1249"/>
      <c r="R37" s="2153" t="s">
        <v>205</v>
      </c>
      <c r="S37" s="2153"/>
      <c r="T37" s="2153" t="s">
        <v>205</v>
      </c>
      <c r="U37" s="2153"/>
      <c r="V37" s="1247"/>
      <c r="W37" s="1247"/>
      <c r="X37" s="1247"/>
      <c r="Y37" s="1247"/>
      <c r="Z37" s="1247"/>
      <c r="AA37" s="1507"/>
      <c r="AB37" s="1507"/>
      <c r="AC37" s="1507"/>
      <c r="AD37" s="1507"/>
      <c r="AE37" s="1507"/>
      <c r="AF37" s="1507"/>
      <c r="AG37" s="1247"/>
      <c r="AH37" s="2153" t="s">
        <v>205</v>
      </c>
      <c r="AI37" s="2153"/>
      <c r="AJ37" s="2153" t="s">
        <v>205</v>
      </c>
      <c r="AK37" s="2153"/>
      <c r="AL37" s="1249"/>
      <c r="AM37" s="1249"/>
      <c r="AN37" s="1249"/>
      <c r="AO37" s="1249"/>
      <c r="AP37" s="1245"/>
      <c r="AQ37" s="1245"/>
      <c r="AR37" s="1245"/>
      <c r="AS37" s="1245"/>
      <c r="AT37" s="1245"/>
      <c r="AU37" s="1245"/>
      <c r="AV37" s="1245"/>
      <c r="AW37" s="1245"/>
      <c r="AX37" s="1245"/>
      <c r="AY37" s="2153" t="s">
        <v>205</v>
      </c>
      <c r="AZ37" s="2153"/>
      <c r="BA37" s="2153" t="s">
        <v>205</v>
      </c>
      <c r="BB37" s="2153"/>
      <c r="BC37" s="1245"/>
      <c r="BD37" s="1245"/>
      <c r="BE37" s="1245"/>
      <c r="BF37" s="1249"/>
      <c r="BG37" s="1245"/>
      <c r="BH37" s="1245"/>
      <c r="BI37" s="1245"/>
      <c r="BJ37" s="1245"/>
      <c r="BK37" s="2153" t="s">
        <v>205</v>
      </c>
      <c r="BL37" s="2153"/>
    </row>
    <row r="38" spans="1:64" ht="11.85" customHeight="1">
      <c r="A38" s="10"/>
      <c r="B38" s="1521" t="s">
        <v>192</v>
      </c>
      <c r="C38" s="144" t="s">
        <v>2692</v>
      </c>
      <c r="D38" s="1244" t="s">
        <v>2692</v>
      </c>
      <c r="E38" s="1246" t="s">
        <v>2692</v>
      </c>
      <c r="F38" s="1244" t="s">
        <v>2721</v>
      </c>
      <c r="G38" s="144" t="s">
        <v>2692</v>
      </c>
      <c r="H38" s="144" t="s">
        <v>2692</v>
      </c>
      <c r="I38" s="1244" t="s">
        <v>2692</v>
      </c>
      <c r="J38" s="1246" t="s">
        <v>2692</v>
      </c>
      <c r="K38" s="1244" t="s">
        <v>2697</v>
      </c>
      <c r="L38" s="1244" t="s">
        <v>1729</v>
      </c>
      <c r="M38" s="1246" t="s">
        <v>2031</v>
      </c>
      <c r="N38" s="144" t="s">
        <v>1431</v>
      </c>
      <c r="O38" s="1244" t="s">
        <v>1451</v>
      </c>
      <c r="P38" s="1246" t="s">
        <v>1729</v>
      </c>
      <c r="Q38" s="1246" t="s">
        <v>2704</v>
      </c>
      <c r="R38" s="10"/>
      <c r="S38" s="1521" t="s">
        <v>192</v>
      </c>
      <c r="T38" s="10"/>
      <c r="U38" s="1521" t="s">
        <v>192</v>
      </c>
      <c r="V38" s="1246" t="s">
        <v>2551</v>
      </c>
      <c r="W38" s="1246" t="s">
        <v>2449</v>
      </c>
      <c r="X38" s="1246" t="s">
        <v>2028</v>
      </c>
      <c r="Y38" s="1246" t="s">
        <v>68</v>
      </c>
      <c r="Z38" s="1246" t="s">
        <v>2692</v>
      </c>
      <c r="AA38" s="1246" t="s">
        <v>2028</v>
      </c>
      <c r="AB38" s="1246" t="s">
        <v>2141</v>
      </c>
      <c r="AC38" s="1246" t="s">
        <v>1450</v>
      </c>
      <c r="AD38" s="1246" t="s">
        <v>2692</v>
      </c>
      <c r="AE38" s="1246" t="s">
        <v>2393</v>
      </c>
      <c r="AF38" s="1246" t="s">
        <v>2700</v>
      </c>
      <c r="AG38" s="1246" t="s">
        <v>2028</v>
      </c>
      <c r="AH38" s="10"/>
      <c r="AI38" s="1521" t="s">
        <v>192</v>
      </c>
      <c r="AJ38" s="10"/>
      <c r="AK38" s="1521" t="s">
        <v>192</v>
      </c>
      <c r="AL38" s="1244" t="s">
        <v>1729</v>
      </c>
      <c r="AM38" s="1244" t="s">
        <v>1729</v>
      </c>
      <c r="AN38" s="1244" t="s">
        <v>2027</v>
      </c>
      <c r="AO38" s="1246" t="s">
        <v>1180</v>
      </c>
      <c r="AP38" s="1244" t="s">
        <v>1450</v>
      </c>
      <c r="AQ38" s="1244" t="s">
        <v>1451</v>
      </c>
      <c r="AR38" s="1244" t="s">
        <v>1450</v>
      </c>
      <c r="AS38" s="1244" t="s">
        <v>2029</v>
      </c>
      <c r="AT38" s="1244" t="s">
        <v>1451</v>
      </c>
      <c r="AU38" s="1244" t="s">
        <v>2029</v>
      </c>
      <c r="AV38" s="1244" t="s">
        <v>1451</v>
      </c>
      <c r="AW38" s="1357" t="s">
        <v>1450</v>
      </c>
      <c r="AX38" s="1244" t="s">
        <v>68</v>
      </c>
      <c r="AY38" s="10"/>
      <c r="AZ38" s="1521" t="s">
        <v>192</v>
      </c>
      <c r="BA38" s="10"/>
      <c r="BB38" s="1521" t="s">
        <v>192</v>
      </c>
      <c r="BC38" s="1244" t="s">
        <v>1729</v>
      </c>
      <c r="BD38" s="1244" t="s">
        <v>2542</v>
      </c>
      <c r="BE38" s="1244" t="s">
        <v>1180</v>
      </c>
      <c r="BF38" s="1244" t="s">
        <v>2479</v>
      </c>
      <c r="BG38" s="1244" t="s">
        <v>1451</v>
      </c>
      <c r="BH38" s="1244" t="s">
        <v>2039</v>
      </c>
      <c r="BI38" s="1244" t="s">
        <v>1451</v>
      </c>
      <c r="BJ38" s="1244" t="s">
        <v>68</v>
      </c>
      <c r="BK38" s="10"/>
      <c r="BL38" s="1521" t="s">
        <v>192</v>
      </c>
    </row>
    <row r="39" spans="1:64" ht="11.85" customHeight="1">
      <c r="A39" s="1316"/>
      <c r="B39" s="476" t="s">
        <v>193</v>
      </c>
      <c r="C39" s="1245" t="s">
        <v>68</v>
      </c>
      <c r="D39" s="1245" t="s">
        <v>68</v>
      </c>
      <c r="E39" s="1245" t="s">
        <v>68</v>
      </c>
      <c r="F39" s="1245" t="s">
        <v>68</v>
      </c>
      <c r="G39" s="1245" t="s">
        <v>68</v>
      </c>
      <c r="H39" s="1245" t="s">
        <v>68</v>
      </c>
      <c r="I39" s="1245" t="s">
        <v>68</v>
      </c>
      <c r="J39" s="1247" t="s">
        <v>68</v>
      </c>
      <c r="K39" s="1245" t="s">
        <v>2703</v>
      </c>
      <c r="L39" s="1245" t="s">
        <v>2029</v>
      </c>
      <c r="M39" s="1247" t="s">
        <v>1431</v>
      </c>
      <c r="N39" s="1250" t="s">
        <v>1431</v>
      </c>
      <c r="O39" s="1245" t="s">
        <v>68</v>
      </c>
      <c r="P39" s="1249" t="s">
        <v>1729</v>
      </c>
      <c r="Q39" s="1249" t="s">
        <v>68</v>
      </c>
      <c r="R39" s="1316"/>
      <c r="S39" s="476" t="s">
        <v>193</v>
      </c>
      <c r="T39" s="1316"/>
      <c r="U39" s="476" t="s">
        <v>193</v>
      </c>
      <c r="V39" s="1247" t="s">
        <v>68</v>
      </c>
      <c r="W39" s="1247" t="s">
        <v>68</v>
      </c>
      <c r="X39" s="1247" t="s">
        <v>68</v>
      </c>
      <c r="Y39" s="1247" t="s">
        <v>1450</v>
      </c>
      <c r="Z39" s="1247" t="s">
        <v>68</v>
      </c>
      <c r="AA39" s="1507" t="s">
        <v>68</v>
      </c>
      <c r="AB39" s="1507" t="s">
        <v>68</v>
      </c>
      <c r="AC39" s="1507" t="s">
        <v>68</v>
      </c>
      <c r="AD39" s="1507" t="s">
        <v>68</v>
      </c>
      <c r="AE39" s="1533" t="s">
        <v>68</v>
      </c>
      <c r="AF39" s="1507" t="s">
        <v>68</v>
      </c>
      <c r="AG39" s="1507" t="s">
        <v>2029</v>
      </c>
      <c r="AH39" s="1316"/>
      <c r="AI39" s="476" t="s">
        <v>193</v>
      </c>
      <c r="AJ39" s="1316"/>
      <c r="AK39" s="476" t="s">
        <v>193</v>
      </c>
      <c r="AL39" s="1525" t="s">
        <v>68</v>
      </c>
      <c r="AM39" s="1245" t="s">
        <v>68</v>
      </c>
      <c r="AN39" s="1249" t="s">
        <v>68</v>
      </c>
      <c r="AO39" s="1524" t="s">
        <v>68</v>
      </c>
      <c r="AP39" s="1245" t="s">
        <v>68</v>
      </c>
      <c r="AQ39" s="1245" t="s">
        <v>68</v>
      </c>
      <c r="AR39" s="1245" t="s">
        <v>68</v>
      </c>
      <c r="AS39" s="1245" t="s">
        <v>1431</v>
      </c>
      <c r="AT39" s="1245" t="s">
        <v>68</v>
      </c>
      <c r="AU39" s="1245" t="s">
        <v>68</v>
      </c>
      <c r="AV39" s="1245" t="s">
        <v>68</v>
      </c>
      <c r="AW39" s="1245" t="s">
        <v>68</v>
      </c>
      <c r="AX39" s="1245" t="s">
        <v>68</v>
      </c>
      <c r="AY39" s="1316"/>
      <c r="AZ39" s="476" t="s">
        <v>193</v>
      </c>
      <c r="BA39" s="1316"/>
      <c r="BB39" s="476" t="s">
        <v>193</v>
      </c>
      <c r="BC39" s="1245" t="s">
        <v>68</v>
      </c>
      <c r="BD39" s="1245" t="s">
        <v>2542</v>
      </c>
      <c r="BE39" s="1245" t="s">
        <v>68</v>
      </c>
      <c r="BF39" s="1249" t="s">
        <v>68</v>
      </c>
      <c r="BG39" s="1245" t="s">
        <v>68</v>
      </c>
      <c r="BH39" s="1245" t="s">
        <v>2039</v>
      </c>
      <c r="BI39" s="1245" t="s">
        <v>68</v>
      </c>
      <c r="BJ39" s="1245" t="s">
        <v>68</v>
      </c>
      <c r="BK39" s="1316"/>
      <c r="BL39" s="476" t="s">
        <v>193</v>
      </c>
    </row>
    <row r="40" spans="1:64" ht="11.85" customHeight="1">
      <c r="A40" s="2152" t="s">
        <v>206</v>
      </c>
      <c r="B40" s="2152"/>
      <c r="C40" s="1244"/>
      <c r="D40" s="1244"/>
      <c r="E40" s="1244"/>
      <c r="F40" s="1244"/>
      <c r="G40" s="1244"/>
      <c r="H40" s="1517"/>
      <c r="I40" s="1244"/>
      <c r="J40" s="1246"/>
      <c r="K40" s="1244"/>
      <c r="L40" s="1244"/>
      <c r="M40" s="1244"/>
      <c r="N40" s="1244"/>
      <c r="O40" s="1244"/>
      <c r="P40" s="1248"/>
      <c r="Q40" s="1248"/>
      <c r="R40" s="2152" t="s">
        <v>206</v>
      </c>
      <c r="S40" s="2152"/>
      <c r="T40" s="2152" t="s">
        <v>206</v>
      </c>
      <c r="U40" s="2152"/>
      <c r="V40" s="1246"/>
      <c r="W40" s="1246"/>
      <c r="X40" s="1246"/>
      <c r="Y40" s="1246"/>
      <c r="Z40" s="1246"/>
      <c r="AA40" s="1519"/>
      <c r="AB40" s="1519"/>
      <c r="AC40" s="1519"/>
      <c r="AD40" s="1519"/>
      <c r="AE40" s="1519"/>
      <c r="AF40" s="1519"/>
      <c r="AG40" s="1519"/>
      <c r="AH40" s="2152" t="s">
        <v>206</v>
      </c>
      <c r="AI40" s="2152"/>
      <c r="AJ40" s="2152" t="s">
        <v>206</v>
      </c>
      <c r="AK40" s="2152"/>
      <c r="AL40" s="1244"/>
      <c r="AM40" s="1244"/>
      <c r="AN40" s="1248"/>
      <c r="AO40" s="1244"/>
      <c r="AP40" s="1244"/>
      <c r="AQ40" s="1244"/>
      <c r="AR40" s="1244"/>
      <c r="AS40" s="1244"/>
      <c r="AT40" s="1244"/>
      <c r="AU40" s="1244"/>
      <c r="AV40" s="1244"/>
      <c r="AW40" s="1244"/>
      <c r="AX40" s="1244"/>
      <c r="AY40" s="2152" t="s">
        <v>206</v>
      </c>
      <c r="AZ40" s="2152"/>
      <c r="BA40" s="2152" t="s">
        <v>206</v>
      </c>
      <c r="BB40" s="2152"/>
      <c r="BC40" s="1244"/>
      <c r="BD40" s="1244"/>
      <c r="BE40" s="1244"/>
      <c r="BF40" s="1248" t="s">
        <v>911</v>
      </c>
      <c r="BG40" s="1244"/>
      <c r="BH40" s="1244"/>
      <c r="BI40" s="1244"/>
      <c r="BJ40" s="1244"/>
      <c r="BK40" s="2152" t="s">
        <v>206</v>
      </c>
      <c r="BL40" s="2152"/>
    </row>
    <row r="41" spans="1:64" ht="11.85" customHeight="1">
      <c r="A41" s="1316"/>
      <c r="B41" s="476" t="s">
        <v>192</v>
      </c>
      <c r="C41" s="1250" t="s">
        <v>2692</v>
      </c>
      <c r="D41" s="1250" t="s">
        <v>2692</v>
      </c>
      <c r="E41" s="1247" t="s">
        <v>2692</v>
      </c>
      <c r="F41" s="1247" t="s">
        <v>2766</v>
      </c>
      <c r="G41" s="1245" t="s">
        <v>2692</v>
      </c>
      <c r="H41" s="1247" t="s">
        <v>2692</v>
      </c>
      <c r="I41" s="1245" t="s">
        <v>68</v>
      </c>
      <c r="J41" s="1247" t="s">
        <v>68</v>
      </c>
      <c r="K41" s="1245" t="s">
        <v>2703</v>
      </c>
      <c r="L41" s="1245" t="s">
        <v>2031</v>
      </c>
      <c r="M41" s="1247" t="s">
        <v>2031</v>
      </c>
      <c r="N41" s="1247" t="s">
        <v>1451</v>
      </c>
      <c r="O41" s="1245" t="s">
        <v>1451</v>
      </c>
      <c r="P41" s="1534" t="s">
        <v>1729</v>
      </c>
      <c r="Q41" s="1247" t="s">
        <v>2721</v>
      </c>
      <c r="R41" s="1316"/>
      <c r="S41" s="476" t="s">
        <v>192</v>
      </c>
      <c r="T41" s="1316"/>
      <c r="U41" s="476" t="s">
        <v>192</v>
      </c>
      <c r="V41" s="1247" t="s">
        <v>2778</v>
      </c>
      <c r="W41" s="1247" t="s">
        <v>2028</v>
      </c>
      <c r="X41" s="1247" t="s">
        <v>2028</v>
      </c>
      <c r="Y41" s="1247" t="s">
        <v>2029</v>
      </c>
      <c r="Z41" s="1247" t="s">
        <v>2692</v>
      </c>
      <c r="AA41" s="1247" t="s">
        <v>1451</v>
      </c>
      <c r="AB41" s="1247" t="s">
        <v>1729</v>
      </c>
      <c r="AC41" s="1247" t="s">
        <v>2704</v>
      </c>
      <c r="AD41" s="1247" t="s">
        <v>2692</v>
      </c>
      <c r="AE41" s="1247" t="s">
        <v>1451</v>
      </c>
      <c r="AF41" s="1247" t="s">
        <v>2698</v>
      </c>
      <c r="AG41" s="1247" t="s">
        <v>1450</v>
      </c>
      <c r="AH41" s="1316"/>
      <c r="AI41" s="476" t="s">
        <v>192</v>
      </c>
      <c r="AJ41" s="1316"/>
      <c r="AK41" s="476" t="s">
        <v>192</v>
      </c>
      <c r="AL41" s="1245" t="s">
        <v>1729</v>
      </c>
      <c r="AM41" s="1245" t="s">
        <v>2031</v>
      </c>
      <c r="AN41" s="1245" t="s">
        <v>1180</v>
      </c>
      <c r="AO41" s="1245" t="s">
        <v>1180</v>
      </c>
      <c r="AP41" s="1245" t="s">
        <v>2029</v>
      </c>
      <c r="AQ41" s="1245" t="s">
        <v>2029</v>
      </c>
      <c r="AR41" s="1245" t="s">
        <v>1451</v>
      </c>
      <c r="AS41" s="1245" t="s">
        <v>1451</v>
      </c>
      <c r="AT41" s="1245" t="s">
        <v>2703</v>
      </c>
      <c r="AU41" s="1245" t="s">
        <v>1451</v>
      </c>
      <c r="AV41" s="1245" t="s">
        <v>1450</v>
      </c>
      <c r="AW41" s="1350" t="s">
        <v>1450</v>
      </c>
      <c r="AX41" s="1245" t="s">
        <v>2476</v>
      </c>
      <c r="AY41" s="1316"/>
      <c r="AZ41" s="476" t="s">
        <v>192</v>
      </c>
      <c r="BA41" s="1316"/>
      <c r="BB41" s="476" t="s">
        <v>192</v>
      </c>
      <c r="BC41" s="1245" t="s">
        <v>2543</v>
      </c>
      <c r="BD41" s="1245" t="s">
        <v>2027</v>
      </c>
      <c r="BE41" s="1245" t="s">
        <v>1729</v>
      </c>
      <c r="BF41" s="1515" t="s">
        <v>68</v>
      </c>
      <c r="BG41" s="1245" t="s">
        <v>2697</v>
      </c>
      <c r="BH41" s="1245" t="s">
        <v>68</v>
      </c>
      <c r="BI41" s="1245" t="s">
        <v>2271</v>
      </c>
      <c r="BJ41" s="1245" t="s">
        <v>1450</v>
      </c>
      <c r="BK41" s="1316"/>
      <c r="BL41" s="476" t="s">
        <v>192</v>
      </c>
    </row>
    <row r="42" spans="1:64" ht="11.85" customHeight="1">
      <c r="A42" s="10"/>
      <c r="B42" s="1521" t="s">
        <v>193</v>
      </c>
      <c r="C42" s="144" t="s">
        <v>68</v>
      </c>
      <c r="D42" s="1535" t="s">
        <v>2692</v>
      </c>
      <c r="E42" s="1244" t="s">
        <v>68</v>
      </c>
      <c r="F42" s="1244" t="s">
        <v>68</v>
      </c>
      <c r="G42" s="1244" t="s">
        <v>2697</v>
      </c>
      <c r="H42" s="1517" t="s">
        <v>68</v>
      </c>
      <c r="I42" s="1244" t="s">
        <v>68</v>
      </c>
      <c r="J42" s="1246" t="s">
        <v>68</v>
      </c>
      <c r="K42" s="1244" t="s">
        <v>2706</v>
      </c>
      <c r="L42" s="1244" t="s">
        <v>68</v>
      </c>
      <c r="M42" s="1244" t="s">
        <v>68</v>
      </c>
      <c r="N42" s="1244" t="s">
        <v>1180</v>
      </c>
      <c r="O42" s="1248" t="s">
        <v>68</v>
      </c>
      <c r="P42" s="1244" t="s">
        <v>68</v>
      </c>
      <c r="Q42" s="1244" t="s">
        <v>68</v>
      </c>
      <c r="R42" s="10"/>
      <c r="S42" s="1521" t="s">
        <v>193</v>
      </c>
      <c r="T42" s="10"/>
      <c r="U42" s="1521" t="s">
        <v>193</v>
      </c>
      <c r="V42" s="1246" t="s">
        <v>68</v>
      </c>
      <c r="W42" s="1246" t="s">
        <v>68</v>
      </c>
      <c r="X42" s="1246" t="s">
        <v>68</v>
      </c>
      <c r="Y42" s="1246" t="s">
        <v>68</v>
      </c>
      <c r="Z42" s="1246" t="s">
        <v>68</v>
      </c>
      <c r="AA42" s="1246" t="s">
        <v>68</v>
      </c>
      <c r="AB42" s="1246" t="s">
        <v>68</v>
      </c>
      <c r="AC42" s="1246" t="s">
        <v>68</v>
      </c>
      <c r="AD42" s="1246" t="s">
        <v>68</v>
      </c>
      <c r="AE42" s="1246" t="s">
        <v>68</v>
      </c>
      <c r="AF42" s="1246" t="s">
        <v>68</v>
      </c>
      <c r="AG42" s="1246" t="s">
        <v>2029</v>
      </c>
      <c r="AH42" s="10"/>
      <c r="AI42" s="1521" t="s">
        <v>193</v>
      </c>
      <c r="AJ42" s="10"/>
      <c r="AK42" s="1521" t="s">
        <v>193</v>
      </c>
      <c r="AL42" s="1523" t="s">
        <v>68</v>
      </c>
      <c r="AM42" s="1244" t="s">
        <v>2031</v>
      </c>
      <c r="AN42" s="1244" t="s">
        <v>2800</v>
      </c>
      <c r="AO42" s="1526" t="s">
        <v>68</v>
      </c>
      <c r="AP42" s="1244" t="s">
        <v>68</v>
      </c>
      <c r="AQ42" s="1244" t="s">
        <v>68</v>
      </c>
      <c r="AR42" s="1244" t="s">
        <v>68</v>
      </c>
      <c r="AS42" s="1244" t="s">
        <v>68</v>
      </c>
      <c r="AT42" s="1244" t="s">
        <v>68</v>
      </c>
      <c r="AU42" s="1244" t="s">
        <v>68</v>
      </c>
      <c r="AV42" s="1244" t="s">
        <v>68</v>
      </c>
      <c r="AW42" s="1244" t="s">
        <v>68</v>
      </c>
      <c r="AX42" s="1244" t="s">
        <v>68</v>
      </c>
      <c r="AY42" s="10"/>
      <c r="AZ42" s="1521" t="s">
        <v>193</v>
      </c>
      <c r="BA42" s="10"/>
      <c r="BB42" s="1521" t="s">
        <v>193</v>
      </c>
      <c r="BC42" s="1244" t="s">
        <v>68</v>
      </c>
      <c r="BD42" s="1517" t="s">
        <v>68</v>
      </c>
      <c r="BE42" s="1244" t="s">
        <v>68</v>
      </c>
      <c r="BF42" s="1248" t="s">
        <v>68</v>
      </c>
      <c r="BG42" s="1244" t="s">
        <v>68</v>
      </c>
      <c r="BH42" s="1244" t="s">
        <v>68</v>
      </c>
      <c r="BI42" s="1244" t="s">
        <v>68</v>
      </c>
      <c r="BJ42" s="1523" t="s">
        <v>68</v>
      </c>
      <c r="BK42" s="10"/>
      <c r="BL42" s="1521" t="s">
        <v>193</v>
      </c>
    </row>
    <row r="43" spans="1:64" ht="11.85" customHeight="1">
      <c r="A43" s="2153" t="s">
        <v>207</v>
      </c>
      <c r="B43" s="2153"/>
      <c r="C43" s="1245"/>
      <c r="D43" s="1245"/>
      <c r="E43" s="1245"/>
      <c r="F43" s="1245"/>
      <c r="G43" s="1245"/>
      <c r="H43" s="1245"/>
      <c r="I43" s="1245"/>
      <c r="J43" s="1247"/>
      <c r="K43" s="1245"/>
      <c r="L43" s="1245"/>
      <c r="M43" s="1245"/>
      <c r="N43" s="1245"/>
      <c r="O43" s="1249"/>
      <c r="P43" s="1245"/>
      <c r="Q43" s="1249"/>
      <c r="R43" s="2153" t="s">
        <v>207</v>
      </c>
      <c r="S43" s="2153"/>
      <c r="T43" s="2153" t="s">
        <v>207</v>
      </c>
      <c r="U43" s="2153"/>
      <c r="V43" s="1247"/>
      <c r="W43" s="1247"/>
      <c r="X43" s="1247"/>
      <c r="Y43" s="1247"/>
      <c r="Z43" s="1247"/>
      <c r="AA43" s="1247"/>
      <c r="AB43" s="1247"/>
      <c r="AC43" s="1247"/>
      <c r="AD43" s="1247"/>
      <c r="AE43" s="1247"/>
      <c r="AF43" s="1247"/>
      <c r="AG43" s="1247"/>
      <c r="AH43" s="2153" t="s">
        <v>207</v>
      </c>
      <c r="AI43" s="2153"/>
      <c r="AJ43" s="2153" t="s">
        <v>207</v>
      </c>
      <c r="AK43" s="2153"/>
      <c r="AL43" s="1245"/>
      <c r="AM43" s="1245"/>
      <c r="AN43" s="1249"/>
      <c r="AO43" s="1249"/>
      <c r="AP43" s="1245"/>
      <c r="AQ43" s="1245"/>
      <c r="AR43" s="1245"/>
      <c r="AS43" s="1245"/>
      <c r="AT43" s="1245"/>
      <c r="AU43" s="1245"/>
      <c r="AV43" s="1245"/>
      <c r="AW43" s="1245"/>
      <c r="AX43" s="1245"/>
      <c r="AY43" s="2153" t="s">
        <v>207</v>
      </c>
      <c r="AZ43" s="2153"/>
      <c r="BA43" s="2153" t="s">
        <v>207</v>
      </c>
      <c r="BB43" s="2153"/>
      <c r="BC43" s="1245"/>
      <c r="BD43" s="1245"/>
      <c r="BE43" s="1245"/>
      <c r="BF43" s="1249"/>
      <c r="BG43" s="1245"/>
      <c r="BH43" s="1245"/>
      <c r="BI43" s="1245"/>
      <c r="BJ43" s="1245"/>
      <c r="BK43" s="2153" t="s">
        <v>207</v>
      </c>
      <c r="BL43" s="2153"/>
    </row>
    <row r="44" spans="1:64" s="1180" customFormat="1" ht="11.85" customHeight="1">
      <c r="A44" s="10"/>
      <c r="B44" s="1521" t="s">
        <v>192</v>
      </c>
      <c r="C44" s="1244" t="s">
        <v>2697</v>
      </c>
      <c r="D44" s="1244" t="s">
        <v>2721</v>
      </c>
      <c r="E44" s="1246" t="s">
        <v>2692</v>
      </c>
      <c r="F44" s="1244" t="s">
        <v>2697</v>
      </c>
      <c r="G44" s="1246" t="s">
        <v>2547</v>
      </c>
      <c r="H44" s="1523" t="s">
        <v>68</v>
      </c>
      <c r="I44" s="1244" t="s">
        <v>2692</v>
      </c>
      <c r="J44" s="1246" t="s">
        <v>2697</v>
      </c>
      <c r="K44" s="1244" t="s">
        <v>2697</v>
      </c>
      <c r="L44" s="1244" t="s">
        <v>2028</v>
      </c>
      <c r="M44" s="1246" t="s">
        <v>2797</v>
      </c>
      <c r="N44" s="144" t="s">
        <v>1431</v>
      </c>
      <c r="O44" s="1244" t="s">
        <v>1451</v>
      </c>
      <c r="P44" s="1246" t="s">
        <v>2073</v>
      </c>
      <c r="Q44" s="144" t="s">
        <v>2722</v>
      </c>
      <c r="R44" s="10"/>
      <c r="S44" s="1521" t="s">
        <v>192</v>
      </c>
      <c r="T44" s="10"/>
      <c r="U44" s="1521" t="s">
        <v>192</v>
      </c>
      <c r="V44" s="1246" t="s">
        <v>2560</v>
      </c>
      <c r="W44" s="1246" t="s">
        <v>1450</v>
      </c>
      <c r="X44" s="1246" t="s">
        <v>1450</v>
      </c>
      <c r="Y44" s="1246" t="s">
        <v>2031</v>
      </c>
      <c r="Z44" s="1246" t="s">
        <v>2393</v>
      </c>
      <c r="AA44" s="1246" t="s">
        <v>2028</v>
      </c>
      <c r="AB44" s="1246" t="s">
        <v>2028</v>
      </c>
      <c r="AC44" s="1246" t="s">
        <v>1451</v>
      </c>
      <c r="AD44" s="1246" t="s">
        <v>2692</v>
      </c>
      <c r="AE44" s="1246" t="s">
        <v>1451</v>
      </c>
      <c r="AF44" s="1246" t="s">
        <v>2705</v>
      </c>
      <c r="AG44" s="1246" t="s">
        <v>1180</v>
      </c>
      <c r="AH44" s="10"/>
      <c r="AI44" s="1521" t="s">
        <v>192</v>
      </c>
      <c r="AJ44" s="10"/>
      <c r="AK44" s="1521" t="s">
        <v>192</v>
      </c>
      <c r="AL44" s="1244" t="s">
        <v>1451</v>
      </c>
      <c r="AM44" s="1244" t="s">
        <v>2031</v>
      </c>
      <c r="AN44" s="1244" t="s">
        <v>2801</v>
      </c>
      <c r="AO44" s="1246" t="s">
        <v>1450</v>
      </c>
      <c r="AP44" s="1244" t="s">
        <v>1431</v>
      </c>
      <c r="AQ44" s="1244" t="s">
        <v>1451</v>
      </c>
      <c r="AR44" s="1244" t="s">
        <v>2031</v>
      </c>
      <c r="AS44" s="1244" t="s">
        <v>2836</v>
      </c>
      <c r="AT44" s="1244" t="s">
        <v>2875</v>
      </c>
      <c r="AU44" s="1244" t="s">
        <v>2029</v>
      </c>
      <c r="AV44" s="1244" t="s">
        <v>1180</v>
      </c>
      <c r="AW44" s="1357" t="s">
        <v>2876</v>
      </c>
      <c r="AX44" s="1244" t="s">
        <v>2697</v>
      </c>
      <c r="AY44" s="10"/>
      <c r="AZ44" s="1521" t="s">
        <v>192</v>
      </c>
      <c r="BA44" s="10"/>
      <c r="BB44" s="1521" t="s">
        <v>192</v>
      </c>
      <c r="BC44" s="1244" t="s">
        <v>1451</v>
      </c>
      <c r="BD44" s="1244" t="s">
        <v>2027</v>
      </c>
      <c r="BE44" s="1244" t="s">
        <v>2030</v>
      </c>
      <c r="BF44" s="1523" t="s">
        <v>68</v>
      </c>
      <c r="BG44" s="1244" t="s">
        <v>68</v>
      </c>
      <c r="BH44" s="1244" t="s">
        <v>68</v>
      </c>
      <c r="BI44" s="1244" t="s">
        <v>2730</v>
      </c>
      <c r="BJ44" s="1244" t="s">
        <v>2768</v>
      </c>
      <c r="BK44" s="10"/>
      <c r="BL44" s="1521" t="s">
        <v>192</v>
      </c>
    </row>
    <row r="45" spans="1:64" ht="11.85" customHeight="1">
      <c r="A45" s="1316"/>
      <c r="B45" s="476" t="s">
        <v>193</v>
      </c>
      <c r="C45" s="1245" t="s">
        <v>68</v>
      </c>
      <c r="D45" s="1245" t="s">
        <v>68</v>
      </c>
      <c r="E45" s="1245" t="s">
        <v>68</v>
      </c>
      <c r="F45" s="1245" t="s">
        <v>68</v>
      </c>
      <c r="G45" s="1245" t="s">
        <v>68</v>
      </c>
      <c r="H45" s="1247" t="s">
        <v>2706</v>
      </c>
      <c r="I45" s="1245" t="s">
        <v>68</v>
      </c>
      <c r="J45" s="1245" t="s">
        <v>68</v>
      </c>
      <c r="K45" s="1245" t="s">
        <v>2700</v>
      </c>
      <c r="L45" s="1245" t="s">
        <v>2031</v>
      </c>
      <c r="M45" s="1245" t="s">
        <v>68</v>
      </c>
      <c r="N45" s="1250" t="s">
        <v>1431</v>
      </c>
      <c r="O45" s="1249" t="s">
        <v>68</v>
      </c>
      <c r="P45" s="1249" t="s">
        <v>68</v>
      </c>
      <c r="Q45" s="1249" t="s">
        <v>68</v>
      </c>
      <c r="R45" s="1316"/>
      <c r="S45" s="476" t="s">
        <v>193</v>
      </c>
      <c r="T45" s="1316"/>
      <c r="U45" s="476" t="s">
        <v>193</v>
      </c>
      <c r="V45" s="1247" t="s">
        <v>68</v>
      </c>
      <c r="W45" s="1247" t="s">
        <v>68</v>
      </c>
      <c r="X45" s="1247" t="s">
        <v>68</v>
      </c>
      <c r="Y45" s="1247" t="s">
        <v>68</v>
      </c>
      <c r="Z45" s="1247" t="s">
        <v>68</v>
      </c>
      <c r="AA45" s="1247" t="s">
        <v>68</v>
      </c>
      <c r="AB45" s="1247" t="s">
        <v>68</v>
      </c>
      <c r="AC45" s="1247" t="s">
        <v>68</v>
      </c>
      <c r="AD45" s="1247" t="s">
        <v>68</v>
      </c>
      <c r="AE45" s="1247" t="s">
        <v>68</v>
      </c>
      <c r="AF45" s="1247" t="s">
        <v>68</v>
      </c>
      <c r="AG45" s="1247" t="s">
        <v>2430</v>
      </c>
      <c r="AH45" s="1316"/>
      <c r="AI45" s="476" t="s">
        <v>193</v>
      </c>
      <c r="AJ45" s="1316"/>
      <c r="AK45" s="476" t="s">
        <v>193</v>
      </c>
      <c r="AL45" s="1525" t="s">
        <v>68</v>
      </c>
      <c r="AM45" s="1245" t="s">
        <v>68</v>
      </c>
      <c r="AN45" s="1245" t="s">
        <v>68</v>
      </c>
      <c r="AO45" s="1524" t="s">
        <v>68</v>
      </c>
      <c r="AP45" s="1245" t="s">
        <v>68</v>
      </c>
      <c r="AQ45" s="1245" t="s">
        <v>68</v>
      </c>
      <c r="AR45" s="1245" t="s">
        <v>68</v>
      </c>
      <c r="AS45" s="1525" t="s">
        <v>68</v>
      </c>
      <c r="AT45" s="1245" t="s">
        <v>68</v>
      </c>
      <c r="AU45" s="1245" t="s">
        <v>68</v>
      </c>
      <c r="AV45" s="1245" t="s">
        <v>68</v>
      </c>
      <c r="AW45" s="1245" t="s">
        <v>68</v>
      </c>
      <c r="AX45" s="1245" t="s">
        <v>68</v>
      </c>
      <c r="AY45" s="1316"/>
      <c r="AZ45" s="476" t="s">
        <v>193</v>
      </c>
      <c r="BA45" s="1316"/>
      <c r="BB45" s="476" t="s">
        <v>193</v>
      </c>
      <c r="BC45" s="1245" t="s">
        <v>68</v>
      </c>
      <c r="BD45" s="1245" t="s">
        <v>2028</v>
      </c>
      <c r="BE45" s="1245" t="s">
        <v>68</v>
      </c>
      <c r="BF45" s="1249" t="s">
        <v>68</v>
      </c>
      <c r="BG45" s="1245" t="s">
        <v>68</v>
      </c>
      <c r="BH45" s="1245" t="s">
        <v>68</v>
      </c>
      <c r="BI45" s="1245" t="s">
        <v>68</v>
      </c>
      <c r="BJ45" s="1525" t="s">
        <v>68</v>
      </c>
      <c r="BK45" s="1316"/>
      <c r="BL45" s="476" t="s">
        <v>193</v>
      </c>
    </row>
    <row r="46" spans="1:64" ht="11.85" customHeight="1">
      <c r="A46" s="2152" t="s">
        <v>208</v>
      </c>
      <c r="B46" s="2152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244"/>
      <c r="O46" s="1248"/>
      <c r="P46" s="1248"/>
      <c r="Q46" s="1248"/>
      <c r="R46" s="2152" t="s">
        <v>208</v>
      </c>
      <c r="S46" s="2152"/>
      <c r="T46" s="2152" t="s">
        <v>208</v>
      </c>
      <c r="U46" s="2152"/>
      <c r="V46" s="1246"/>
      <c r="W46" s="1246"/>
      <c r="X46" s="1246"/>
      <c r="Y46" s="1246"/>
      <c r="Z46" s="1246"/>
      <c r="AA46" s="1246"/>
      <c r="AB46" s="1246"/>
      <c r="AC46" s="1246"/>
      <c r="AD46" s="1246"/>
      <c r="AE46" s="1246"/>
      <c r="AF46" s="1246"/>
      <c r="AG46" s="1246"/>
      <c r="AH46" s="2152" t="s">
        <v>208</v>
      </c>
      <c r="AI46" s="2152"/>
      <c r="AJ46" s="2152" t="s">
        <v>208</v>
      </c>
      <c r="AK46" s="2152"/>
      <c r="AL46" s="1244"/>
      <c r="AM46" s="1244"/>
      <c r="AN46" s="1244"/>
      <c r="AO46" s="1244"/>
      <c r="AP46" s="1244"/>
      <c r="AQ46" s="1244"/>
      <c r="AR46" s="1244"/>
      <c r="AS46" s="1244"/>
      <c r="AT46" s="1244"/>
      <c r="AU46" s="1244"/>
      <c r="AV46" s="1244"/>
      <c r="AW46" s="1244"/>
      <c r="AX46" s="1244"/>
      <c r="AY46" s="2152" t="s">
        <v>208</v>
      </c>
      <c r="AZ46" s="2152"/>
      <c r="BA46" s="2152" t="s">
        <v>208</v>
      </c>
      <c r="BB46" s="2152"/>
      <c r="BC46" s="1244"/>
      <c r="BD46" s="1244"/>
      <c r="BE46" s="1244"/>
      <c r="BF46" s="1248"/>
      <c r="BG46" s="1244"/>
      <c r="BH46" s="1244"/>
      <c r="BI46" s="1244"/>
      <c r="BJ46" s="1244"/>
      <c r="BK46" s="2152" t="s">
        <v>208</v>
      </c>
      <c r="BL46" s="2152"/>
    </row>
    <row r="47" spans="1:64" s="1192" customFormat="1" ht="11.85" customHeight="1">
      <c r="A47" s="446"/>
      <c r="B47" s="476" t="s">
        <v>192</v>
      </c>
      <c r="C47" s="1247" t="s">
        <v>68</v>
      </c>
      <c r="D47" s="1250" t="s">
        <v>2707</v>
      </c>
      <c r="E47" s="1250" t="s">
        <v>2446</v>
      </c>
      <c r="F47" s="1247" t="s">
        <v>2438</v>
      </c>
      <c r="G47" s="1247" t="s">
        <v>2140</v>
      </c>
      <c r="H47" s="1247" t="s">
        <v>2706</v>
      </c>
      <c r="I47" s="1245" t="s">
        <v>68</v>
      </c>
      <c r="J47" s="1247" t="s">
        <v>2692</v>
      </c>
      <c r="K47" s="1245" t="s">
        <v>2708</v>
      </c>
      <c r="L47" s="1355" t="s">
        <v>2011</v>
      </c>
      <c r="M47" s="1355" t="s">
        <v>2798</v>
      </c>
      <c r="N47" s="1250" t="s">
        <v>2030</v>
      </c>
      <c r="O47" s="1245" t="s">
        <v>1451</v>
      </c>
      <c r="P47" s="1247" t="s">
        <v>2534</v>
      </c>
      <c r="Q47" s="1245" t="s">
        <v>2704</v>
      </c>
      <c r="R47" s="446"/>
      <c r="S47" s="476" t="s">
        <v>192</v>
      </c>
      <c r="T47" s="446"/>
      <c r="U47" s="476" t="s">
        <v>192</v>
      </c>
      <c r="V47" s="1247" t="s">
        <v>2551</v>
      </c>
      <c r="W47" s="1247" t="s">
        <v>2709</v>
      </c>
      <c r="X47" s="1247" t="s">
        <v>2826</v>
      </c>
      <c r="Y47" s="1247" t="s">
        <v>1431</v>
      </c>
      <c r="Z47" s="1507" t="s">
        <v>1449</v>
      </c>
      <c r="AA47" s="1247" t="s">
        <v>2536</v>
      </c>
      <c r="AB47" s="1247" t="s">
        <v>2141</v>
      </c>
      <c r="AC47" s="1247" t="s">
        <v>2692</v>
      </c>
      <c r="AD47" s="1247" t="s">
        <v>68</v>
      </c>
      <c r="AE47" s="1247" t="s">
        <v>1451</v>
      </c>
      <c r="AF47" s="1247" t="s">
        <v>2700</v>
      </c>
      <c r="AG47" s="1247" t="s">
        <v>2029</v>
      </c>
      <c r="AH47" s="446"/>
      <c r="AI47" s="476" t="s">
        <v>192</v>
      </c>
      <c r="AJ47" s="446"/>
      <c r="AK47" s="476" t="s">
        <v>192</v>
      </c>
      <c r="AL47" s="1245" t="s">
        <v>2539</v>
      </c>
      <c r="AM47" s="1245" t="s">
        <v>1450</v>
      </c>
      <c r="AN47" s="1245" t="s">
        <v>2554</v>
      </c>
      <c r="AO47" s="1245" t="s">
        <v>2555</v>
      </c>
      <c r="AP47" s="1245" t="s">
        <v>2031</v>
      </c>
      <c r="AQ47" s="1245" t="s">
        <v>2556</v>
      </c>
      <c r="AR47" s="1245" t="s">
        <v>1449</v>
      </c>
      <c r="AS47" s="1245" t="s">
        <v>2692</v>
      </c>
      <c r="AT47" s="1245" t="s">
        <v>1450</v>
      </c>
      <c r="AU47" s="1245" t="s">
        <v>1431</v>
      </c>
      <c r="AV47" s="1245" t="s">
        <v>2430</v>
      </c>
      <c r="AW47" s="1350" t="s">
        <v>2877</v>
      </c>
      <c r="AX47" s="1245" t="s">
        <v>2540</v>
      </c>
      <c r="AY47" s="446"/>
      <c r="AZ47" s="476" t="s">
        <v>192</v>
      </c>
      <c r="BA47" s="446"/>
      <c r="BB47" s="476" t="s">
        <v>192</v>
      </c>
      <c r="BC47" s="1245" t="s">
        <v>2439</v>
      </c>
      <c r="BD47" s="1245" t="s">
        <v>2827</v>
      </c>
      <c r="BE47" s="1245" t="s">
        <v>1720</v>
      </c>
      <c r="BF47" s="1245" t="s">
        <v>2551</v>
      </c>
      <c r="BG47" s="1245" t="s">
        <v>2710</v>
      </c>
      <c r="BH47" s="1245" t="s">
        <v>68</v>
      </c>
      <c r="BI47" s="1245" t="s">
        <v>68</v>
      </c>
      <c r="BJ47" s="1245" t="s">
        <v>2731</v>
      </c>
      <c r="BK47" s="446"/>
      <c r="BL47" s="476" t="s">
        <v>192</v>
      </c>
    </row>
    <row r="48" spans="1:64" s="1188" customFormat="1" ht="11.85" customHeight="1" thickBot="1">
      <c r="A48" s="745"/>
      <c r="B48" s="1498" t="s">
        <v>193</v>
      </c>
      <c r="C48" s="1351" t="s">
        <v>2692</v>
      </c>
      <c r="D48" s="1536" t="s">
        <v>68</v>
      </c>
      <c r="E48" s="1537" t="s">
        <v>68</v>
      </c>
      <c r="F48" s="1384" t="s">
        <v>68</v>
      </c>
      <c r="G48" s="1537" t="s">
        <v>68</v>
      </c>
      <c r="H48" s="1537" t="s">
        <v>68</v>
      </c>
      <c r="I48" s="1251" t="s">
        <v>2269</v>
      </c>
      <c r="J48" s="1537" t="s">
        <v>68</v>
      </c>
      <c r="K48" s="1351" t="s">
        <v>2704</v>
      </c>
      <c r="L48" s="1538" t="s">
        <v>2535</v>
      </c>
      <c r="M48" s="1251" t="s">
        <v>2799</v>
      </c>
      <c r="N48" s="1539" t="s">
        <v>68</v>
      </c>
      <c r="O48" s="1540" t="s">
        <v>68</v>
      </c>
      <c r="P48" s="1540" t="s">
        <v>68</v>
      </c>
      <c r="Q48" s="1541" t="s">
        <v>68</v>
      </c>
      <c r="R48" s="745"/>
      <c r="S48" s="1498" t="s">
        <v>193</v>
      </c>
      <c r="T48" s="745"/>
      <c r="U48" s="1498" t="s">
        <v>193</v>
      </c>
      <c r="V48" s="1251" t="s">
        <v>68</v>
      </c>
      <c r="W48" s="1251" t="s">
        <v>68</v>
      </c>
      <c r="X48" s="1361" t="s">
        <v>68</v>
      </c>
      <c r="Y48" s="1251" t="s">
        <v>68</v>
      </c>
      <c r="Z48" s="1361" t="s">
        <v>68</v>
      </c>
      <c r="AA48" s="1361" t="s">
        <v>68</v>
      </c>
      <c r="AB48" s="1361" t="s">
        <v>2032</v>
      </c>
      <c r="AC48" s="1361" t="s">
        <v>2537</v>
      </c>
      <c r="AD48" s="1361" t="s">
        <v>68</v>
      </c>
      <c r="AE48" s="1361" t="s">
        <v>68</v>
      </c>
      <c r="AF48" s="1361" t="s">
        <v>68</v>
      </c>
      <c r="AG48" s="1361" t="s">
        <v>1431</v>
      </c>
      <c r="AH48" s="745"/>
      <c r="AI48" s="1498" t="s">
        <v>193</v>
      </c>
      <c r="AJ48" s="745"/>
      <c r="AK48" s="1498" t="s">
        <v>193</v>
      </c>
      <c r="AL48" s="1538" t="s">
        <v>68</v>
      </c>
      <c r="AM48" s="1351" t="s">
        <v>68</v>
      </c>
      <c r="AN48" s="1540" t="s">
        <v>68</v>
      </c>
      <c r="AO48" s="1540" t="s">
        <v>68</v>
      </c>
      <c r="AP48" s="1540" t="s">
        <v>68</v>
      </c>
      <c r="AQ48" s="1540" t="s">
        <v>68</v>
      </c>
      <c r="AR48" s="1540" t="s">
        <v>68</v>
      </c>
      <c r="AS48" s="1540" t="s">
        <v>1431</v>
      </c>
      <c r="AT48" s="1540" t="s">
        <v>68</v>
      </c>
      <c r="AU48" s="1540" t="s">
        <v>68</v>
      </c>
      <c r="AV48" s="1538" t="s">
        <v>68</v>
      </c>
      <c r="AW48" s="1542" t="s">
        <v>1450</v>
      </c>
      <c r="AX48" s="1540" t="s">
        <v>68</v>
      </c>
      <c r="AY48" s="745"/>
      <c r="AZ48" s="1498" t="s">
        <v>193</v>
      </c>
      <c r="BA48" s="745"/>
      <c r="BB48" s="1498" t="s">
        <v>193</v>
      </c>
      <c r="BC48" s="1351" t="s">
        <v>68</v>
      </c>
      <c r="BD48" s="1351" t="s">
        <v>2430</v>
      </c>
      <c r="BE48" s="1351" t="s">
        <v>68</v>
      </c>
      <c r="BF48" s="1540" t="s">
        <v>68</v>
      </c>
      <c r="BG48" s="1540" t="s">
        <v>68</v>
      </c>
      <c r="BH48" s="1351" t="s">
        <v>68</v>
      </c>
      <c r="BI48" s="1351" t="s">
        <v>68</v>
      </c>
      <c r="BJ48" s="1538" t="s">
        <v>68</v>
      </c>
      <c r="BK48" s="745"/>
      <c r="BL48" s="1498" t="s">
        <v>193</v>
      </c>
    </row>
    <row r="49" spans="1:64" ht="10.5" customHeight="1">
      <c r="A49" s="2181" t="s">
        <v>2134</v>
      </c>
      <c r="B49" s="2181"/>
      <c r="C49" s="2181"/>
      <c r="D49" s="2181"/>
      <c r="E49" s="2181"/>
      <c r="F49" s="2181"/>
      <c r="G49" s="2181"/>
      <c r="H49" s="2181"/>
      <c r="I49" s="2181"/>
      <c r="J49" s="2181"/>
      <c r="K49" s="1543"/>
      <c r="L49" s="1543"/>
      <c r="M49" s="1543"/>
      <c r="N49" s="1543"/>
      <c r="O49" s="1543"/>
      <c r="P49" s="1543"/>
      <c r="Q49" s="1543"/>
      <c r="R49" s="1543"/>
      <c r="S49" s="1543"/>
      <c r="T49" s="2182" t="s">
        <v>2134</v>
      </c>
      <c r="U49" s="2182"/>
      <c r="V49" s="2182"/>
      <c r="W49" s="2182"/>
      <c r="X49" s="2182"/>
      <c r="Y49" s="1544"/>
      <c r="Z49" s="1545"/>
      <c r="AA49" s="1545"/>
      <c r="AB49" s="1545"/>
      <c r="AC49" s="1545"/>
      <c r="AD49" s="1545"/>
      <c r="AE49" s="1545"/>
      <c r="AF49" s="1545"/>
      <c r="AG49" s="1545"/>
      <c r="AH49" s="10"/>
      <c r="AI49" s="18"/>
      <c r="AJ49" s="2182" t="s">
        <v>2134</v>
      </c>
      <c r="AK49" s="2182"/>
      <c r="AL49" s="2182"/>
      <c r="AM49" s="2182"/>
      <c r="AN49" s="2182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8"/>
      <c r="BA49" s="2182" t="s">
        <v>2711</v>
      </c>
      <c r="BB49" s="2182"/>
      <c r="BC49" s="2182"/>
      <c r="BD49" s="2182"/>
      <c r="BE49" s="2182"/>
      <c r="BF49" s="10"/>
      <c r="BG49" s="10"/>
      <c r="BH49" s="10"/>
      <c r="BI49" s="10"/>
      <c r="BJ49" s="10"/>
      <c r="BK49" s="10"/>
      <c r="BL49" s="18"/>
    </row>
    <row r="50" spans="1:64" ht="9" customHeight="1">
      <c r="A50" s="10"/>
      <c r="B50" s="18" t="s">
        <v>197</v>
      </c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8"/>
      <c r="T50" s="10"/>
      <c r="U50" s="18" t="s">
        <v>197</v>
      </c>
      <c r="V50" s="38"/>
      <c r="W50" s="38"/>
      <c r="X50" s="38"/>
      <c r="Y50" s="38"/>
      <c r="Z50" s="10"/>
      <c r="AA50" s="38"/>
      <c r="AB50" s="38"/>
      <c r="AC50" s="38"/>
      <c r="AD50" s="38"/>
      <c r="AE50" s="38"/>
      <c r="AF50" s="38"/>
      <c r="AG50" s="38"/>
      <c r="AH50" s="10"/>
      <c r="AI50" s="18"/>
      <c r="AJ50" s="10"/>
      <c r="AK50" s="18" t="s">
        <v>197</v>
      </c>
      <c r="AL50" s="38"/>
      <c r="AM50" s="38"/>
      <c r="AN50" s="38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8"/>
      <c r="BA50" s="10"/>
      <c r="BB50" s="18" t="s">
        <v>197</v>
      </c>
      <c r="BC50" s="38"/>
      <c r="BD50" s="38"/>
      <c r="BE50" s="38"/>
      <c r="BF50" s="10"/>
      <c r="BG50" s="10"/>
      <c r="BH50" s="10"/>
      <c r="BI50" s="10"/>
      <c r="BJ50" s="10"/>
      <c r="BK50" s="10"/>
      <c r="BL50" s="18"/>
    </row>
  </sheetData>
  <mergeCells count="138">
    <mergeCell ref="R36:S36"/>
    <mergeCell ref="AH36:AI36"/>
    <mergeCell ref="AH43:AI43"/>
    <mergeCell ref="AY19:AZ19"/>
    <mergeCell ref="BK23:BL23"/>
    <mergeCell ref="BA26:BB26"/>
    <mergeCell ref="BA20:BB20"/>
    <mergeCell ref="BA23:BB23"/>
    <mergeCell ref="A23:B23"/>
    <mergeCell ref="AJ20:AK20"/>
    <mergeCell ref="AH26:AI26"/>
    <mergeCell ref="AH29:AI29"/>
    <mergeCell ref="AY20:AZ20"/>
    <mergeCell ref="R40:S40"/>
    <mergeCell ref="R37:S37"/>
    <mergeCell ref="T37:U37"/>
    <mergeCell ref="T40:U40"/>
    <mergeCell ref="A40:B40"/>
    <mergeCell ref="A20:B20"/>
    <mergeCell ref="A37:B37"/>
    <mergeCell ref="R23:S23"/>
    <mergeCell ref="T23:U23"/>
    <mergeCell ref="T20:U20"/>
    <mergeCell ref="AY26:AZ26"/>
    <mergeCell ref="AJ49:AN49"/>
    <mergeCell ref="BA49:BE49"/>
    <mergeCell ref="AY46:AZ46"/>
    <mergeCell ref="BA36:BB36"/>
    <mergeCell ref="BA37:BB37"/>
    <mergeCell ref="AJ36:AK36"/>
    <mergeCell ref="AJ43:AK43"/>
    <mergeCell ref="BA43:BB43"/>
    <mergeCell ref="AY43:AZ43"/>
    <mergeCell ref="AJ46:AK46"/>
    <mergeCell ref="AJ40:AK40"/>
    <mergeCell ref="AY36:AZ36"/>
    <mergeCell ref="BA46:BB46"/>
    <mergeCell ref="R1:S1"/>
    <mergeCell ref="AB1:AG1"/>
    <mergeCell ref="T1:AA1"/>
    <mergeCell ref="R13:S13"/>
    <mergeCell ref="BK1:BL1"/>
    <mergeCell ref="BG1:BJ1"/>
    <mergeCell ref="A49:J49"/>
    <mergeCell ref="T19:U19"/>
    <mergeCell ref="T26:U26"/>
    <mergeCell ref="T29:U29"/>
    <mergeCell ref="T36:U36"/>
    <mergeCell ref="T43:U43"/>
    <mergeCell ref="T46:U46"/>
    <mergeCell ref="T49:X49"/>
    <mergeCell ref="A36:B36"/>
    <mergeCell ref="A43:B43"/>
    <mergeCell ref="R43:S43"/>
    <mergeCell ref="A46:B46"/>
    <mergeCell ref="R46:S46"/>
    <mergeCell ref="A19:B19"/>
    <mergeCell ref="R19:S19"/>
    <mergeCell ref="A26:B26"/>
    <mergeCell ref="R26:S26"/>
    <mergeCell ref="A29:B29"/>
    <mergeCell ref="B1:J1"/>
    <mergeCell ref="K2:L2"/>
    <mergeCell ref="A13:B13"/>
    <mergeCell ref="A7:B7"/>
    <mergeCell ref="K1:Q1"/>
    <mergeCell ref="A6:B6"/>
    <mergeCell ref="K3:Q3"/>
    <mergeCell ref="A3:B5"/>
    <mergeCell ref="I3:J3"/>
    <mergeCell ref="C3:H3"/>
    <mergeCell ref="BC1:BF1"/>
    <mergeCell ref="BE2:BF2"/>
    <mergeCell ref="BK3:BL5"/>
    <mergeCell ref="BC3:BJ3"/>
    <mergeCell ref="BG2:BI2"/>
    <mergeCell ref="AY1:AZ1"/>
    <mergeCell ref="BA3:BB5"/>
    <mergeCell ref="AY3:AZ5"/>
    <mergeCell ref="AH1:AI1"/>
    <mergeCell ref="AL3:AX3"/>
    <mergeCell ref="R6:S6"/>
    <mergeCell ref="T3:U5"/>
    <mergeCell ref="AR1:AW1"/>
    <mergeCell ref="X2:Y2"/>
    <mergeCell ref="AJ7:AK7"/>
    <mergeCell ref="AJ13:AK13"/>
    <mergeCell ref="T7:U7"/>
    <mergeCell ref="T13:U13"/>
    <mergeCell ref="AH40:AI40"/>
    <mergeCell ref="R7:S7"/>
    <mergeCell ref="AJ23:AK23"/>
    <mergeCell ref="AH6:AI6"/>
    <mergeCell ref="T6:U6"/>
    <mergeCell ref="V3:AG3"/>
    <mergeCell ref="R20:S20"/>
    <mergeCell ref="AJ19:AK19"/>
    <mergeCell ref="AJ3:AK5"/>
    <mergeCell ref="AH3:AI5"/>
    <mergeCell ref="AH13:AI13"/>
    <mergeCell ref="R3:S5"/>
    <mergeCell ref="AH37:AI37"/>
    <mergeCell ref="AJ1:AQ1"/>
    <mergeCell ref="AH20:AI20"/>
    <mergeCell ref="R29:S29"/>
    <mergeCell ref="AY6:AZ6"/>
    <mergeCell ref="BA6:BB6"/>
    <mergeCell ref="AJ6:AK6"/>
    <mergeCell ref="BA19:BB19"/>
    <mergeCell ref="BK20:BL20"/>
    <mergeCell ref="BK19:BL19"/>
    <mergeCell ref="BK13:BL13"/>
    <mergeCell ref="BA7:BB7"/>
    <mergeCell ref="AY7:AZ7"/>
    <mergeCell ref="BK7:BL7"/>
    <mergeCell ref="BA13:BB13"/>
    <mergeCell ref="AY13:AZ13"/>
    <mergeCell ref="BK6:BL6"/>
    <mergeCell ref="AH46:AI46"/>
    <mergeCell ref="BK43:BL43"/>
    <mergeCell ref="AH7:AI7"/>
    <mergeCell ref="BK36:BL36"/>
    <mergeCell ref="AH23:AI23"/>
    <mergeCell ref="AJ37:AK37"/>
    <mergeCell ref="AY40:AZ40"/>
    <mergeCell ref="AY37:AZ37"/>
    <mergeCell ref="BK40:BL40"/>
    <mergeCell ref="BK37:BL37"/>
    <mergeCell ref="AY23:AZ23"/>
    <mergeCell ref="AY29:AZ29"/>
    <mergeCell ref="BK26:BL26"/>
    <mergeCell ref="BK29:BL29"/>
    <mergeCell ref="AH19:AI19"/>
    <mergeCell ref="BK46:BL46"/>
    <mergeCell ref="AJ26:AK26"/>
    <mergeCell ref="AJ29:AK29"/>
    <mergeCell ref="BA29:BB29"/>
    <mergeCell ref="BA40:BB40"/>
  </mergeCells>
  <phoneticPr fontId="46" type="noConversion"/>
  <pageMargins left="0.511811023622047" right="0.511811023622047" top="0.511811023622047" bottom="0.511811023622047" header="0" footer="0.43307086614173201"/>
  <pageSetup paperSize="448" firstPageNumber="66" orientation="portrait" useFirstPageNumber="1" r:id="rId1"/>
  <headerFooter>
    <oddFooter>&amp;C&amp;"Times New Roman,Regular"&amp;8&amp;P</oddFooter>
  </headerFooter>
  <ignoredErrors>
    <ignoredError sqref="A6:B35 A49:BP50 A36:B36 R6:U35 A37:B48 AH37:AK48 AH6:AK35 AY37:BB48 BK6:BP35 BK37:BP48 BM36:BP36 R37:U48 AY6:BB35" numberStoredAsText="1"/>
  </ignoredErrors>
</worksheet>
</file>

<file path=xl/worksheets/sheet27.xml><?xml version="1.0" encoding="utf-8"?>
<worksheet xmlns="http://schemas.openxmlformats.org/spreadsheetml/2006/main" xmlns:r="http://schemas.openxmlformats.org/officeDocument/2006/relationships">
  <sheetPr codeName="Sheet28"/>
  <dimension ref="A1:P56"/>
  <sheetViews>
    <sheetView zoomScale="120" zoomScaleNormal="120" workbookViewId="0">
      <pane xSplit="3" ySplit="3" topLeftCell="D43" activePane="bottomRight" state="frozen"/>
      <selection pane="topRight" activeCell="D1" sqref="D1"/>
      <selection pane="bottomLeft" activeCell="A4" sqref="A4"/>
      <selection pane="bottomRight" activeCell="N55" sqref="N55"/>
    </sheetView>
  </sheetViews>
  <sheetFormatPr defaultColWidth="9.140625" defaultRowHeight="12.75"/>
  <cols>
    <col min="1" max="1" width="1.85546875" style="2" customWidth="1"/>
    <col min="2" max="2" width="2.5703125" style="2" customWidth="1"/>
    <col min="3" max="3" width="27.140625" style="2" customWidth="1"/>
    <col min="4" max="4" width="6.5703125" style="2" customWidth="1"/>
    <col min="5" max="5" width="5.5703125" style="2" customWidth="1"/>
    <col min="6" max="6" width="5.140625" style="2" customWidth="1"/>
    <col min="7" max="7" width="5.5703125" style="2" customWidth="1"/>
    <col min="8" max="8" width="6.85546875" style="2" customWidth="1"/>
    <col min="9" max="9" width="5.28515625" style="2" customWidth="1"/>
    <col min="10" max="10" width="6" style="2" customWidth="1"/>
    <col min="11" max="11" width="5.85546875" style="2" customWidth="1"/>
    <col min="12" max="12" width="7.5703125" style="2" customWidth="1"/>
    <col min="13" max="16384" width="9.140625" style="2"/>
  </cols>
  <sheetData>
    <row r="1" spans="1:16" s="23" customFormat="1" ht="15" customHeight="1">
      <c r="B1" s="2186" t="s">
        <v>2493</v>
      </c>
      <c r="C1" s="2186"/>
      <c r="D1" s="2186"/>
      <c r="E1" s="2186"/>
      <c r="F1" s="2186"/>
      <c r="G1" s="2186"/>
      <c r="H1" s="2186"/>
      <c r="I1" s="2186"/>
      <c r="J1" s="2186"/>
      <c r="K1" s="2186" t="s">
        <v>1817</v>
      </c>
      <c r="L1" s="2186"/>
    </row>
    <row r="2" spans="1:16" s="5" customFormat="1" ht="11.25" customHeight="1">
      <c r="B2" s="164"/>
      <c r="C2" s="164"/>
      <c r="D2" s="164"/>
      <c r="E2" s="164"/>
      <c r="F2" s="164"/>
      <c r="G2" s="164"/>
      <c r="H2" s="191"/>
      <c r="I2" s="191"/>
      <c r="J2" s="2059" t="s">
        <v>766</v>
      </c>
      <c r="K2" s="2059"/>
      <c r="L2" s="2059"/>
    </row>
    <row r="3" spans="1:16" s="580" customFormat="1" ht="60" customHeight="1">
      <c r="A3" s="1764" t="s">
        <v>832</v>
      </c>
      <c r="B3" s="1764"/>
      <c r="C3" s="1764"/>
      <c r="D3" s="1263" t="s">
        <v>2353</v>
      </c>
      <c r="E3" s="1136" t="s">
        <v>2248</v>
      </c>
      <c r="F3" s="1136" t="s">
        <v>114</v>
      </c>
      <c r="G3" s="1263" t="s">
        <v>2354</v>
      </c>
      <c r="H3" s="1263" t="s">
        <v>2355</v>
      </c>
      <c r="I3" s="1263" t="s">
        <v>2356</v>
      </c>
      <c r="J3" s="1263" t="s">
        <v>2357</v>
      </c>
      <c r="K3" s="1263" t="s">
        <v>2358</v>
      </c>
      <c r="L3" s="1262" t="s">
        <v>2359</v>
      </c>
      <c r="P3" s="262"/>
    </row>
    <row r="4" spans="1:16" s="9" customFormat="1" ht="14.25" customHeight="1">
      <c r="A4" s="163" t="s">
        <v>867</v>
      </c>
      <c r="B4" s="2188" t="s">
        <v>897</v>
      </c>
      <c r="C4" s="2188"/>
      <c r="D4" s="19">
        <v>3.8</v>
      </c>
      <c r="E4" s="19">
        <v>2.69</v>
      </c>
      <c r="F4" s="19">
        <v>3</v>
      </c>
      <c r="G4" s="19">
        <v>4</v>
      </c>
      <c r="H4" s="19">
        <v>3.3300000000000005</v>
      </c>
      <c r="I4" s="19">
        <v>5.36</v>
      </c>
      <c r="J4" s="349">
        <v>3.5</v>
      </c>
      <c r="K4" s="19">
        <v>3.91</v>
      </c>
      <c r="L4" s="36">
        <v>3.27</v>
      </c>
    </row>
    <row r="5" spans="1:16" s="44" customFormat="1" ht="10.5" customHeight="1">
      <c r="A5" s="493" t="s">
        <v>868</v>
      </c>
      <c r="B5" s="2184" t="s">
        <v>898</v>
      </c>
      <c r="C5" s="2184"/>
      <c r="D5" s="474"/>
      <c r="E5" s="474"/>
      <c r="F5" s="474"/>
      <c r="G5" s="496"/>
      <c r="H5" s="496"/>
      <c r="I5" s="496"/>
      <c r="J5" s="474"/>
      <c r="K5" s="474"/>
      <c r="L5" s="452"/>
    </row>
    <row r="6" spans="1:16" s="44" customFormat="1" ht="10.5" customHeight="1">
      <c r="A6" s="163"/>
      <c r="B6" s="171" t="s">
        <v>899</v>
      </c>
      <c r="C6" s="12" t="s">
        <v>900</v>
      </c>
      <c r="D6" s="19">
        <v>6.74</v>
      </c>
      <c r="E6" s="19">
        <v>6.18</v>
      </c>
      <c r="F6" s="172">
        <v>7</v>
      </c>
      <c r="G6" s="19">
        <v>8</v>
      </c>
      <c r="H6" s="19" t="s">
        <v>481</v>
      </c>
      <c r="I6" s="19">
        <v>9.7100000000000009</v>
      </c>
      <c r="J6" s="19">
        <v>5</v>
      </c>
      <c r="K6" s="19">
        <v>5.96</v>
      </c>
      <c r="L6" s="36">
        <v>7.06</v>
      </c>
    </row>
    <row r="7" spans="1:16" s="44" customFormat="1" ht="10.5" customHeight="1">
      <c r="A7" s="493"/>
      <c r="B7" s="495" t="s">
        <v>901</v>
      </c>
      <c r="C7" s="454" t="s">
        <v>902</v>
      </c>
      <c r="D7" s="474">
        <v>6.55</v>
      </c>
      <c r="E7" s="474">
        <v>5.91</v>
      </c>
      <c r="F7" s="496">
        <v>7</v>
      </c>
      <c r="G7" s="474">
        <v>8</v>
      </c>
      <c r="H7" s="474" t="s">
        <v>481</v>
      </c>
      <c r="I7" s="474">
        <v>7.6</v>
      </c>
      <c r="J7" s="474">
        <v>5</v>
      </c>
      <c r="K7" s="474">
        <v>5.96</v>
      </c>
      <c r="L7" s="443">
        <v>7.06</v>
      </c>
    </row>
    <row r="8" spans="1:16" s="44" customFormat="1" ht="10.5" customHeight="1">
      <c r="A8" s="163"/>
      <c r="B8" s="171" t="s">
        <v>903</v>
      </c>
      <c r="C8" s="12" t="s">
        <v>96</v>
      </c>
      <c r="D8" s="19">
        <v>6.43</v>
      </c>
      <c r="E8" s="19">
        <v>5.37</v>
      </c>
      <c r="F8" s="172">
        <v>7</v>
      </c>
      <c r="G8" s="19">
        <v>7.5</v>
      </c>
      <c r="H8" s="19">
        <v>5.25</v>
      </c>
      <c r="I8" s="19">
        <v>7.41</v>
      </c>
      <c r="J8" s="19">
        <v>5</v>
      </c>
      <c r="K8" s="19">
        <v>5.96</v>
      </c>
      <c r="L8" s="36">
        <v>7.38</v>
      </c>
    </row>
    <row r="9" spans="1:16" s="44" customFormat="1" ht="10.5" customHeight="1">
      <c r="A9" s="493"/>
      <c r="B9" s="495" t="s">
        <v>904</v>
      </c>
      <c r="C9" s="454" t="s">
        <v>905</v>
      </c>
      <c r="D9" s="474">
        <v>6.31</v>
      </c>
      <c r="E9" s="474">
        <v>5.1100000000000003</v>
      </c>
      <c r="F9" s="496">
        <v>6.75</v>
      </c>
      <c r="G9" s="474">
        <v>7</v>
      </c>
      <c r="H9" s="474">
        <v>5.25</v>
      </c>
      <c r="I9" s="474">
        <v>7.53</v>
      </c>
      <c r="J9" s="474">
        <v>5</v>
      </c>
      <c r="K9" s="474">
        <v>5.71</v>
      </c>
      <c r="L9" s="443">
        <v>7.07</v>
      </c>
    </row>
    <row r="10" spans="1:16" s="44" customFormat="1" ht="10.5" customHeight="1">
      <c r="A10" s="163"/>
      <c r="B10" s="171" t="s">
        <v>906</v>
      </c>
      <c r="C10" s="12" t="s">
        <v>907</v>
      </c>
      <c r="D10" s="19">
        <v>6.13</v>
      </c>
      <c r="E10" s="19">
        <v>4.84</v>
      </c>
      <c r="F10" s="19">
        <v>6.5</v>
      </c>
      <c r="G10" s="19">
        <v>6.5</v>
      </c>
      <c r="H10" s="19">
        <v>5.18</v>
      </c>
      <c r="I10" s="19">
        <v>7.16</v>
      </c>
      <c r="J10" s="19">
        <v>4.75</v>
      </c>
      <c r="K10" s="19">
        <v>5.46</v>
      </c>
      <c r="L10" s="36">
        <v>6.82</v>
      </c>
    </row>
    <row r="11" spans="1:16" s="44" customFormat="1" ht="10.5" customHeight="1">
      <c r="A11" s="493"/>
      <c r="B11" s="495" t="s">
        <v>515</v>
      </c>
      <c r="C11" s="454" t="s">
        <v>95</v>
      </c>
      <c r="D11" s="474">
        <v>5.0199999999999996</v>
      </c>
      <c r="E11" s="474">
        <v>2.69</v>
      </c>
      <c r="F11" s="474">
        <v>3</v>
      </c>
      <c r="G11" s="474">
        <v>5</v>
      </c>
      <c r="H11" s="474">
        <v>2.96</v>
      </c>
      <c r="I11" s="474">
        <v>5.93</v>
      </c>
      <c r="J11" s="474">
        <v>4</v>
      </c>
      <c r="K11" s="474">
        <v>5.15</v>
      </c>
      <c r="L11" s="443">
        <v>3.08</v>
      </c>
    </row>
    <row r="12" spans="1:16" s="244" customFormat="1" ht="10.5" customHeight="1">
      <c r="A12" s="243" t="s">
        <v>869</v>
      </c>
      <c r="B12" s="2187" t="s">
        <v>908</v>
      </c>
      <c r="C12" s="2187"/>
      <c r="D12" s="528"/>
      <c r="E12" s="528"/>
      <c r="F12" s="528">
        <v>4.5</v>
      </c>
      <c r="G12" s="528"/>
      <c r="H12" s="528"/>
      <c r="I12" s="528"/>
      <c r="J12" s="528"/>
      <c r="K12" s="528"/>
      <c r="L12" s="24"/>
    </row>
    <row r="13" spans="1:16" s="44" customFormat="1" ht="10.5" customHeight="1">
      <c r="A13" s="492"/>
      <c r="B13" s="495" t="s">
        <v>899</v>
      </c>
      <c r="C13" s="454" t="s">
        <v>909</v>
      </c>
      <c r="D13" s="474" t="s">
        <v>481</v>
      </c>
      <c r="E13" s="474">
        <v>6.18</v>
      </c>
      <c r="F13" s="474" t="s">
        <v>481</v>
      </c>
      <c r="G13" s="496" t="s">
        <v>481</v>
      </c>
      <c r="H13" s="496" t="s">
        <v>481</v>
      </c>
      <c r="I13" s="496">
        <v>9.77</v>
      </c>
      <c r="J13" s="496">
        <v>1.75</v>
      </c>
      <c r="K13" s="496">
        <v>8.44</v>
      </c>
      <c r="L13" s="443" t="s">
        <v>481</v>
      </c>
    </row>
    <row r="14" spans="1:16" s="44" customFormat="1" ht="10.5" customHeight="1">
      <c r="A14" s="56"/>
      <c r="B14" s="171" t="s">
        <v>901</v>
      </c>
      <c r="C14" s="12" t="s">
        <v>910</v>
      </c>
      <c r="D14" s="19" t="s">
        <v>481</v>
      </c>
      <c r="E14" s="19">
        <v>6.18</v>
      </c>
      <c r="F14" s="19" t="s">
        <v>481</v>
      </c>
      <c r="G14" s="19" t="s">
        <v>481</v>
      </c>
      <c r="H14" s="19" t="s">
        <v>481</v>
      </c>
      <c r="I14" s="19" t="s">
        <v>481</v>
      </c>
      <c r="J14" s="172" t="s">
        <v>481</v>
      </c>
      <c r="K14" s="172" t="s">
        <v>481</v>
      </c>
      <c r="L14" s="36" t="s">
        <v>481</v>
      </c>
    </row>
    <row r="15" spans="1:16" s="44" customFormat="1" ht="10.5" customHeight="1">
      <c r="A15" s="492"/>
      <c r="B15" s="454" t="s">
        <v>903</v>
      </c>
      <c r="C15" s="454" t="s">
        <v>292</v>
      </c>
      <c r="D15" s="474" t="s">
        <v>481</v>
      </c>
      <c r="E15" s="474">
        <v>6.18</v>
      </c>
      <c r="F15" s="474" t="s">
        <v>481</v>
      </c>
      <c r="G15" s="496" t="s">
        <v>481</v>
      </c>
      <c r="H15" s="474" t="s">
        <v>481</v>
      </c>
      <c r="I15" s="496" t="s">
        <v>481</v>
      </c>
      <c r="J15" s="496" t="s">
        <v>481</v>
      </c>
      <c r="K15" s="496" t="s">
        <v>481</v>
      </c>
      <c r="L15" s="443">
        <v>3.89</v>
      </c>
    </row>
    <row r="16" spans="1:16" s="44" customFormat="1" ht="10.5" customHeight="1">
      <c r="A16" s="56"/>
      <c r="B16" s="2026" t="s">
        <v>1429</v>
      </c>
      <c r="C16" s="2026"/>
      <c r="D16" s="19" t="s">
        <v>481</v>
      </c>
      <c r="E16" s="19"/>
      <c r="F16" s="19" t="s">
        <v>481</v>
      </c>
      <c r="G16" s="172" t="s">
        <v>481</v>
      </c>
      <c r="H16" s="19" t="s">
        <v>481</v>
      </c>
      <c r="I16" s="19" t="s">
        <v>481</v>
      </c>
      <c r="J16" s="172" t="s">
        <v>481</v>
      </c>
      <c r="K16" s="172"/>
      <c r="L16" s="38" t="s">
        <v>481</v>
      </c>
    </row>
    <row r="17" spans="1:12" s="44" customFormat="1" ht="10.5" customHeight="1">
      <c r="A17" s="492"/>
      <c r="B17" s="455" t="s">
        <v>516</v>
      </c>
      <c r="C17" s="454" t="s">
        <v>900</v>
      </c>
      <c r="D17" s="474" t="s">
        <v>481</v>
      </c>
      <c r="E17" s="474">
        <v>6.18</v>
      </c>
      <c r="F17" s="474" t="s">
        <v>481</v>
      </c>
      <c r="G17" s="496" t="s">
        <v>481</v>
      </c>
      <c r="H17" s="496" t="s">
        <v>481</v>
      </c>
      <c r="I17" s="496" t="s">
        <v>481</v>
      </c>
      <c r="J17" s="496" t="s">
        <v>481</v>
      </c>
      <c r="K17" s="496" t="s">
        <v>481</v>
      </c>
      <c r="L17" s="452" t="s">
        <v>481</v>
      </c>
    </row>
    <row r="18" spans="1:12" s="44" customFormat="1" ht="10.5" customHeight="1">
      <c r="A18" s="56"/>
      <c r="B18" s="99" t="s">
        <v>729</v>
      </c>
      <c r="C18" s="12" t="s">
        <v>116</v>
      </c>
      <c r="D18" s="19">
        <v>6.86</v>
      </c>
      <c r="E18" s="19">
        <v>6.18</v>
      </c>
      <c r="F18" s="19" t="s">
        <v>481</v>
      </c>
      <c r="G18" s="172" t="s">
        <v>481</v>
      </c>
      <c r="H18" s="172" t="s">
        <v>481</v>
      </c>
      <c r="I18" s="172" t="s">
        <v>481</v>
      </c>
      <c r="J18" s="172" t="s">
        <v>481</v>
      </c>
      <c r="K18" s="172" t="s">
        <v>481</v>
      </c>
      <c r="L18" s="38" t="s">
        <v>481</v>
      </c>
    </row>
    <row r="19" spans="1:12" s="44" customFormat="1" ht="10.5" customHeight="1">
      <c r="A19" s="492"/>
      <c r="B19" s="455" t="s">
        <v>490</v>
      </c>
      <c r="C19" s="454" t="s">
        <v>117</v>
      </c>
      <c r="D19" s="474">
        <v>7.66</v>
      </c>
      <c r="E19" s="474">
        <v>6.18</v>
      </c>
      <c r="F19" s="474" t="s">
        <v>481</v>
      </c>
      <c r="G19" s="496" t="s">
        <v>481</v>
      </c>
      <c r="H19" s="496" t="s">
        <v>481</v>
      </c>
      <c r="I19" s="496" t="s">
        <v>481</v>
      </c>
      <c r="J19" s="496" t="s">
        <v>481</v>
      </c>
      <c r="K19" s="496" t="s">
        <v>481</v>
      </c>
      <c r="L19" s="452" t="s">
        <v>481</v>
      </c>
    </row>
    <row r="20" spans="1:12" s="44" customFormat="1" ht="10.5" customHeight="1">
      <c r="A20" s="56"/>
      <c r="B20" s="96" t="s">
        <v>597</v>
      </c>
      <c r="C20" s="96" t="s">
        <v>598</v>
      </c>
      <c r="D20" s="19" t="s">
        <v>481</v>
      </c>
      <c r="E20" s="19" t="s">
        <v>481</v>
      </c>
      <c r="F20" s="19" t="s">
        <v>481</v>
      </c>
      <c r="G20" s="172" t="s">
        <v>481</v>
      </c>
      <c r="H20" s="10" t="s">
        <v>481</v>
      </c>
      <c r="I20" s="10" t="s">
        <v>481</v>
      </c>
      <c r="J20" s="172" t="s">
        <v>481</v>
      </c>
      <c r="K20" s="172" t="s">
        <v>481</v>
      </c>
      <c r="L20" s="38" t="s">
        <v>481</v>
      </c>
    </row>
    <row r="21" spans="1:12" s="44" customFormat="1" ht="10.5" customHeight="1">
      <c r="A21" s="492"/>
      <c r="B21" s="455" t="s">
        <v>516</v>
      </c>
      <c r="C21" s="454" t="s">
        <v>118</v>
      </c>
      <c r="D21" s="474" t="s">
        <v>481</v>
      </c>
      <c r="E21" s="474">
        <v>6.18</v>
      </c>
      <c r="F21" s="474">
        <v>8</v>
      </c>
      <c r="G21" s="496">
        <v>10.5</v>
      </c>
      <c r="H21" s="496" t="s">
        <v>481</v>
      </c>
      <c r="I21" s="496">
        <v>11.85</v>
      </c>
      <c r="J21" s="496" t="s">
        <v>481</v>
      </c>
      <c r="K21" s="496" t="s">
        <v>481</v>
      </c>
      <c r="L21" s="443">
        <v>12.21</v>
      </c>
    </row>
    <row r="22" spans="1:12" s="44" customFormat="1" ht="10.5" customHeight="1">
      <c r="A22" s="56"/>
      <c r="B22" s="99" t="s">
        <v>729</v>
      </c>
      <c r="C22" s="12" t="s">
        <v>119</v>
      </c>
      <c r="D22" s="19" t="s">
        <v>481</v>
      </c>
      <c r="E22" s="19">
        <v>6.18</v>
      </c>
      <c r="F22" s="19" t="s">
        <v>481</v>
      </c>
      <c r="G22" s="172" t="s">
        <v>481</v>
      </c>
      <c r="H22" s="172">
        <v>7.02</v>
      </c>
      <c r="I22" s="172" t="s">
        <v>481</v>
      </c>
      <c r="J22" s="172" t="s">
        <v>481</v>
      </c>
      <c r="K22" s="172" t="s">
        <v>481</v>
      </c>
      <c r="L22" s="36">
        <v>12.63</v>
      </c>
    </row>
    <row r="23" spans="1:12" s="44" customFormat="1" ht="10.5" customHeight="1">
      <c r="A23" s="492"/>
      <c r="B23" s="454" t="s">
        <v>599</v>
      </c>
      <c r="C23" s="475" t="s">
        <v>600</v>
      </c>
      <c r="D23" s="474" t="s">
        <v>481</v>
      </c>
      <c r="E23" s="474"/>
      <c r="F23" s="474" t="s">
        <v>481</v>
      </c>
      <c r="G23" s="496" t="s">
        <v>481</v>
      </c>
      <c r="H23" s="496">
        <v>7.39</v>
      </c>
      <c r="I23" s="496" t="s">
        <v>481</v>
      </c>
      <c r="J23" s="496" t="s">
        <v>481</v>
      </c>
      <c r="K23" s="496" t="s">
        <v>481</v>
      </c>
      <c r="L23" s="452" t="s">
        <v>481</v>
      </c>
    </row>
    <row r="24" spans="1:12" s="44" customFormat="1" ht="10.5" customHeight="1">
      <c r="A24" s="56"/>
      <c r="B24" s="99" t="s">
        <v>589</v>
      </c>
      <c r="C24" s="96" t="s">
        <v>588</v>
      </c>
      <c r="D24" s="19" t="s">
        <v>481</v>
      </c>
      <c r="E24" s="19">
        <v>6.18</v>
      </c>
      <c r="F24" s="19">
        <v>8</v>
      </c>
      <c r="G24" s="172" t="s">
        <v>481</v>
      </c>
      <c r="H24" s="172" t="s">
        <v>481</v>
      </c>
      <c r="I24" s="172">
        <v>10.78</v>
      </c>
      <c r="J24" s="172" t="s">
        <v>481</v>
      </c>
      <c r="K24" s="172">
        <v>8.32</v>
      </c>
      <c r="L24" s="36">
        <v>11.07</v>
      </c>
    </row>
    <row r="25" spans="1:12" s="44" customFormat="1" ht="10.5" customHeight="1">
      <c r="A25" s="492"/>
      <c r="B25" s="455" t="s">
        <v>590</v>
      </c>
      <c r="C25" s="475" t="s">
        <v>591</v>
      </c>
      <c r="D25" s="474" t="s">
        <v>481</v>
      </c>
      <c r="E25" s="474">
        <v>6.18</v>
      </c>
      <c r="F25" s="474">
        <v>8</v>
      </c>
      <c r="G25" s="496" t="s">
        <v>481</v>
      </c>
      <c r="H25" s="496">
        <v>7.02</v>
      </c>
      <c r="I25" s="496" t="s">
        <v>481</v>
      </c>
      <c r="J25" s="496" t="s">
        <v>481</v>
      </c>
      <c r="K25" s="496">
        <v>8.3800000000000008</v>
      </c>
      <c r="L25" s="452" t="s">
        <v>481</v>
      </c>
    </row>
    <row r="26" spans="1:12" s="44" customFormat="1" ht="10.5" customHeight="1">
      <c r="A26" s="56"/>
      <c r="B26" s="99" t="s">
        <v>488</v>
      </c>
      <c r="C26" s="96" t="s">
        <v>592</v>
      </c>
      <c r="D26" s="19" t="s">
        <v>481</v>
      </c>
      <c r="E26" s="19">
        <v>6.18</v>
      </c>
      <c r="F26" s="19" t="s">
        <v>481</v>
      </c>
      <c r="G26" s="172" t="s">
        <v>481</v>
      </c>
      <c r="H26" s="172">
        <v>7.17</v>
      </c>
      <c r="I26" s="172" t="s">
        <v>481</v>
      </c>
      <c r="J26" s="172" t="s">
        <v>481</v>
      </c>
      <c r="K26" s="172" t="s">
        <v>481</v>
      </c>
      <c r="L26" s="38" t="s">
        <v>481</v>
      </c>
    </row>
    <row r="27" spans="1:12" s="44" customFormat="1" ht="10.5" customHeight="1">
      <c r="A27" s="492"/>
      <c r="B27" s="455" t="s">
        <v>489</v>
      </c>
      <c r="C27" s="475" t="s">
        <v>593</v>
      </c>
      <c r="D27" s="474" t="s">
        <v>481</v>
      </c>
      <c r="E27" s="474">
        <v>6.18</v>
      </c>
      <c r="F27" s="474" t="s">
        <v>481</v>
      </c>
      <c r="G27" s="496" t="s">
        <v>481</v>
      </c>
      <c r="H27" s="496">
        <v>7.39</v>
      </c>
      <c r="I27" s="496" t="s">
        <v>481</v>
      </c>
      <c r="J27" s="496" t="s">
        <v>481</v>
      </c>
      <c r="K27" s="496" t="s">
        <v>481</v>
      </c>
      <c r="L27" s="452" t="s">
        <v>481</v>
      </c>
    </row>
    <row r="28" spans="1:12" s="44" customFormat="1" ht="10.5" customHeight="1">
      <c r="A28" s="56"/>
      <c r="B28" s="12" t="s">
        <v>586</v>
      </c>
      <c r="C28" s="22" t="s">
        <v>587</v>
      </c>
      <c r="D28" s="19" t="s">
        <v>481</v>
      </c>
      <c r="E28" s="19" t="s">
        <v>481</v>
      </c>
      <c r="F28" s="19" t="s">
        <v>481</v>
      </c>
      <c r="G28" s="172" t="s">
        <v>481</v>
      </c>
      <c r="H28" s="172">
        <v>7.76</v>
      </c>
      <c r="I28" s="172" t="s">
        <v>481</v>
      </c>
      <c r="J28" s="19" t="s">
        <v>481</v>
      </c>
      <c r="K28" s="19" t="s">
        <v>481</v>
      </c>
      <c r="L28" s="38" t="s">
        <v>481</v>
      </c>
    </row>
    <row r="29" spans="1:12" s="333" customFormat="1" ht="10.5" customHeight="1">
      <c r="A29" s="492"/>
      <c r="B29" s="455" t="s">
        <v>589</v>
      </c>
      <c r="C29" s="475" t="s">
        <v>116</v>
      </c>
      <c r="D29" s="474">
        <v>6.74</v>
      </c>
      <c r="E29" s="474">
        <v>6.18</v>
      </c>
      <c r="F29" s="474">
        <v>8</v>
      </c>
      <c r="G29" s="496" t="s">
        <v>481</v>
      </c>
      <c r="H29" s="496" t="s">
        <v>481</v>
      </c>
      <c r="I29" s="496" t="s">
        <v>481</v>
      </c>
      <c r="J29" s="474" t="s">
        <v>481</v>
      </c>
      <c r="K29" s="474">
        <v>8.1300000000000008</v>
      </c>
      <c r="L29" s="443" t="s">
        <v>481</v>
      </c>
    </row>
    <row r="30" spans="1:12" s="333" customFormat="1" ht="10.5" customHeight="1">
      <c r="A30" s="385"/>
      <c r="B30" s="359" t="s">
        <v>487</v>
      </c>
      <c r="C30" s="377" t="s">
        <v>117</v>
      </c>
      <c r="D30" s="20" t="s">
        <v>481</v>
      </c>
      <c r="E30" s="20">
        <v>6.18</v>
      </c>
      <c r="F30" s="20" t="s">
        <v>481</v>
      </c>
      <c r="G30" s="521" t="s">
        <v>481</v>
      </c>
      <c r="H30" s="521">
        <v>6.36</v>
      </c>
      <c r="I30" s="521" t="s">
        <v>481</v>
      </c>
      <c r="J30" s="20" t="s">
        <v>481</v>
      </c>
      <c r="K30" s="20">
        <v>7.95</v>
      </c>
      <c r="L30" s="637" t="s">
        <v>481</v>
      </c>
    </row>
    <row r="31" spans="1:12" s="333" customFormat="1" ht="10.5" customHeight="1">
      <c r="A31" s="492"/>
      <c r="B31" s="455" t="s">
        <v>488</v>
      </c>
      <c r="C31" s="475" t="s">
        <v>594</v>
      </c>
      <c r="D31" s="474">
        <v>7.66</v>
      </c>
      <c r="E31" s="474">
        <v>6.18</v>
      </c>
      <c r="F31" s="474">
        <v>8</v>
      </c>
      <c r="G31" s="496" t="s">
        <v>481</v>
      </c>
      <c r="H31" s="496">
        <v>6.65</v>
      </c>
      <c r="I31" s="496">
        <v>11.01</v>
      </c>
      <c r="J31" s="474" t="s">
        <v>481</v>
      </c>
      <c r="K31" s="474">
        <v>7.95</v>
      </c>
      <c r="L31" s="443">
        <v>11.3</v>
      </c>
    </row>
    <row r="32" spans="1:12" s="333" customFormat="1" ht="10.5" customHeight="1">
      <c r="A32" s="385"/>
      <c r="B32" s="359" t="s">
        <v>489</v>
      </c>
      <c r="C32" s="377" t="s">
        <v>588</v>
      </c>
      <c r="D32" s="20" t="s">
        <v>481</v>
      </c>
      <c r="E32" s="20">
        <v>6.18</v>
      </c>
      <c r="F32" s="20" t="s">
        <v>481</v>
      </c>
      <c r="G32" s="521" t="s">
        <v>481</v>
      </c>
      <c r="H32" s="521">
        <v>6.88</v>
      </c>
      <c r="I32" s="521" t="s">
        <v>481</v>
      </c>
      <c r="J32" s="20" t="s">
        <v>481</v>
      </c>
      <c r="K32" s="20">
        <v>7.88</v>
      </c>
      <c r="L32" s="637" t="s">
        <v>481</v>
      </c>
    </row>
    <row r="33" spans="1:12" s="333" customFormat="1" ht="10.5" customHeight="1">
      <c r="A33" s="492"/>
      <c r="B33" s="495" t="s">
        <v>596</v>
      </c>
      <c r="C33" s="475" t="s">
        <v>1174</v>
      </c>
      <c r="D33" s="474">
        <v>3.8</v>
      </c>
      <c r="E33" s="474" t="s">
        <v>481</v>
      </c>
      <c r="F33" s="474">
        <v>8</v>
      </c>
      <c r="G33" s="474">
        <v>5</v>
      </c>
      <c r="H33" s="474" t="s">
        <v>481</v>
      </c>
      <c r="I33" s="496" t="s">
        <v>481</v>
      </c>
      <c r="J33" s="474" t="s">
        <v>481</v>
      </c>
      <c r="K33" s="474">
        <v>7.08</v>
      </c>
      <c r="L33" s="452">
        <v>10.75</v>
      </c>
    </row>
    <row r="34" spans="1:12" s="333" customFormat="1" ht="10.5" customHeight="1">
      <c r="A34" s="385"/>
      <c r="B34" s="357" t="s">
        <v>516</v>
      </c>
      <c r="C34" s="357" t="s">
        <v>120</v>
      </c>
      <c r="D34" s="20" t="s">
        <v>481</v>
      </c>
      <c r="E34" s="20" t="s">
        <v>481</v>
      </c>
      <c r="F34" s="20" t="s">
        <v>481</v>
      </c>
      <c r="G34" s="20" t="s">
        <v>481</v>
      </c>
      <c r="H34" s="20" t="s">
        <v>481</v>
      </c>
      <c r="I34" s="20" t="s">
        <v>481</v>
      </c>
      <c r="J34" s="20"/>
      <c r="K34" s="20" t="s">
        <v>481</v>
      </c>
      <c r="L34" s="263" t="s">
        <v>481</v>
      </c>
    </row>
    <row r="35" spans="1:12" s="333" customFormat="1" ht="10.5" customHeight="1">
      <c r="A35" s="492"/>
      <c r="B35" s="454" t="s">
        <v>517</v>
      </c>
      <c r="C35" s="454" t="s">
        <v>121</v>
      </c>
      <c r="D35" s="474" t="s">
        <v>481</v>
      </c>
      <c r="E35" s="474" t="s">
        <v>481</v>
      </c>
      <c r="F35" s="474" t="s">
        <v>481</v>
      </c>
      <c r="G35" s="474">
        <v>6</v>
      </c>
      <c r="H35" s="474" t="s">
        <v>481</v>
      </c>
      <c r="I35" s="474" t="s">
        <v>481</v>
      </c>
      <c r="J35" s="474">
        <v>3.75</v>
      </c>
      <c r="K35" s="474">
        <v>7.64</v>
      </c>
      <c r="L35" s="452" t="s">
        <v>481</v>
      </c>
    </row>
    <row r="36" spans="1:12" s="333" customFormat="1" ht="10.5" customHeight="1">
      <c r="A36" s="385"/>
      <c r="B36" s="357" t="s">
        <v>518</v>
      </c>
      <c r="C36" s="357" t="s">
        <v>122</v>
      </c>
      <c r="D36" s="20" t="s">
        <v>481</v>
      </c>
      <c r="E36" s="20" t="s">
        <v>481</v>
      </c>
      <c r="F36" s="20" t="s">
        <v>481</v>
      </c>
      <c r="G36" s="20" t="s">
        <v>481</v>
      </c>
      <c r="H36" s="20" t="s">
        <v>481</v>
      </c>
      <c r="I36" s="20" t="s">
        <v>481</v>
      </c>
      <c r="J36" s="20" t="s">
        <v>481</v>
      </c>
      <c r="K36" s="20">
        <v>7.26</v>
      </c>
      <c r="L36" s="263" t="s">
        <v>481</v>
      </c>
    </row>
    <row r="37" spans="1:12" s="333" customFormat="1" ht="10.5" customHeight="1">
      <c r="A37" s="492"/>
      <c r="B37" s="454" t="s">
        <v>519</v>
      </c>
      <c r="C37" s="454" t="s">
        <v>123</v>
      </c>
      <c r="D37" s="474" t="s">
        <v>481</v>
      </c>
      <c r="E37" s="474" t="s">
        <v>481</v>
      </c>
      <c r="F37" s="474" t="s">
        <v>481</v>
      </c>
      <c r="G37" s="474" t="s">
        <v>481</v>
      </c>
      <c r="H37" s="474" t="s">
        <v>481</v>
      </c>
      <c r="I37" s="474" t="s">
        <v>481</v>
      </c>
      <c r="J37" s="474" t="s">
        <v>481</v>
      </c>
      <c r="K37" s="474" t="s">
        <v>481</v>
      </c>
      <c r="L37" s="452" t="s">
        <v>481</v>
      </c>
    </row>
    <row r="38" spans="1:12" s="333" customFormat="1" ht="10.5" customHeight="1">
      <c r="A38" s="385"/>
      <c r="B38" s="357" t="s">
        <v>520</v>
      </c>
      <c r="C38" s="357" t="s">
        <v>124</v>
      </c>
      <c r="D38" s="20" t="s">
        <v>481</v>
      </c>
      <c r="E38" s="20">
        <v>6.18</v>
      </c>
      <c r="F38" s="20">
        <v>8</v>
      </c>
      <c r="G38" s="20" t="s">
        <v>481</v>
      </c>
      <c r="H38" s="20" t="s">
        <v>481</v>
      </c>
      <c r="I38" s="20">
        <v>9.93</v>
      </c>
      <c r="J38" s="20" t="s">
        <v>481</v>
      </c>
      <c r="K38" s="20">
        <v>8.51</v>
      </c>
      <c r="L38" s="263" t="s">
        <v>481</v>
      </c>
    </row>
    <row r="39" spans="1:12" s="333" customFormat="1" ht="10.5" customHeight="1">
      <c r="A39" s="492"/>
      <c r="B39" s="454" t="s">
        <v>521</v>
      </c>
      <c r="C39" s="454" t="s">
        <v>125</v>
      </c>
      <c r="D39" s="474" t="s">
        <v>481</v>
      </c>
      <c r="E39" s="474" t="s">
        <v>481</v>
      </c>
      <c r="F39" s="474"/>
      <c r="G39" s="474">
        <v>5</v>
      </c>
      <c r="H39" s="474" t="s">
        <v>481</v>
      </c>
      <c r="I39" s="474" t="s">
        <v>481</v>
      </c>
      <c r="J39" s="474" t="s">
        <v>481</v>
      </c>
      <c r="K39" s="474" t="s">
        <v>481</v>
      </c>
      <c r="L39" s="452" t="s">
        <v>481</v>
      </c>
    </row>
    <row r="40" spans="1:12" s="333" customFormat="1" ht="10.5" customHeight="1">
      <c r="A40" s="385"/>
      <c r="B40" s="357" t="s">
        <v>522</v>
      </c>
      <c r="C40" s="357" t="s">
        <v>126</v>
      </c>
      <c r="D40" s="20" t="s">
        <v>481</v>
      </c>
      <c r="E40" s="20" t="s">
        <v>481</v>
      </c>
      <c r="F40" s="20">
        <v>8</v>
      </c>
      <c r="G40" s="20">
        <v>9</v>
      </c>
      <c r="H40" s="20" t="s">
        <v>481</v>
      </c>
      <c r="I40" s="20" t="s">
        <v>481</v>
      </c>
      <c r="J40" s="20" t="s">
        <v>481</v>
      </c>
      <c r="K40" s="20">
        <v>8.32</v>
      </c>
      <c r="L40" s="263" t="s">
        <v>481</v>
      </c>
    </row>
    <row r="41" spans="1:12" s="333" customFormat="1" ht="10.5" customHeight="1">
      <c r="A41" s="492"/>
      <c r="B41" s="454" t="s">
        <v>523</v>
      </c>
      <c r="C41" s="454" t="s">
        <v>127</v>
      </c>
      <c r="D41" s="474" t="s">
        <v>481</v>
      </c>
      <c r="E41" s="474" t="s">
        <v>481</v>
      </c>
      <c r="F41" s="474">
        <v>5.5</v>
      </c>
      <c r="G41" s="474">
        <v>9</v>
      </c>
      <c r="H41" s="474">
        <v>6.29</v>
      </c>
      <c r="I41" s="474"/>
      <c r="J41" s="474">
        <v>4</v>
      </c>
      <c r="K41" s="474" t="s">
        <v>481</v>
      </c>
      <c r="L41" s="452" t="s">
        <v>481</v>
      </c>
    </row>
    <row r="42" spans="1:12" s="333" customFormat="1" ht="10.5" customHeight="1">
      <c r="A42" s="385"/>
      <c r="B42" s="357" t="s">
        <v>707</v>
      </c>
      <c r="C42" s="357" t="s">
        <v>708</v>
      </c>
      <c r="D42" s="20">
        <v>7.66</v>
      </c>
      <c r="E42" s="20">
        <v>6.18</v>
      </c>
      <c r="F42" s="20">
        <v>8</v>
      </c>
      <c r="G42" s="20" t="s">
        <v>481</v>
      </c>
      <c r="H42" s="20" t="s">
        <v>481</v>
      </c>
      <c r="I42" s="20">
        <v>10.49</v>
      </c>
      <c r="J42" s="20"/>
      <c r="K42" s="20">
        <v>7.95</v>
      </c>
      <c r="L42" s="263" t="s">
        <v>481</v>
      </c>
    </row>
    <row r="43" spans="1:12" s="333" customFormat="1" ht="10.5" customHeight="1">
      <c r="A43" s="492"/>
      <c r="B43" s="454" t="s">
        <v>709</v>
      </c>
      <c r="C43" s="454" t="s">
        <v>711</v>
      </c>
      <c r="D43" s="474">
        <v>6.74</v>
      </c>
      <c r="E43" s="474">
        <v>6.18</v>
      </c>
      <c r="F43" s="474">
        <v>8</v>
      </c>
      <c r="G43" s="474" t="s">
        <v>481</v>
      </c>
      <c r="H43" s="474" t="s">
        <v>481</v>
      </c>
      <c r="I43" s="474">
        <v>9.17</v>
      </c>
      <c r="J43" s="474"/>
      <c r="K43" s="474">
        <v>8.1300000000000008</v>
      </c>
      <c r="L43" s="452" t="s">
        <v>481</v>
      </c>
    </row>
    <row r="44" spans="1:12" s="333" customFormat="1" ht="10.5" customHeight="1">
      <c r="A44" s="385"/>
      <c r="B44" s="638" t="s">
        <v>712</v>
      </c>
      <c r="C44" s="372" t="s">
        <v>1175</v>
      </c>
      <c r="D44" s="521">
        <v>7.23</v>
      </c>
      <c r="E44" s="521">
        <v>6.18</v>
      </c>
      <c r="F44" s="521" t="s">
        <v>481</v>
      </c>
      <c r="G44" s="521" t="s">
        <v>481</v>
      </c>
      <c r="H44" s="521">
        <v>2.96</v>
      </c>
      <c r="I44" s="521" t="s">
        <v>481</v>
      </c>
      <c r="J44" s="521" t="s">
        <v>481</v>
      </c>
      <c r="K44" s="521">
        <v>7.14</v>
      </c>
      <c r="L44" s="263" t="s">
        <v>481</v>
      </c>
    </row>
    <row r="45" spans="1:12" s="333" customFormat="1" ht="10.5" customHeight="1">
      <c r="A45" s="492"/>
      <c r="B45" s="494" t="s">
        <v>713</v>
      </c>
      <c r="C45" s="489" t="s">
        <v>1176</v>
      </c>
      <c r="D45" s="496">
        <v>6.74</v>
      </c>
      <c r="E45" s="496">
        <v>6.18</v>
      </c>
      <c r="F45" s="496">
        <v>8</v>
      </c>
      <c r="G45" s="496">
        <v>7.5</v>
      </c>
      <c r="H45" s="496" t="s">
        <v>481</v>
      </c>
      <c r="I45" s="496">
        <v>10.3</v>
      </c>
      <c r="J45" s="496" t="s">
        <v>481</v>
      </c>
      <c r="K45" s="496">
        <v>7.14</v>
      </c>
      <c r="L45" s="452">
        <v>10.19</v>
      </c>
    </row>
    <row r="46" spans="1:12" s="333" customFormat="1" ht="10.5" customHeight="1">
      <c r="A46" s="385"/>
      <c r="B46" s="520" t="s">
        <v>460</v>
      </c>
      <c r="C46" s="699" t="s">
        <v>461</v>
      </c>
      <c r="D46" s="700" t="s">
        <v>481</v>
      </c>
      <c r="E46" s="700">
        <v>6.18</v>
      </c>
      <c r="F46" s="700">
        <v>8</v>
      </c>
      <c r="G46" s="700" t="s">
        <v>481</v>
      </c>
      <c r="H46" s="700" t="s">
        <v>481</v>
      </c>
      <c r="I46" s="700">
        <v>9.9600000000000009</v>
      </c>
      <c r="J46" s="700" t="s">
        <v>481</v>
      </c>
      <c r="K46" s="700" t="s">
        <v>481</v>
      </c>
      <c r="L46" s="701">
        <v>10.64</v>
      </c>
    </row>
    <row r="47" spans="1:12" s="398" customFormat="1" ht="10.5" customHeight="1">
      <c r="A47" s="493" t="s">
        <v>870</v>
      </c>
      <c r="B47" s="2184" t="s">
        <v>69</v>
      </c>
      <c r="C47" s="2184"/>
      <c r="D47" s="474" t="s">
        <v>481</v>
      </c>
      <c r="E47" s="474">
        <v>2.69</v>
      </c>
      <c r="F47" s="474" t="s">
        <v>481</v>
      </c>
      <c r="G47" s="474">
        <v>4</v>
      </c>
      <c r="H47" s="474">
        <v>6.1400000000000006</v>
      </c>
      <c r="I47" s="474">
        <v>4.03</v>
      </c>
      <c r="J47" s="474">
        <v>3.5</v>
      </c>
      <c r="K47" s="474">
        <v>3.85</v>
      </c>
      <c r="L47" s="443" t="s">
        <v>481</v>
      </c>
    </row>
    <row r="48" spans="1:12" s="333" customFormat="1" ht="10.5" customHeight="1">
      <c r="A48" s="639" t="s">
        <v>871</v>
      </c>
      <c r="B48" s="2185" t="s">
        <v>70</v>
      </c>
      <c r="C48" s="2185"/>
      <c r="D48" s="20" t="s">
        <v>481</v>
      </c>
      <c r="E48" s="20" t="s">
        <v>481</v>
      </c>
      <c r="F48" s="20" t="s">
        <v>481</v>
      </c>
      <c r="G48" s="20" t="s">
        <v>481</v>
      </c>
      <c r="H48" s="20">
        <v>7.39</v>
      </c>
      <c r="I48" s="20" t="s">
        <v>481</v>
      </c>
      <c r="J48" s="20" t="s">
        <v>481</v>
      </c>
      <c r="K48" s="20" t="s">
        <v>481</v>
      </c>
      <c r="L48" s="263" t="s">
        <v>481</v>
      </c>
    </row>
    <row r="49" spans="1:12" s="333" customFormat="1" ht="10.5" customHeight="1">
      <c r="A49" s="492"/>
      <c r="B49" s="454" t="s">
        <v>899</v>
      </c>
      <c r="C49" s="454" t="s">
        <v>293</v>
      </c>
      <c r="D49" s="474" t="s">
        <v>481</v>
      </c>
      <c r="E49" s="474" t="s">
        <v>481</v>
      </c>
      <c r="F49" s="496" t="s">
        <v>481</v>
      </c>
      <c r="G49" s="474" t="s">
        <v>481</v>
      </c>
      <c r="H49" s="474" t="s">
        <v>481</v>
      </c>
      <c r="I49" s="474" t="s">
        <v>481</v>
      </c>
      <c r="J49" s="474" t="s">
        <v>481</v>
      </c>
      <c r="K49" s="474" t="s">
        <v>481</v>
      </c>
      <c r="L49" s="452" t="s">
        <v>481</v>
      </c>
    </row>
    <row r="50" spans="1:12" s="333" customFormat="1" ht="10.5" customHeight="1">
      <c r="A50" s="385"/>
      <c r="B50" s="357"/>
      <c r="C50" s="357" t="s">
        <v>603</v>
      </c>
      <c r="D50" s="20">
        <v>7.66</v>
      </c>
      <c r="E50" s="20">
        <v>6.18</v>
      </c>
      <c r="F50" s="521" t="s">
        <v>481</v>
      </c>
      <c r="G50" s="20">
        <v>9</v>
      </c>
      <c r="H50" s="20" t="s">
        <v>481</v>
      </c>
      <c r="I50" s="20">
        <v>9.2799999999999994</v>
      </c>
      <c r="J50" s="20" t="s">
        <v>481</v>
      </c>
      <c r="K50" s="20" t="s">
        <v>481</v>
      </c>
      <c r="L50" s="263">
        <v>11.26</v>
      </c>
    </row>
    <row r="51" spans="1:12" s="333" customFormat="1" ht="10.5" customHeight="1">
      <c r="A51" s="492"/>
      <c r="B51" s="454"/>
      <c r="C51" s="454" t="s">
        <v>601</v>
      </c>
      <c r="D51" s="474">
        <v>7.96</v>
      </c>
      <c r="E51" s="474">
        <v>6.18</v>
      </c>
      <c r="F51" s="496" t="s">
        <v>481</v>
      </c>
      <c r="G51" s="474" t="s">
        <v>481</v>
      </c>
      <c r="H51" s="474">
        <v>7.02</v>
      </c>
      <c r="I51" s="474">
        <v>9.6199999999999992</v>
      </c>
      <c r="J51" s="474" t="s">
        <v>481</v>
      </c>
      <c r="K51" s="474" t="s">
        <v>481</v>
      </c>
      <c r="L51" s="452"/>
    </row>
    <row r="52" spans="1:12" s="333" customFormat="1" ht="10.5" customHeight="1">
      <c r="A52" s="385"/>
      <c r="B52" s="357"/>
      <c r="C52" s="357" t="s">
        <v>602</v>
      </c>
      <c r="D52" s="20" t="s">
        <v>481</v>
      </c>
      <c r="E52" s="20">
        <v>6.18</v>
      </c>
      <c r="F52" s="521" t="s">
        <v>481</v>
      </c>
      <c r="G52" s="20" t="s">
        <v>481</v>
      </c>
      <c r="H52" s="20" t="s">
        <v>481</v>
      </c>
      <c r="I52" s="20" t="s">
        <v>481</v>
      </c>
      <c r="J52" s="20" t="s">
        <v>481</v>
      </c>
      <c r="K52" s="20" t="s">
        <v>481</v>
      </c>
      <c r="L52" s="263" t="s">
        <v>481</v>
      </c>
    </row>
    <row r="53" spans="1:12" s="333" customFormat="1" ht="10.5" customHeight="1">
      <c r="A53" s="492"/>
      <c r="B53" s="495" t="s">
        <v>901</v>
      </c>
      <c r="C53" s="454" t="s">
        <v>604</v>
      </c>
      <c r="D53" s="474" t="s">
        <v>481</v>
      </c>
      <c r="E53" s="474">
        <v>6.18</v>
      </c>
      <c r="F53" s="474">
        <v>8.25</v>
      </c>
      <c r="G53" s="474" t="s">
        <v>481</v>
      </c>
      <c r="H53" s="474" t="s">
        <v>481</v>
      </c>
      <c r="I53" s="474">
        <v>9.34</v>
      </c>
      <c r="J53" s="474" t="s">
        <v>481</v>
      </c>
      <c r="K53" s="474">
        <v>6.83</v>
      </c>
      <c r="L53" s="452" t="s">
        <v>481</v>
      </c>
    </row>
    <row r="54" spans="1:12" s="702" customFormat="1" ht="15" customHeight="1" thickBot="1">
      <c r="A54" s="697"/>
      <c r="B54" s="683" t="s">
        <v>903</v>
      </c>
      <c r="C54" s="683" t="s">
        <v>71</v>
      </c>
      <c r="D54" s="698">
        <v>8.27</v>
      </c>
      <c r="E54" s="698">
        <v>6.18</v>
      </c>
      <c r="F54" s="698">
        <v>8.25</v>
      </c>
      <c r="G54" s="698" t="s">
        <v>481</v>
      </c>
      <c r="H54" s="698" t="s">
        <v>481</v>
      </c>
      <c r="I54" s="698" t="s">
        <v>481</v>
      </c>
      <c r="J54" s="698" t="s">
        <v>481</v>
      </c>
      <c r="K54" s="698">
        <v>7.39</v>
      </c>
      <c r="L54" s="675" t="s">
        <v>481</v>
      </c>
    </row>
    <row r="55" spans="1:12" s="44" customFormat="1" ht="9.75" customHeight="1">
      <c r="A55" s="2043" t="s">
        <v>2135</v>
      </c>
      <c r="B55" s="2071"/>
      <c r="C55" s="2071"/>
      <c r="D55" s="2071"/>
      <c r="E55" s="155"/>
      <c r="F55" s="155"/>
      <c r="G55" s="155"/>
      <c r="H55" s="155"/>
      <c r="I55" s="155"/>
      <c r="J55" s="155"/>
      <c r="K55" s="155"/>
    </row>
    <row r="56" spans="1:12" s="10" customFormat="1" ht="9" customHeight="1">
      <c r="A56" s="11"/>
      <c r="C56" s="77" t="s">
        <v>605</v>
      </c>
      <c r="D56" s="35"/>
      <c r="E56" s="35"/>
      <c r="F56" s="35"/>
      <c r="G56" s="35"/>
      <c r="H56" s="35"/>
      <c r="I56" s="35"/>
      <c r="J56" s="35"/>
      <c r="K56" s="35"/>
    </row>
  </sheetData>
  <mergeCells count="11">
    <mergeCell ref="K1:L1"/>
    <mergeCell ref="J2:L2"/>
    <mergeCell ref="A3:C3"/>
    <mergeCell ref="B4:C4"/>
    <mergeCell ref="B5:C5"/>
    <mergeCell ref="B16:C16"/>
    <mergeCell ref="B47:C47"/>
    <mergeCell ref="B48:C48"/>
    <mergeCell ref="A55:D55"/>
    <mergeCell ref="B1:J1"/>
    <mergeCell ref="B12:C12"/>
  </mergeCells>
  <pageMargins left="0.31496062992126" right="0.31496062992126" top="0.35433070866141703" bottom="0.15748031496063" header="0" footer="0.39370078740157499"/>
  <pageSetup paperSize="448" firstPageNumber="74" orientation="portrait" useFirstPageNumber="1" r:id="rId1"/>
  <headerFooter>
    <oddFooter>&amp;C&amp;"Times New Roman,Regular"&amp;8&amp;P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>
  <sheetPr codeName="Sheet1"/>
  <dimension ref="A1:AM82"/>
  <sheetViews>
    <sheetView zoomScale="130" zoomScaleNormal="130" workbookViewId="0">
      <pane xSplit="1" ySplit="5" topLeftCell="B48" activePane="bottomRight" state="frozen"/>
      <selection pane="topRight" activeCell="B1" sqref="B1"/>
      <selection pane="bottomLeft" activeCell="A6" sqref="A6"/>
      <selection pane="bottomRight" activeCell="I57" sqref="I57"/>
    </sheetView>
  </sheetViews>
  <sheetFormatPr defaultColWidth="9.140625" defaultRowHeight="11.25"/>
  <cols>
    <col min="1" max="1" width="7.7109375" style="23" customWidth="1"/>
    <col min="2" max="2" width="5.7109375" style="10" customWidth="1"/>
    <col min="3" max="3" width="6.28515625" style="10" customWidth="1"/>
    <col min="4" max="4" width="5.28515625" style="10" customWidth="1"/>
    <col min="5" max="5" width="5.5703125" style="10" customWidth="1"/>
    <col min="6" max="7" width="6" style="10" customWidth="1"/>
    <col min="8" max="8" width="5.85546875" style="10" customWidth="1"/>
    <col min="9" max="9" width="6" style="10" customWidth="1"/>
    <col min="10" max="10" width="5.5703125" style="10" customWidth="1"/>
    <col min="11" max="11" width="6" style="10" customWidth="1"/>
    <col min="12" max="12" width="7.5703125" style="10" customWidth="1"/>
    <col min="13" max="13" width="5.28515625" style="10" customWidth="1"/>
    <col min="14" max="14" width="8" style="23" customWidth="1"/>
    <col min="15" max="15" width="5.42578125" style="10" customWidth="1"/>
    <col min="16" max="16" width="6.140625" style="10" customWidth="1"/>
    <col min="17" max="17" width="5.28515625" style="10" customWidth="1"/>
    <col min="18" max="18" width="5.7109375" style="10" customWidth="1"/>
    <col min="19" max="19" width="6.140625" style="10" customWidth="1"/>
    <col min="20" max="20" width="5.5703125" style="10" customWidth="1"/>
    <col min="21" max="21" width="5.42578125" style="10" customWidth="1"/>
    <col min="22" max="22" width="6.5703125" style="10" customWidth="1"/>
    <col min="23" max="23" width="5.85546875" style="10" customWidth="1"/>
    <col min="24" max="24" width="6" style="10" customWidth="1"/>
    <col min="25" max="25" width="6.42578125" style="10" customWidth="1"/>
    <col min="26" max="26" width="6" style="10" customWidth="1"/>
    <col min="27" max="27" width="7.85546875" style="23" customWidth="1"/>
    <col min="28" max="29" width="6" style="10" customWidth="1"/>
    <col min="30" max="30" width="5.7109375" style="10" customWidth="1"/>
    <col min="31" max="31" width="5.85546875" style="10" customWidth="1"/>
    <col min="32" max="32" width="6.42578125" style="10" customWidth="1"/>
    <col min="33" max="33" width="5.42578125" style="10" customWidth="1"/>
    <col min="34" max="34" width="5.85546875" style="10" customWidth="1"/>
    <col min="35" max="35" width="6.28515625" style="10" customWidth="1"/>
    <col min="36" max="36" width="5.85546875" style="10" customWidth="1"/>
    <col min="37" max="37" width="5.5703125" style="10" customWidth="1"/>
    <col min="38" max="39" width="6" style="10" customWidth="1"/>
    <col min="40" max="16384" width="9.140625" style="10"/>
  </cols>
  <sheetData>
    <row r="1" spans="1:39" s="29" customFormat="1" ht="35.25" customHeight="1">
      <c r="B1" s="2189" t="s">
        <v>73</v>
      </c>
      <c r="C1" s="2189"/>
      <c r="D1" s="2189"/>
      <c r="E1" s="2189"/>
      <c r="F1" s="2189"/>
      <c r="G1" s="2189"/>
      <c r="H1" s="2189"/>
      <c r="I1" s="2189"/>
      <c r="J1" s="30"/>
      <c r="K1" s="2193" t="s">
        <v>881</v>
      </c>
      <c r="L1" s="2193"/>
      <c r="M1" s="2193"/>
      <c r="O1" s="2189" t="s">
        <v>23</v>
      </c>
      <c r="P1" s="2189"/>
      <c r="Q1" s="2189"/>
      <c r="R1" s="2189"/>
      <c r="S1" s="2189"/>
      <c r="T1" s="2189"/>
      <c r="U1" s="2189"/>
      <c r="V1" s="2189"/>
      <c r="W1" s="30"/>
      <c r="X1" s="2193" t="s">
        <v>881</v>
      </c>
      <c r="Y1" s="2193"/>
      <c r="Z1" s="2193"/>
      <c r="AB1" s="2189" t="s">
        <v>24</v>
      </c>
      <c r="AC1" s="2189"/>
      <c r="AD1" s="2189"/>
      <c r="AE1" s="2189"/>
      <c r="AF1" s="2189"/>
      <c r="AG1" s="2189"/>
      <c r="AH1" s="2189"/>
      <c r="AI1" s="2189"/>
      <c r="AJ1" s="30"/>
      <c r="AK1" s="2193" t="s">
        <v>886</v>
      </c>
      <c r="AL1" s="2193"/>
      <c r="AM1" s="2193"/>
    </row>
    <row r="2" spans="1:39" s="29" customFormat="1" ht="12" customHeight="1">
      <c r="B2" s="139"/>
      <c r="C2" s="139"/>
      <c r="D2" s="139"/>
      <c r="E2" s="139"/>
      <c r="F2" s="139"/>
      <c r="G2" s="139"/>
      <c r="H2" s="139"/>
      <c r="I2" s="139"/>
      <c r="J2" s="139"/>
      <c r="K2" s="2059" t="s">
        <v>766</v>
      </c>
      <c r="L2" s="2059"/>
      <c r="M2" s="2059"/>
      <c r="N2" s="104"/>
      <c r="O2" s="104"/>
      <c r="P2" s="104"/>
      <c r="Q2" s="104"/>
      <c r="R2" s="104"/>
      <c r="S2" s="104"/>
      <c r="T2" s="104"/>
      <c r="U2" s="104"/>
      <c r="V2" s="104"/>
      <c r="W2" s="104"/>
      <c r="X2" s="2192" t="s">
        <v>766</v>
      </c>
      <c r="Y2" s="2192"/>
      <c r="Z2" s="2192"/>
      <c r="AK2" s="2192" t="s">
        <v>766</v>
      </c>
      <c r="AL2" s="2192"/>
      <c r="AM2" s="2192"/>
    </row>
    <row r="3" spans="1:39" ht="12.75" customHeight="1">
      <c r="A3" s="1999" t="s">
        <v>739</v>
      </c>
      <c r="B3" s="2052" t="s">
        <v>767</v>
      </c>
      <c r="C3" s="2053"/>
      <c r="D3" s="2053"/>
      <c r="E3" s="2053"/>
      <c r="F3" s="2053"/>
      <c r="G3" s="2053"/>
      <c r="H3" s="2053"/>
      <c r="I3" s="2053"/>
      <c r="J3" s="2053"/>
      <c r="K3" s="2053"/>
      <c r="L3" s="2053"/>
      <c r="M3" s="2054"/>
      <c r="N3" s="1999" t="s">
        <v>739</v>
      </c>
      <c r="O3" s="2052" t="s">
        <v>767</v>
      </c>
      <c r="P3" s="2053"/>
      <c r="Q3" s="2053"/>
      <c r="R3" s="2053"/>
      <c r="S3" s="2053"/>
      <c r="T3" s="2053"/>
      <c r="U3" s="2053"/>
      <c r="V3" s="2053"/>
      <c r="W3" s="2053"/>
      <c r="X3" s="2053"/>
      <c r="Y3" s="2053"/>
      <c r="Z3" s="2054"/>
      <c r="AA3" s="1999" t="s">
        <v>739</v>
      </c>
      <c r="AB3" s="2052" t="s">
        <v>767</v>
      </c>
      <c r="AC3" s="2053"/>
      <c r="AD3" s="2053"/>
      <c r="AE3" s="2053"/>
      <c r="AF3" s="2053"/>
      <c r="AG3" s="2053"/>
      <c r="AH3" s="2053"/>
      <c r="AI3" s="2053"/>
      <c r="AJ3" s="2053"/>
      <c r="AK3" s="2053"/>
      <c r="AL3" s="2053"/>
      <c r="AM3" s="2054"/>
    </row>
    <row r="4" spans="1:39" s="24" customFormat="1" ht="12.75" customHeight="1">
      <c r="A4" s="1999"/>
      <c r="B4" s="2190" t="s">
        <v>95</v>
      </c>
      <c r="C4" s="2190"/>
      <c r="D4" s="2000"/>
      <c r="E4" s="2191" t="s">
        <v>907</v>
      </c>
      <c r="F4" s="2190"/>
      <c r="G4" s="2000"/>
      <c r="H4" s="2191" t="s">
        <v>905</v>
      </c>
      <c r="I4" s="2190"/>
      <c r="J4" s="2000"/>
      <c r="K4" s="2191" t="s">
        <v>96</v>
      </c>
      <c r="L4" s="2190"/>
      <c r="M4" s="2000"/>
      <c r="N4" s="1999"/>
      <c r="O4" s="2191" t="s">
        <v>95</v>
      </c>
      <c r="P4" s="2190"/>
      <c r="Q4" s="2000"/>
      <c r="R4" s="2191" t="s">
        <v>907</v>
      </c>
      <c r="S4" s="2190"/>
      <c r="T4" s="2000"/>
      <c r="U4" s="2191" t="s">
        <v>905</v>
      </c>
      <c r="V4" s="2190"/>
      <c r="W4" s="2000"/>
      <c r="X4" s="2191" t="s">
        <v>96</v>
      </c>
      <c r="Y4" s="2190"/>
      <c r="Z4" s="2000"/>
      <c r="AA4" s="1999"/>
      <c r="AB4" s="2191" t="s">
        <v>95</v>
      </c>
      <c r="AC4" s="2190"/>
      <c r="AD4" s="2000"/>
      <c r="AE4" s="2191" t="s">
        <v>907</v>
      </c>
      <c r="AF4" s="2190"/>
      <c r="AG4" s="2000"/>
      <c r="AH4" s="2191" t="s">
        <v>905</v>
      </c>
      <c r="AI4" s="2190"/>
      <c r="AJ4" s="2000"/>
      <c r="AK4" s="2191" t="s">
        <v>96</v>
      </c>
      <c r="AL4" s="2190"/>
      <c r="AM4" s="2000"/>
    </row>
    <row r="5" spans="1:39" s="24" customFormat="1" ht="22.5" customHeight="1">
      <c r="A5" s="1999"/>
      <c r="B5" s="167" t="s">
        <v>793</v>
      </c>
      <c r="C5" s="169" t="s">
        <v>97</v>
      </c>
      <c r="D5" s="170" t="s">
        <v>915</v>
      </c>
      <c r="E5" s="167" t="s">
        <v>793</v>
      </c>
      <c r="F5" s="42" t="s">
        <v>97</v>
      </c>
      <c r="G5" s="170" t="s">
        <v>915</v>
      </c>
      <c r="H5" s="167" t="s">
        <v>793</v>
      </c>
      <c r="I5" s="42" t="s">
        <v>97</v>
      </c>
      <c r="J5" s="170" t="s">
        <v>915</v>
      </c>
      <c r="K5" s="167" t="s">
        <v>793</v>
      </c>
      <c r="L5" s="42" t="s">
        <v>97</v>
      </c>
      <c r="M5" s="170" t="s">
        <v>915</v>
      </c>
      <c r="N5" s="1999"/>
      <c r="O5" s="167" t="s">
        <v>793</v>
      </c>
      <c r="P5" s="42" t="s">
        <v>97</v>
      </c>
      <c r="Q5" s="170" t="s">
        <v>915</v>
      </c>
      <c r="R5" s="167" t="s">
        <v>793</v>
      </c>
      <c r="S5" s="42" t="s">
        <v>97</v>
      </c>
      <c r="T5" s="170" t="s">
        <v>915</v>
      </c>
      <c r="U5" s="167" t="s">
        <v>793</v>
      </c>
      <c r="V5" s="42" t="s">
        <v>97</v>
      </c>
      <c r="W5" s="170" t="s">
        <v>915</v>
      </c>
      <c r="X5" s="167" t="s">
        <v>793</v>
      </c>
      <c r="Y5" s="42" t="s">
        <v>97</v>
      </c>
      <c r="Z5" s="170" t="s">
        <v>915</v>
      </c>
      <c r="AA5" s="1999"/>
      <c r="AB5" s="167" t="s">
        <v>793</v>
      </c>
      <c r="AC5" s="42" t="s">
        <v>97</v>
      </c>
      <c r="AD5" s="170" t="s">
        <v>915</v>
      </c>
      <c r="AE5" s="167" t="s">
        <v>793</v>
      </c>
      <c r="AF5" s="42" t="s">
        <v>97</v>
      </c>
      <c r="AG5" s="170" t="s">
        <v>915</v>
      </c>
      <c r="AH5" s="167" t="s">
        <v>793</v>
      </c>
      <c r="AI5" s="42" t="s">
        <v>97</v>
      </c>
      <c r="AJ5" s="170" t="s">
        <v>915</v>
      </c>
      <c r="AK5" s="167" t="s">
        <v>793</v>
      </c>
      <c r="AL5" s="42" t="s">
        <v>97</v>
      </c>
      <c r="AM5" s="170" t="s">
        <v>915</v>
      </c>
    </row>
    <row r="6" spans="1:39" ht="11.1" customHeight="1">
      <c r="A6" s="495" t="s">
        <v>826</v>
      </c>
      <c r="B6" s="496">
        <v>2.58</v>
      </c>
      <c r="C6" s="496">
        <v>4.54</v>
      </c>
      <c r="D6" s="440" t="s">
        <v>481</v>
      </c>
      <c r="E6" s="496">
        <v>2.645</v>
      </c>
      <c r="F6" s="496">
        <v>4.5508333333333333</v>
      </c>
      <c r="G6" s="440" t="s">
        <v>481</v>
      </c>
      <c r="H6" s="496">
        <v>2.7074999999999996</v>
      </c>
      <c r="I6" s="496">
        <v>4.6450000000000005</v>
      </c>
      <c r="J6" s="440" t="s">
        <v>481</v>
      </c>
      <c r="K6" s="496">
        <v>3.0983333333333332</v>
      </c>
      <c r="L6" s="496">
        <v>4.8183333333333334</v>
      </c>
      <c r="M6" s="440" t="s">
        <v>481</v>
      </c>
      <c r="N6" s="495" t="s">
        <v>826</v>
      </c>
      <c r="O6" s="496">
        <v>2.0983333333333332</v>
      </c>
      <c r="P6" s="496">
        <v>4.3416666666666677</v>
      </c>
      <c r="Q6" s="440" t="s">
        <v>481</v>
      </c>
      <c r="R6" s="496">
        <v>2.3491666666666666</v>
      </c>
      <c r="S6" s="496">
        <v>4.3516666666666675</v>
      </c>
      <c r="T6" s="440" t="s">
        <v>481</v>
      </c>
      <c r="U6" s="496">
        <v>2.3540000000000001</v>
      </c>
      <c r="V6" s="496">
        <v>3.5190000000000001</v>
      </c>
      <c r="W6" s="440" t="s">
        <v>481</v>
      </c>
      <c r="X6" s="496">
        <v>2.5579999999999998</v>
      </c>
      <c r="Y6" s="496">
        <v>4.5</v>
      </c>
      <c r="Z6" s="440" t="s">
        <v>481</v>
      </c>
      <c r="AA6" s="495" t="s">
        <v>826</v>
      </c>
      <c r="AB6" s="496">
        <v>2.09</v>
      </c>
      <c r="AC6" s="496">
        <v>4.335</v>
      </c>
      <c r="AD6" s="440" t="s">
        <v>481</v>
      </c>
      <c r="AE6" s="496">
        <v>2.33</v>
      </c>
      <c r="AF6" s="496">
        <v>4.3730000000000002</v>
      </c>
      <c r="AG6" s="440" t="s">
        <v>481</v>
      </c>
      <c r="AH6" s="496">
        <v>2.3624999999999994</v>
      </c>
      <c r="AI6" s="496">
        <v>4.343</v>
      </c>
      <c r="AJ6" s="440" t="s">
        <v>481</v>
      </c>
      <c r="AK6" s="496">
        <v>2.4300000000000002</v>
      </c>
      <c r="AL6" s="496">
        <v>4.3140000000000001</v>
      </c>
      <c r="AM6" s="440" t="s">
        <v>481</v>
      </c>
    </row>
    <row r="7" spans="1:39" s="253" customFormat="1" ht="11.1" customHeight="1">
      <c r="A7" s="520" t="s">
        <v>549</v>
      </c>
      <c r="B7" s="521">
        <v>2.6724999999999999</v>
      </c>
      <c r="C7" s="521">
        <v>4.6500000000000004</v>
      </c>
      <c r="D7" s="40" t="s">
        <v>481</v>
      </c>
      <c r="E7" s="521">
        <v>2.7374999999999994</v>
      </c>
      <c r="F7" s="521">
        <v>4.6539999999999999</v>
      </c>
      <c r="G7" s="40" t="s">
        <v>481</v>
      </c>
      <c r="H7" s="521">
        <v>2.8050000000000002</v>
      </c>
      <c r="I7" s="521">
        <v>4.7350000000000003</v>
      </c>
      <c r="J7" s="40" t="s">
        <v>481</v>
      </c>
      <c r="K7" s="521">
        <v>3.1829999999999998</v>
      </c>
      <c r="L7" s="521">
        <v>4.9240000000000004</v>
      </c>
      <c r="M7" s="40" t="s">
        <v>481</v>
      </c>
      <c r="N7" s="520" t="s">
        <v>549</v>
      </c>
      <c r="O7" s="521">
        <v>2.194</v>
      </c>
      <c r="P7" s="521">
        <v>4.4349999999999996</v>
      </c>
      <c r="Q7" s="40" t="s">
        <v>481</v>
      </c>
      <c r="R7" s="521">
        <v>2.4324999999999997</v>
      </c>
      <c r="S7" s="521">
        <v>4.4249999999999998</v>
      </c>
      <c r="T7" s="40" t="s">
        <v>481</v>
      </c>
      <c r="U7" s="521">
        <v>2.4289999999999998</v>
      </c>
      <c r="V7" s="521">
        <v>3.5950000000000002</v>
      </c>
      <c r="W7" s="40" t="s">
        <v>481</v>
      </c>
      <c r="X7" s="521">
        <v>2.6425000000000001</v>
      </c>
      <c r="Y7" s="521">
        <v>4.585</v>
      </c>
      <c r="Z7" s="40" t="s">
        <v>481</v>
      </c>
      <c r="AA7" s="520" t="s">
        <v>549</v>
      </c>
      <c r="AB7" s="521">
        <v>2.1749999999999998</v>
      </c>
      <c r="AC7" s="521">
        <v>4.415</v>
      </c>
      <c r="AD7" s="40" t="s">
        <v>481</v>
      </c>
      <c r="AE7" s="521">
        <v>2.4250000000000003</v>
      </c>
      <c r="AF7" s="521">
        <v>4.4530000000000003</v>
      </c>
      <c r="AG7" s="40" t="s">
        <v>481</v>
      </c>
      <c r="AH7" s="521">
        <v>2.4390000000000001</v>
      </c>
      <c r="AI7" s="521">
        <v>4.4349999999999996</v>
      </c>
      <c r="AJ7" s="40" t="s">
        <v>481</v>
      </c>
      <c r="AK7" s="521">
        <v>2.5150000000000001</v>
      </c>
      <c r="AL7" s="521">
        <v>4.3949999999999996</v>
      </c>
      <c r="AM7" s="40" t="s">
        <v>481</v>
      </c>
    </row>
    <row r="8" spans="1:39" s="38" customFormat="1" ht="11.1" customHeight="1">
      <c r="A8" s="454" t="s">
        <v>102</v>
      </c>
      <c r="B8" s="474">
        <v>1.25</v>
      </c>
      <c r="C8" s="474">
        <v>2.72</v>
      </c>
      <c r="D8" s="440">
        <v>2.57</v>
      </c>
      <c r="E8" s="474">
        <v>1.78</v>
      </c>
      <c r="F8" s="474">
        <v>3.25</v>
      </c>
      <c r="G8" s="440">
        <v>2.96</v>
      </c>
      <c r="H8" s="474">
        <v>2.1800000000000002</v>
      </c>
      <c r="I8" s="474">
        <v>3.403</v>
      </c>
      <c r="J8" s="440">
        <v>3.1150000000000002</v>
      </c>
      <c r="K8" s="474">
        <v>2.226</v>
      </c>
      <c r="L8" s="474">
        <v>3.5630000000000002</v>
      </c>
      <c r="M8" s="440">
        <v>3.2280000000000002</v>
      </c>
      <c r="N8" s="454" t="s">
        <v>102</v>
      </c>
      <c r="O8" s="474">
        <v>1.212</v>
      </c>
      <c r="P8" s="474">
        <v>2.3719999999999999</v>
      </c>
      <c r="Q8" s="440">
        <v>1.5640000000000001</v>
      </c>
      <c r="R8" s="474">
        <v>1.508</v>
      </c>
      <c r="S8" s="474">
        <v>2.706</v>
      </c>
      <c r="T8" s="440">
        <v>1.8049999999999999</v>
      </c>
      <c r="U8" s="474">
        <v>1.617</v>
      </c>
      <c r="V8" s="474">
        <v>2.4279999999999999</v>
      </c>
      <c r="W8" s="440">
        <v>1.9259999999999999</v>
      </c>
      <c r="X8" s="474">
        <v>1.794</v>
      </c>
      <c r="Y8" s="474">
        <v>2.585</v>
      </c>
      <c r="Z8" s="440">
        <v>2.0129999999999999</v>
      </c>
      <c r="AA8" s="454" t="s">
        <v>102</v>
      </c>
      <c r="AB8" s="474">
        <v>1.0589999999999999</v>
      </c>
      <c r="AC8" s="474">
        <v>2.2130000000000001</v>
      </c>
      <c r="AD8" s="440">
        <v>2.0390000000000001</v>
      </c>
      <c r="AE8" s="474">
        <v>1.409</v>
      </c>
      <c r="AF8" s="474">
        <v>2.6160000000000001</v>
      </c>
      <c r="AG8" s="440">
        <v>2.29</v>
      </c>
      <c r="AH8" s="474">
        <v>1.72</v>
      </c>
      <c r="AI8" s="474">
        <v>3.0339999999999998</v>
      </c>
      <c r="AJ8" s="440">
        <v>2.8069999999999999</v>
      </c>
      <c r="AK8" s="474">
        <v>2.1309999999999998</v>
      </c>
      <c r="AL8" s="474">
        <v>3.472</v>
      </c>
      <c r="AM8" s="440">
        <v>2.8849999999999998</v>
      </c>
    </row>
    <row r="9" spans="1:39" s="400" customFormat="1" ht="11.1" customHeight="1">
      <c r="A9" s="357" t="s">
        <v>98</v>
      </c>
      <c r="B9" s="20">
        <v>0.16083333333333336</v>
      </c>
      <c r="C9" s="20">
        <v>0.2116666666666667</v>
      </c>
      <c r="D9" s="40">
        <v>0.13750000000000001</v>
      </c>
      <c r="E9" s="20">
        <v>0.33083333333333337</v>
      </c>
      <c r="F9" s="20">
        <v>0.33</v>
      </c>
      <c r="G9" s="40">
        <v>0.33916666666666667</v>
      </c>
      <c r="H9" s="20">
        <v>0.55583333333333329</v>
      </c>
      <c r="I9" s="20">
        <v>0.45</v>
      </c>
      <c r="J9" s="40">
        <v>0.6166666666666667</v>
      </c>
      <c r="K9" s="20">
        <v>0.89</v>
      </c>
      <c r="L9" s="20">
        <v>0.69666666666666666</v>
      </c>
      <c r="M9" s="40">
        <v>0.76916666666666655</v>
      </c>
      <c r="N9" s="357" t="s">
        <v>98</v>
      </c>
      <c r="O9" s="20">
        <v>0.19583333333333333</v>
      </c>
      <c r="P9" s="20">
        <v>0.46083333333333337</v>
      </c>
      <c r="Q9" s="40">
        <v>0.27500000000000002</v>
      </c>
      <c r="R9" s="20">
        <v>0.25</v>
      </c>
      <c r="S9" s="20">
        <v>0.5575</v>
      </c>
      <c r="T9" s="40">
        <v>0.41833333333333328</v>
      </c>
      <c r="U9" s="20">
        <v>0.40416666666666673</v>
      </c>
      <c r="V9" s="20">
        <v>0.60250000000000015</v>
      </c>
      <c r="W9" s="40">
        <v>0.52750000000000019</v>
      </c>
      <c r="X9" s="20">
        <v>0.79083333333333339</v>
      </c>
      <c r="Y9" s="20">
        <v>0.78749999999999998</v>
      </c>
      <c r="Z9" s="40">
        <v>0.70083333333333331</v>
      </c>
      <c r="AA9" s="357" t="s">
        <v>98</v>
      </c>
      <c r="AB9" s="20">
        <v>0.64916666666666656</v>
      </c>
      <c r="AC9" s="20">
        <v>0.12583333333333338</v>
      </c>
      <c r="AD9" s="40">
        <v>0.17166666666666666</v>
      </c>
      <c r="AE9" s="20">
        <v>0.80083333333333329</v>
      </c>
      <c r="AF9" s="20">
        <v>0.2383333333333334</v>
      </c>
      <c r="AG9" s="40">
        <v>0.30416666666666675</v>
      </c>
      <c r="AH9" s="20">
        <v>0.65083333333333337</v>
      </c>
      <c r="AI9" s="20">
        <v>0.34916666666666668</v>
      </c>
      <c r="AJ9" s="40">
        <v>0.44</v>
      </c>
      <c r="AK9" s="20">
        <v>0.81333333333333346</v>
      </c>
      <c r="AL9" s="20">
        <v>0.51416666666666677</v>
      </c>
      <c r="AM9" s="40">
        <v>0.57583333333333331</v>
      </c>
    </row>
    <row r="10" spans="1:39" s="400" customFormat="1" ht="11.1" customHeight="1">
      <c r="A10" s="454" t="s">
        <v>241</v>
      </c>
      <c r="B10" s="474">
        <v>0.16791666666666663</v>
      </c>
      <c r="C10" s="474">
        <v>0.24756944444444443</v>
      </c>
      <c r="D10" s="440">
        <v>0.43798611111111113</v>
      </c>
      <c r="E10" s="474">
        <v>0.33444444444444449</v>
      </c>
      <c r="F10" s="474">
        <v>0.39881944444444439</v>
      </c>
      <c r="G10" s="440">
        <v>0.64472222222222209</v>
      </c>
      <c r="H10" s="474">
        <v>0.50624999999999998</v>
      </c>
      <c r="I10" s="474">
        <v>0.66923611111111114</v>
      </c>
      <c r="J10" s="440">
        <v>0.94277777777777783</v>
      </c>
      <c r="K10" s="474">
        <v>0.73374999999999979</v>
      </c>
      <c r="L10" s="474">
        <v>0.93069444444444438</v>
      </c>
      <c r="M10" s="440">
        <v>1.0635416666666668</v>
      </c>
      <c r="N10" s="454" t="s">
        <v>241</v>
      </c>
      <c r="O10" s="474">
        <v>0.14000000000000004</v>
      </c>
      <c r="P10" s="474">
        <v>0.29643229166666668</v>
      </c>
      <c r="Q10" s="440">
        <v>0.40145833333333342</v>
      </c>
      <c r="R10" s="474">
        <v>0.19358333333333333</v>
      </c>
      <c r="S10" s="474">
        <v>0.41849999999999993</v>
      </c>
      <c r="T10" s="440">
        <v>0.53516666666666668</v>
      </c>
      <c r="U10" s="474">
        <v>0.28266666666666668</v>
      </c>
      <c r="V10" s="474">
        <v>0.55945833333333328</v>
      </c>
      <c r="W10" s="440">
        <v>0.64966666666666673</v>
      </c>
      <c r="X10" s="474">
        <v>0.5678333333333333</v>
      </c>
      <c r="Y10" s="474">
        <v>0.83166666666666655</v>
      </c>
      <c r="Z10" s="440">
        <v>0.87583333333333313</v>
      </c>
      <c r="AA10" s="454" t="s">
        <v>241</v>
      </c>
      <c r="AB10" s="474">
        <v>0.75583333333333336</v>
      </c>
      <c r="AC10" s="474">
        <v>0.28083333333333332</v>
      </c>
      <c r="AD10" s="440">
        <v>0.31277777777777777</v>
      </c>
      <c r="AE10" s="474">
        <v>1.0994444444444444</v>
      </c>
      <c r="AF10" s="474">
        <v>0.41625000000000001</v>
      </c>
      <c r="AG10" s="440">
        <v>0.53763888888888889</v>
      </c>
      <c r="AH10" s="474">
        <v>1.1913888888888888</v>
      </c>
      <c r="AI10" s="474">
        <v>0.5097222222222223</v>
      </c>
      <c r="AJ10" s="440">
        <v>0.62097222222222215</v>
      </c>
      <c r="AK10" s="474">
        <v>0.79916666666666647</v>
      </c>
      <c r="AL10" s="474">
        <v>0.54180555555555554</v>
      </c>
      <c r="AM10" s="440">
        <v>0.79249999999999998</v>
      </c>
    </row>
    <row r="11" spans="1:39" s="400" customFormat="1" ht="11.1" customHeight="1">
      <c r="A11" s="357" t="s">
        <v>1142</v>
      </c>
      <c r="B11" s="20">
        <v>0.16916666666666666</v>
      </c>
      <c r="C11" s="20">
        <v>0.33805555555555555</v>
      </c>
      <c r="D11" s="40">
        <v>0.63222222222222213</v>
      </c>
      <c r="E11" s="20">
        <v>0.36666666666666664</v>
      </c>
      <c r="F11" s="20">
        <v>0.63055555555555565</v>
      </c>
      <c r="G11" s="40">
        <v>0.89583333333333337</v>
      </c>
      <c r="H11" s="20">
        <v>0.62444444444444447</v>
      </c>
      <c r="I11" s="20">
        <v>0.93444444444444441</v>
      </c>
      <c r="J11" s="40">
        <v>1.141388888888889</v>
      </c>
      <c r="K11" s="20">
        <v>0.8783333333333333</v>
      </c>
      <c r="L11" s="20">
        <v>1.2255555555555555</v>
      </c>
      <c r="M11" s="40">
        <v>1.3674999999999999</v>
      </c>
      <c r="N11" s="357" t="s">
        <v>1142</v>
      </c>
      <c r="O11" s="20">
        <v>0.10250000000000002</v>
      </c>
      <c r="P11" s="20">
        <v>0.31416666666666665</v>
      </c>
      <c r="Q11" s="40">
        <v>0.57166666666666655</v>
      </c>
      <c r="R11" s="20">
        <v>0.21500000000000005</v>
      </c>
      <c r="S11" s="20">
        <v>0.50624999999999998</v>
      </c>
      <c r="T11" s="40">
        <v>0.72000000000000008</v>
      </c>
      <c r="U11" s="20">
        <v>0.34833333333333338</v>
      </c>
      <c r="V11" s="20">
        <v>0.65749999999999997</v>
      </c>
      <c r="W11" s="40">
        <v>0.81</v>
      </c>
      <c r="X11" s="20">
        <v>0.89416666666666655</v>
      </c>
      <c r="Y11" s="20">
        <v>0.95233333333333337</v>
      </c>
      <c r="Z11" s="40">
        <v>0.99500000000000011</v>
      </c>
      <c r="AA11" s="357" t="s">
        <v>1142</v>
      </c>
      <c r="AB11" s="20">
        <v>0.55875000000000019</v>
      </c>
      <c r="AC11" s="20">
        <v>0.42166666666666669</v>
      </c>
      <c r="AD11" s="40">
        <v>0.5</v>
      </c>
      <c r="AE11" s="20">
        <v>1.0566666666666666</v>
      </c>
      <c r="AF11" s="20">
        <v>0.65499999999999992</v>
      </c>
      <c r="AG11" s="40">
        <v>0.75</v>
      </c>
      <c r="AH11" s="20">
        <v>1.4295833333333332</v>
      </c>
      <c r="AI11" s="20">
        <v>0.99749999999999972</v>
      </c>
      <c r="AJ11" s="40">
        <v>0.9312499999999998</v>
      </c>
      <c r="AK11" s="20">
        <v>1.1666666666666667</v>
      </c>
      <c r="AL11" s="20">
        <v>0.94083333333333341</v>
      </c>
      <c r="AM11" s="40">
        <v>1.25</v>
      </c>
    </row>
    <row r="12" spans="1:39" s="400" customFormat="1" ht="11.1" customHeight="1">
      <c r="A12" s="454" t="s">
        <v>1333</v>
      </c>
      <c r="B12" s="474">
        <v>0.16958333333333339</v>
      </c>
      <c r="C12" s="474">
        <v>0.21965277777777778</v>
      </c>
      <c r="D12" s="440">
        <v>3.6111111111111114E-3</v>
      </c>
      <c r="E12" s="474">
        <v>0.19888888888888887</v>
      </c>
      <c r="F12" s="474">
        <v>0.28486111111111112</v>
      </c>
      <c r="G12" s="440">
        <v>5.0833333333333341E-2</v>
      </c>
      <c r="H12" s="474">
        <v>0.35916666666666669</v>
      </c>
      <c r="I12" s="474">
        <v>0.44350694444444455</v>
      </c>
      <c r="J12" s="440">
        <v>0.12611111111111115</v>
      </c>
      <c r="K12" s="474">
        <v>0.59020833333333322</v>
      </c>
      <c r="L12" s="474">
        <v>0.70586805555555554</v>
      </c>
      <c r="M12" s="440">
        <v>0.26034722222222223</v>
      </c>
      <c r="N12" s="454" t="s">
        <v>1333</v>
      </c>
      <c r="O12" s="474">
        <v>9.2082500000000012E-2</v>
      </c>
      <c r="P12" s="474">
        <v>0.24228124999999998</v>
      </c>
      <c r="Q12" s="440">
        <v>0.18372943333333333</v>
      </c>
      <c r="R12" s="474">
        <v>0.18142521929166663</v>
      </c>
      <c r="S12" s="474">
        <v>0.38397137278333332</v>
      </c>
      <c r="T12" s="440">
        <v>0.29373464912499997</v>
      </c>
      <c r="U12" s="474">
        <v>0.29680622806666668</v>
      </c>
      <c r="V12" s="474">
        <v>0.43682707018333344</v>
      </c>
      <c r="W12" s="440">
        <v>0.38601997368333335</v>
      </c>
      <c r="X12" s="474">
        <v>0.80951328947222212</v>
      </c>
      <c r="Y12" s="474">
        <v>0.69534501314999997</v>
      </c>
      <c r="Z12" s="440">
        <v>0.51850818421666667</v>
      </c>
      <c r="AA12" s="454" t="s">
        <v>1333</v>
      </c>
      <c r="AB12" s="474">
        <v>0.55041666666666667</v>
      </c>
      <c r="AC12" s="474">
        <v>0.39874999999999999</v>
      </c>
      <c r="AD12" s="440">
        <v>0.5</v>
      </c>
      <c r="AE12" s="474">
        <v>1.4790416666666666</v>
      </c>
      <c r="AF12" s="474">
        <v>0.55916666666666681</v>
      </c>
      <c r="AG12" s="440">
        <v>0.75</v>
      </c>
      <c r="AH12" s="474">
        <v>1.4741041666666668</v>
      </c>
      <c r="AI12" s="474">
        <v>0.68750000000000011</v>
      </c>
      <c r="AJ12" s="440">
        <v>0.62416666666666665</v>
      </c>
      <c r="AK12" s="474">
        <v>1.2992333333333332</v>
      </c>
      <c r="AL12" s="474">
        <v>0.85916666666666675</v>
      </c>
      <c r="AM12" s="440">
        <v>1.25</v>
      </c>
    </row>
    <row r="13" spans="1:39" s="251" customFormat="1" ht="11.1" customHeight="1">
      <c r="A13" s="520" t="s">
        <v>1664</v>
      </c>
      <c r="B13" s="40">
        <v>6.9166666666666696E-2</v>
      </c>
      <c r="C13" s="40">
        <v>0.21207052083333333</v>
      </c>
      <c r="D13" s="40">
        <v>5.3333333333333337E-2</v>
      </c>
      <c r="E13" s="40">
        <v>4.8898611111111108E-2</v>
      </c>
      <c r="F13" s="40">
        <v>0.24257020833333334</v>
      </c>
      <c r="G13" s="40">
        <v>5.9166666666666666E-2</v>
      </c>
      <c r="H13" s="40">
        <v>0.10368437500000001</v>
      </c>
      <c r="I13" s="40">
        <v>0.331078125</v>
      </c>
      <c r="J13" s="40">
        <v>9.8393750000000002E-2</v>
      </c>
      <c r="K13" s="40">
        <v>0.28775562500000001</v>
      </c>
      <c r="L13" s="40">
        <v>0.54730156250000006</v>
      </c>
      <c r="M13" s="40">
        <v>0.19117562500000004</v>
      </c>
      <c r="N13" s="520" t="s">
        <v>1664</v>
      </c>
      <c r="O13" s="40">
        <v>0.23060208333333335</v>
      </c>
      <c r="P13" s="40">
        <v>0.28789062500000001</v>
      </c>
      <c r="Q13" s="40">
        <v>0.19963549999999999</v>
      </c>
      <c r="R13" s="40">
        <v>0.2548333333333333</v>
      </c>
      <c r="S13" s="40">
        <v>0.41539350876666664</v>
      </c>
      <c r="T13" s="40">
        <v>0.2763631944444444</v>
      </c>
      <c r="U13" s="40">
        <v>0.39922916666666658</v>
      </c>
      <c r="V13" s="40">
        <v>0.48461499999999996</v>
      </c>
      <c r="W13" s="40">
        <v>0.38448833333333332</v>
      </c>
      <c r="X13" s="40">
        <v>0.6540076388888888</v>
      </c>
      <c r="Y13" s="40">
        <v>0.80578854166666669</v>
      </c>
      <c r="Z13" s="40">
        <v>0.50327416666666669</v>
      </c>
      <c r="AA13" s="520" t="s">
        <v>1664</v>
      </c>
      <c r="AB13" s="40">
        <v>0.90791666666666659</v>
      </c>
      <c r="AC13" s="40">
        <v>0.38708333333333339</v>
      </c>
      <c r="AD13" s="40">
        <v>0.45583333333333326</v>
      </c>
      <c r="AE13" s="40">
        <v>1.1558333333333335</v>
      </c>
      <c r="AF13" s="40">
        <v>0.53583333333333349</v>
      </c>
      <c r="AG13" s="40">
        <v>0.66000000000000014</v>
      </c>
      <c r="AH13" s="40">
        <v>1.1683333333333334</v>
      </c>
      <c r="AI13" s="40">
        <v>0.61583333333333323</v>
      </c>
      <c r="AJ13" s="40">
        <v>0.76750000000000007</v>
      </c>
      <c r="AK13" s="40">
        <v>1.1204166666666668</v>
      </c>
      <c r="AL13" s="40">
        <v>0.79604166666666665</v>
      </c>
      <c r="AM13" s="40">
        <v>1.1550000000000002</v>
      </c>
    </row>
    <row r="14" spans="1:39" s="388" customFormat="1" ht="11.1" customHeight="1">
      <c r="A14" s="1426" t="s">
        <v>1754</v>
      </c>
      <c r="B14" s="652">
        <v>6.0833333333333323E-2</v>
      </c>
      <c r="C14" s="652">
        <v>0.2014565555</v>
      </c>
      <c r="D14" s="652">
        <v>0</v>
      </c>
      <c r="E14" s="652">
        <v>3.8953055555555553E-2</v>
      </c>
      <c r="F14" s="652">
        <v>0.25167252783333338</v>
      </c>
      <c r="G14" s="652">
        <v>1.7500000000000002E-2</v>
      </c>
      <c r="H14" s="652">
        <v>8.435333333333335E-2</v>
      </c>
      <c r="I14" s="652">
        <v>0.36996055550000001</v>
      </c>
      <c r="J14" s="652">
        <v>1.0833333333333334E-2</v>
      </c>
      <c r="K14" s="652">
        <v>0.25765302783333327</v>
      </c>
      <c r="L14" s="652">
        <v>0.57783030549999992</v>
      </c>
      <c r="M14" s="652">
        <v>5.1990729166666673E-2</v>
      </c>
      <c r="N14" s="1426" t="s">
        <v>1754</v>
      </c>
      <c r="O14" s="652">
        <v>0.417658549951267</v>
      </c>
      <c r="P14" s="652">
        <v>0.42778127485021789</v>
      </c>
      <c r="Q14" s="652">
        <v>0.25705915530303031</v>
      </c>
      <c r="R14" s="652">
        <v>0.39406351697994985</v>
      </c>
      <c r="S14" s="652">
        <v>0.5138648752314815</v>
      </c>
      <c r="T14" s="652">
        <v>0.27559262629540598</v>
      </c>
      <c r="U14" s="652">
        <v>0.71116524939227155</v>
      </c>
      <c r="V14" s="652">
        <v>0.68667745396825397</v>
      </c>
      <c r="W14" s="652">
        <v>0.4250588182539683</v>
      </c>
      <c r="X14" s="652">
        <v>0.81893196351991071</v>
      </c>
      <c r="Y14" s="652">
        <v>1.0508996562908497</v>
      </c>
      <c r="Z14" s="652">
        <v>0.52704765201465198</v>
      </c>
      <c r="AA14" s="1426" t="s">
        <v>1754</v>
      </c>
      <c r="AB14" s="652">
        <v>1.0156928895833335</v>
      </c>
      <c r="AC14" s="652">
        <v>0.41749176666666665</v>
      </c>
      <c r="AD14" s="652">
        <v>0.46336752083333338</v>
      </c>
      <c r="AE14" s="652">
        <v>1.1542176916666664</v>
      </c>
      <c r="AF14" s="652">
        <v>0.57261966666666686</v>
      </c>
      <c r="AG14" s="652">
        <v>0.58483106666666662</v>
      </c>
      <c r="AH14" s="652">
        <v>0.76716723611111093</v>
      </c>
      <c r="AI14" s="652">
        <v>0.67324468055555553</v>
      </c>
      <c r="AJ14" s="652">
        <v>0.98999999999999988</v>
      </c>
      <c r="AK14" s="652">
        <v>0.94661391388888882</v>
      </c>
      <c r="AL14" s="652">
        <v>0.87057560555555547</v>
      </c>
      <c r="AM14" s="652">
        <v>1.0833333333333333</v>
      </c>
    </row>
    <row r="15" spans="1:39" s="388" customFormat="1" ht="11.1" customHeight="1">
      <c r="A15" s="648" t="s">
        <v>1954</v>
      </c>
      <c r="B15" s="819">
        <v>0.13249999999999998</v>
      </c>
      <c r="C15" s="819">
        <v>0.18583333333333332</v>
      </c>
      <c r="D15" s="819">
        <v>0</v>
      </c>
      <c r="E15" s="819">
        <v>0.19583333333333333</v>
      </c>
      <c r="F15" s="819">
        <v>0.24333333333333332</v>
      </c>
      <c r="G15" s="819">
        <v>0</v>
      </c>
      <c r="H15" s="819">
        <v>0.34833333333333333</v>
      </c>
      <c r="I15" s="819">
        <v>0.36833333333333335</v>
      </c>
      <c r="J15" s="819">
        <v>0</v>
      </c>
      <c r="K15" s="819">
        <v>0.53416666666666668</v>
      </c>
      <c r="L15" s="819">
        <v>0.53833333333333333</v>
      </c>
      <c r="M15" s="819">
        <v>0</v>
      </c>
      <c r="N15" s="648" t="s">
        <v>1954</v>
      </c>
      <c r="O15" s="819">
        <v>0.43916666666666665</v>
      </c>
      <c r="P15" s="819">
        <v>0.4283333333333334</v>
      </c>
      <c r="Q15" s="819">
        <v>0.29750000000000004</v>
      </c>
      <c r="R15" s="819">
        <v>0.47166666666666668</v>
      </c>
      <c r="S15" s="819">
        <v>0.50166666666666659</v>
      </c>
      <c r="T15" s="819">
        <v>0.3066666666666667</v>
      </c>
      <c r="U15" s="819">
        <v>1.1066666666666667</v>
      </c>
      <c r="V15" s="819">
        <v>0.70416666666666661</v>
      </c>
      <c r="W15" s="819">
        <v>0.48750000000000004</v>
      </c>
      <c r="X15" s="819">
        <v>1.1833333333333333</v>
      </c>
      <c r="Y15" s="819">
        <v>0.90083333333333326</v>
      </c>
      <c r="Z15" s="819">
        <v>0.51250000000000007</v>
      </c>
      <c r="AA15" s="648" t="s">
        <v>1954</v>
      </c>
      <c r="AB15" s="819">
        <v>1.0274999999999999</v>
      </c>
      <c r="AC15" s="819">
        <v>0.43500000000000005</v>
      </c>
      <c r="AD15" s="819">
        <v>0.51666666666666672</v>
      </c>
      <c r="AE15" s="819">
        <v>1.1783333333333332</v>
      </c>
      <c r="AF15" s="819">
        <v>0.65</v>
      </c>
      <c r="AG15" s="819">
        <v>0.63166666666666671</v>
      </c>
      <c r="AH15" s="819">
        <v>0.83250000000000002</v>
      </c>
      <c r="AI15" s="819">
        <v>0.71166666666666656</v>
      </c>
      <c r="AJ15" s="819">
        <v>0.9</v>
      </c>
      <c r="AK15" s="819">
        <v>0.9558333333333332</v>
      </c>
      <c r="AL15" s="819">
        <v>0.89583333333333337</v>
      </c>
      <c r="AM15" s="819">
        <v>1.0983333333333334</v>
      </c>
    </row>
    <row r="16" spans="1:39" s="388" customFormat="1" ht="11.1" customHeight="1">
      <c r="A16" s="1111" t="s">
        <v>2046</v>
      </c>
      <c r="B16" s="1028">
        <f>AVERAGE(B17:B28)</f>
        <v>0.46749999999999997</v>
      </c>
      <c r="C16" s="1028">
        <f t="shared" ref="C16:M16" si="0">AVERAGE(C17:C28)</f>
        <v>3.1666666666666676E-2</v>
      </c>
      <c r="D16" s="1028">
        <f t="shared" si="0"/>
        <v>0</v>
      </c>
      <c r="E16" s="1028">
        <f t="shared" si="0"/>
        <v>0.56916666666666671</v>
      </c>
      <c r="F16" s="1028">
        <f t="shared" si="0"/>
        <v>0.2525</v>
      </c>
      <c r="G16" s="1028">
        <f t="shared" si="0"/>
        <v>0</v>
      </c>
      <c r="H16" s="1028">
        <f t="shared" si="0"/>
        <v>0.86916666666666675</v>
      </c>
      <c r="I16" s="1028">
        <f t="shared" si="0"/>
        <v>0.21083333333333334</v>
      </c>
      <c r="J16" s="1028">
        <f t="shared" si="0"/>
        <v>0</v>
      </c>
      <c r="K16" s="1028">
        <f t="shared" si="0"/>
        <v>1.095</v>
      </c>
      <c r="L16" s="1028">
        <f t="shared" si="0"/>
        <v>0.36166666666666664</v>
      </c>
      <c r="M16" s="1028">
        <f t="shared" si="0"/>
        <v>0</v>
      </c>
      <c r="N16" s="1111" t="s">
        <v>2046</v>
      </c>
      <c r="O16" s="1028">
        <f t="shared" ref="O16:Z16" si="1">AVERAGE(O17:O28)</f>
        <v>0.48500000000000004</v>
      </c>
      <c r="P16" s="1028">
        <f t="shared" si="1"/>
        <v>0.30583333333333335</v>
      </c>
      <c r="Q16" s="1028">
        <f t="shared" si="1"/>
        <v>0.32083333333333336</v>
      </c>
      <c r="R16" s="1028">
        <f t="shared" si="1"/>
        <v>0.85083333333333344</v>
      </c>
      <c r="S16" s="1028">
        <f t="shared" si="1"/>
        <v>0.37666666666666665</v>
      </c>
      <c r="T16" s="1028">
        <f t="shared" si="1"/>
        <v>0.25500000000000006</v>
      </c>
      <c r="U16" s="1028">
        <f t="shared" si="1"/>
        <v>0.90499999999999992</v>
      </c>
      <c r="V16" s="1028">
        <f t="shared" si="1"/>
        <v>0.50666666666666671</v>
      </c>
      <c r="W16" s="1028">
        <f t="shared" si="1"/>
        <v>0.38333333333333336</v>
      </c>
      <c r="X16" s="1028">
        <f t="shared" si="1"/>
        <v>1.0366666666666666</v>
      </c>
      <c r="Y16" s="1028">
        <f t="shared" si="1"/>
        <v>0.62916666666666676</v>
      </c>
      <c r="Z16" s="1028">
        <f t="shared" si="1"/>
        <v>0.46416666666666662</v>
      </c>
      <c r="AA16" s="1111" t="s">
        <v>2046</v>
      </c>
      <c r="AB16" s="1028">
        <f t="shared" ref="AB16:AM16" si="2">AVERAGE(AB17:AB28)</f>
        <v>1.01</v>
      </c>
      <c r="AC16" s="1028">
        <f t="shared" si="2"/>
        <v>0.44416666666666665</v>
      </c>
      <c r="AD16" s="1028">
        <f t="shared" si="2"/>
        <v>0.49166666666666664</v>
      </c>
      <c r="AE16" s="1028">
        <f t="shared" si="2"/>
        <v>1.1283333333333334</v>
      </c>
      <c r="AF16" s="1028">
        <f t="shared" si="2"/>
        <v>0.58333333333333337</v>
      </c>
      <c r="AG16" s="1028">
        <f t="shared" si="2"/>
        <v>0.47666666666666657</v>
      </c>
      <c r="AH16" s="1028">
        <f t="shared" si="2"/>
        <v>0.86666666666666659</v>
      </c>
      <c r="AI16" s="1028">
        <f t="shared" si="2"/>
        <v>0.67249999999999999</v>
      </c>
      <c r="AJ16" s="1028">
        <f t="shared" si="2"/>
        <v>0.72916666666666663</v>
      </c>
      <c r="AK16" s="1028">
        <f t="shared" si="2"/>
        <v>1.0458333333333332</v>
      </c>
      <c r="AL16" s="1028">
        <f t="shared" si="2"/>
        <v>0.80000000000000016</v>
      </c>
      <c r="AM16" s="1028">
        <f t="shared" si="2"/>
        <v>0.9291666666666667</v>
      </c>
    </row>
    <row r="17" spans="1:39" s="388" customFormat="1" ht="11.1" customHeight="1">
      <c r="A17" s="1112" t="s">
        <v>818</v>
      </c>
      <c r="B17" s="682">
        <v>0.19</v>
      </c>
      <c r="C17" s="682">
        <v>0.18</v>
      </c>
      <c r="D17" s="828">
        <v>0</v>
      </c>
      <c r="E17" s="682">
        <v>0.32</v>
      </c>
      <c r="F17" s="682">
        <v>0.18</v>
      </c>
      <c r="G17" s="828">
        <v>0</v>
      </c>
      <c r="H17" s="682">
        <v>0.51</v>
      </c>
      <c r="I17" s="682">
        <v>0.25</v>
      </c>
      <c r="J17" s="828">
        <v>0</v>
      </c>
      <c r="K17" s="828">
        <v>0.52</v>
      </c>
      <c r="L17" s="828">
        <v>0.39</v>
      </c>
      <c r="M17" s="828">
        <v>0</v>
      </c>
      <c r="N17" s="1112" t="s">
        <v>818</v>
      </c>
      <c r="O17" s="682">
        <v>0.46</v>
      </c>
      <c r="P17" s="682">
        <v>0.39</v>
      </c>
      <c r="Q17" s="682">
        <v>0.32</v>
      </c>
      <c r="R17" s="682">
        <v>0.53</v>
      </c>
      <c r="S17" s="682">
        <v>0.45</v>
      </c>
      <c r="T17" s="682">
        <v>0.32</v>
      </c>
      <c r="U17" s="682">
        <v>0.87</v>
      </c>
      <c r="V17" s="682">
        <v>0.59</v>
      </c>
      <c r="W17" s="682">
        <v>0.49</v>
      </c>
      <c r="X17" s="682">
        <v>0.92</v>
      </c>
      <c r="Y17" s="682">
        <v>0.74</v>
      </c>
      <c r="Z17" s="682">
        <v>0.55000000000000004</v>
      </c>
      <c r="AA17" s="1112" t="s">
        <v>818</v>
      </c>
      <c r="AB17" s="682">
        <v>1.1200000000000001</v>
      </c>
      <c r="AC17" s="828">
        <v>0.56999999999999995</v>
      </c>
      <c r="AD17" s="682">
        <v>0.46</v>
      </c>
      <c r="AE17" s="682">
        <v>1.18</v>
      </c>
      <c r="AF17" s="682">
        <v>0.61</v>
      </c>
      <c r="AG17" s="682">
        <v>0.45</v>
      </c>
      <c r="AH17" s="682">
        <v>0.83</v>
      </c>
      <c r="AI17" s="682">
        <v>0.74</v>
      </c>
      <c r="AJ17" s="828">
        <v>0.82</v>
      </c>
      <c r="AK17" s="828">
        <v>1.01</v>
      </c>
      <c r="AL17" s="682">
        <v>0.82</v>
      </c>
      <c r="AM17" s="828">
        <v>1</v>
      </c>
    </row>
    <row r="18" spans="1:39" s="388" customFormat="1" ht="11.1" customHeight="1">
      <c r="A18" s="1113" t="s">
        <v>819</v>
      </c>
      <c r="B18" s="649">
        <v>0.21</v>
      </c>
      <c r="C18" s="652">
        <v>0.1</v>
      </c>
      <c r="D18" s="652">
        <v>0</v>
      </c>
      <c r="E18" s="649">
        <v>0.42</v>
      </c>
      <c r="F18" s="649">
        <v>0.13</v>
      </c>
      <c r="G18" s="652">
        <v>0</v>
      </c>
      <c r="H18" s="649">
        <v>0.71</v>
      </c>
      <c r="I18" s="649">
        <v>0.22</v>
      </c>
      <c r="J18" s="652">
        <v>0</v>
      </c>
      <c r="K18" s="652">
        <v>0.9</v>
      </c>
      <c r="L18" s="652">
        <v>0.35</v>
      </c>
      <c r="M18" s="652">
        <v>0</v>
      </c>
      <c r="N18" s="1113" t="s">
        <v>819</v>
      </c>
      <c r="O18" s="649">
        <v>0.46</v>
      </c>
      <c r="P18" s="649">
        <v>0.33</v>
      </c>
      <c r="Q18" s="649">
        <v>0.31</v>
      </c>
      <c r="R18" s="649">
        <v>3.94</v>
      </c>
      <c r="S18" s="649">
        <v>0.41</v>
      </c>
      <c r="T18" s="652">
        <v>0.3</v>
      </c>
      <c r="U18" s="649">
        <v>1.45</v>
      </c>
      <c r="V18" s="649">
        <v>0.53</v>
      </c>
      <c r="W18" s="649">
        <v>0.51</v>
      </c>
      <c r="X18" s="649">
        <v>1.65</v>
      </c>
      <c r="Y18" s="649">
        <v>0.67</v>
      </c>
      <c r="Z18" s="649">
        <v>0.61</v>
      </c>
      <c r="AA18" s="1113" t="s">
        <v>819</v>
      </c>
      <c r="AB18" s="649">
        <v>0.98</v>
      </c>
      <c r="AC18" s="652">
        <v>0.46</v>
      </c>
      <c r="AD18" s="649">
        <v>0.46</v>
      </c>
      <c r="AE18" s="649">
        <v>1.17</v>
      </c>
      <c r="AF18" s="649">
        <v>0.67</v>
      </c>
      <c r="AG18" s="649">
        <v>0.45</v>
      </c>
      <c r="AH18" s="649">
        <v>0.89</v>
      </c>
      <c r="AI18" s="649">
        <v>0.7</v>
      </c>
      <c r="AJ18" s="652">
        <v>0.82</v>
      </c>
      <c r="AK18" s="652">
        <v>1.01</v>
      </c>
      <c r="AL18" s="649">
        <v>0.82</v>
      </c>
      <c r="AM18" s="652">
        <v>1</v>
      </c>
    </row>
    <row r="19" spans="1:39" s="388" customFormat="1" ht="11.1" customHeight="1">
      <c r="A19" s="1112" t="s">
        <v>813</v>
      </c>
      <c r="B19" s="682">
        <v>0.21</v>
      </c>
      <c r="C19" s="682">
        <v>0.02</v>
      </c>
      <c r="D19" s="828">
        <v>0</v>
      </c>
      <c r="E19" s="682">
        <v>0.45</v>
      </c>
      <c r="F19" s="828">
        <v>0.1</v>
      </c>
      <c r="G19" s="828">
        <v>0</v>
      </c>
      <c r="H19" s="682">
        <v>0.75</v>
      </c>
      <c r="I19" s="682">
        <v>0.21</v>
      </c>
      <c r="J19" s="828">
        <v>0</v>
      </c>
      <c r="K19" s="828">
        <v>0.98</v>
      </c>
      <c r="L19" s="828">
        <v>0.37</v>
      </c>
      <c r="M19" s="828">
        <v>0</v>
      </c>
      <c r="N19" s="1112" t="s">
        <v>813</v>
      </c>
      <c r="O19" s="682">
        <v>0.51</v>
      </c>
      <c r="P19" s="682">
        <v>0.42</v>
      </c>
      <c r="Q19" s="682">
        <v>0.28999999999999998</v>
      </c>
      <c r="R19" s="682">
        <v>0.54</v>
      </c>
      <c r="S19" s="682">
        <v>0.49</v>
      </c>
      <c r="T19" s="682">
        <v>0.28999999999999998</v>
      </c>
      <c r="U19" s="682">
        <v>0.87</v>
      </c>
      <c r="V19" s="682">
        <v>0.79</v>
      </c>
      <c r="W19" s="682">
        <v>0.51</v>
      </c>
      <c r="X19" s="682">
        <v>0.92</v>
      </c>
      <c r="Y19" s="682">
        <v>0.75</v>
      </c>
      <c r="Z19" s="682">
        <v>0.56000000000000005</v>
      </c>
      <c r="AA19" s="1112" t="s">
        <v>813</v>
      </c>
      <c r="AB19" s="682">
        <v>1.1100000000000001</v>
      </c>
      <c r="AC19" s="828">
        <v>0.33</v>
      </c>
      <c r="AD19" s="682">
        <v>0.25</v>
      </c>
      <c r="AE19" s="682">
        <v>1.46</v>
      </c>
      <c r="AF19" s="828">
        <v>0.5</v>
      </c>
      <c r="AG19" s="828">
        <v>0.5</v>
      </c>
      <c r="AH19" s="682">
        <v>1.0900000000000001</v>
      </c>
      <c r="AI19" s="682">
        <v>0.65</v>
      </c>
      <c r="AJ19" s="828">
        <v>0.75</v>
      </c>
      <c r="AK19" s="828">
        <v>1.22</v>
      </c>
      <c r="AL19" s="682">
        <v>0.74</v>
      </c>
      <c r="AM19" s="828">
        <v>1</v>
      </c>
    </row>
    <row r="20" spans="1:39" s="388" customFormat="1" ht="11.1" customHeight="1">
      <c r="A20" s="1113" t="s">
        <v>820</v>
      </c>
      <c r="B20" s="649">
        <v>0.24</v>
      </c>
      <c r="C20" s="649">
        <v>0.01</v>
      </c>
      <c r="D20" s="652">
        <v>0</v>
      </c>
      <c r="E20" s="649">
        <v>0.49</v>
      </c>
      <c r="F20" s="649">
        <v>1.08</v>
      </c>
      <c r="G20" s="652">
        <v>0</v>
      </c>
      <c r="H20" s="649">
        <v>0.78</v>
      </c>
      <c r="I20" s="649">
        <v>0.22</v>
      </c>
      <c r="J20" s="652">
        <v>0</v>
      </c>
      <c r="K20" s="652">
        <v>0.98</v>
      </c>
      <c r="L20" s="652">
        <v>0.36</v>
      </c>
      <c r="M20" s="652">
        <v>0</v>
      </c>
      <c r="N20" s="1113" t="s">
        <v>820</v>
      </c>
      <c r="O20" s="649">
        <v>0.47</v>
      </c>
      <c r="P20" s="649">
        <v>0.32</v>
      </c>
      <c r="Q20" s="649">
        <v>0.32</v>
      </c>
      <c r="R20" s="652">
        <v>0.6</v>
      </c>
      <c r="S20" s="649">
        <v>0.41</v>
      </c>
      <c r="T20" s="649">
        <v>0.31</v>
      </c>
      <c r="U20" s="652">
        <v>1.6</v>
      </c>
      <c r="V20" s="649">
        <v>0.55000000000000004</v>
      </c>
      <c r="W20" s="649">
        <v>0.47</v>
      </c>
      <c r="X20" s="652">
        <v>1.6</v>
      </c>
      <c r="Y20" s="649">
        <v>0.69</v>
      </c>
      <c r="Z20" s="649">
        <v>0.53</v>
      </c>
      <c r="AA20" s="1113" t="s">
        <v>820</v>
      </c>
      <c r="AB20" s="652">
        <v>0.96</v>
      </c>
      <c r="AC20" s="652">
        <v>0.55000000000000004</v>
      </c>
      <c r="AD20" s="652">
        <v>0.46</v>
      </c>
      <c r="AE20" s="652">
        <v>1.1499999999999999</v>
      </c>
      <c r="AF20" s="652">
        <v>0.57999999999999996</v>
      </c>
      <c r="AG20" s="652">
        <v>0.56999999999999995</v>
      </c>
      <c r="AH20" s="652">
        <v>0.9</v>
      </c>
      <c r="AI20" s="652">
        <v>0.66</v>
      </c>
      <c r="AJ20" s="652">
        <v>0.75</v>
      </c>
      <c r="AK20" s="652">
        <v>1.04</v>
      </c>
      <c r="AL20" s="652">
        <v>0.82</v>
      </c>
      <c r="AM20" s="652">
        <v>1</v>
      </c>
    </row>
    <row r="21" spans="1:39" s="388" customFormat="1" ht="11.1" customHeight="1">
      <c r="A21" s="1112" t="s">
        <v>821</v>
      </c>
      <c r="B21" s="682">
        <v>0.25</v>
      </c>
      <c r="C21" s="682">
        <v>0.01</v>
      </c>
      <c r="D21" s="828">
        <v>0</v>
      </c>
      <c r="E21" s="682">
        <v>0.51</v>
      </c>
      <c r="F21" s="682">
        <v>0.69</v>
      </c>
      <c r="G21" s="828">
        <v>0</v>
      </c>
      <c r="H21" s="682">
        <v>0.61</v>
      </c>
      <c r="I21" s="682">
        <v>0.23</v>
      </c>
      <c r="J21" s="828">
        <v>0</v>
      </c>
      <c r="K21" s="828">
        <v>0.99</v>
      </c>
      <c r="L21" s="828">
        <v>0.38</v>
      </c>
      <c r="M21" s="828">
        <v>0</v>
      </c>
      <c r="N21" s="1112" t="s">
        <v>821</v>
      </c>
      <c r="O21" s="682">
        <v>0.47</v>
      </c>
      <c r="P21" s="682">
        <v>0.32</v>
      </c>
      <c r="Q21" s="682">
        <v>0.31</v>
      </c>
      <c r="R21" s="828">
        <v>0.57999999999999996</v>
      </c>
      <c r="S21" s="682">
        <v>0.41</v>
      </c>
      <c r="T21" s="682">
        <v>0.26</v>
      </c>
      <c r="U21" s="828">
        <v>0.88</v>
      </c>
      <c r="V21" s="682">
        <v>0.56000000000000005</v>
      </c>
      <c r="W21" s="682">
        <v>0.4</v>
      </c>
      <c r="X21" s="828">
        <v>0.99</v>
      </c>
      <c r="Y21" s="682">
        <v>0.67</v>
      </c>
      <c r="Z21" s="682">
        <v>0.49</v>
      </c>
      <c r="AA21" s="1112" t="s">
        <v>821</v>
      </c>
      <c r="AB21" s="828">
        <v>1</v>
      </c>
      <c r="AC21" s="828">
        <v>0.44</v>
      </c>
      <c r="AD21" s="828">
        <v>0.46</v>
      </c>
      <c r="AE21" s="828">
        <v>1.1499999999999999</v>
      </c>
      <c r="AF21" s="828">
        <v>0.65</v>
      </c>
      <c r="AG21" s="828">
        <v>0.56999999999999995</v>
      </c>
      <c r="AH21" s="828">
        <v>0.93</v>
      </c>
      <c r="AI21" s="828">
        <v>0.65</v>
      </c>
      <c r="AJ21" s="828">
        <v>0.75</v>
      </c>
      <c r="AK21" s="828">
        <v>1.0900000000000001</v>
      </c>
      <c r="AL21" s="828">
        <v>0.82</v>
      </c>
      <c r="AM21" s="828">
        <v>1</v>
      </c>
    </row>
    <row r="22" spans="1:39" s="388" customFormat="1" ht="11.1" customHeight="1">
      <c r="A22" s="1113" t="s">
        <v>814</v>
      </c>
      <c r="B22" s="649">
        <v>0.34</v>
      </c>
      <c r="C22" s="649">
        <v>0.01</v>
      </c>
      <c r="D22" s="652">
        <v>0</v>
      </c>
      <c r="E22" s="649">
        <v>0.56000000000000005</v>
      </c>
      <c r="F22" s="649">
        <v>0.48</v>
      </c>
      <c r="G22" s="652">
        <v>0</v>
      </c>
      <c r="H22" s="649">
        <v>0.82</v>
      </c>
      <c r="I22" s="649">
        <v>0.22</v>
      </c>
      <c r="J22" s="652">
        <v>0</v>
      </c>
      <c r="K22" s="652">
        <v>1.03</v>
      </c>
      <c r="L22" s="652">
        <v>0.36</v>
      </c>
      <c r="M22" s="652">
        <v>0</v>
      </c>
      <c r="N22" s="1113" t="s">
        <v>814</v>
      </c>
      <c r="O22" s="649">
        <v>0.52</v>
      </c>
      <c r="P22" s="649">
        <v>0.32</v>
      </c>
      <c r="Q22" s="649">
        <v>0.38</v>
      </c>
      <c r="R22" s="652">
        <v>0.6</v>
      </c>
      <c r="S22" s="649">
        <v>0.45</v>
      </c>
      <c r="T22" s="649">
        <v>0.28999999999999998</v>
      </c>
      <c r="U22" s="652">
        <v>0.9</v>
      </c>
      <c r="V22" s="649">
        <v>0.56000000000000005</v>
      </c>
      <c r="W22" s="649">
        <v>0.47</v>
      </c>
      <c r="X22" s="652">
        <v>1.02</v>
      </c>
      <c r="Y22" s="649">
        <v>0.71</v>
      </c>
      <c r="Z22" s="649">
        <v>0.56999999999999995</v>
      </c>
      <c r="AA22" s="1113" t="s">
        <v>814</v>
      </c>
      <c r="AB22" s="652">
        <v>0.92</v>
      </c>
      <c r="AC22" s="652">
        <v>0.54</v>
      </c>
      <c r="AD22" s="652">
        <v>0.45</v>
      </c>
      <c r="AE22" s="652">
        <v>1.21</v>
      </c>
      <c r="AF22" s="652">
        <v>0.59</v>
      </c>
      <c r="AG22" s="652">
        <v>0.5</v>
      </c>
      <c r="AH22" s="652">
        <v>0.93</v>
      </c>
      <c r="AI22" s="652">
        <v>0.7</v>
      </c>
      <c r="AJ22" s="652">
        <v>0.75</v>
      </c>
      <c r="AK22" s="652">
        <v>1.0900000000000001</v>
      </c>
      <c r="AL22" s="652">
        <v>0.82</v>
      </c>
      <c r="AM22" s="652">
        <v>1</v>
      </c>
    </row>
    <row r="23" spans="1:39" s="388" customFormat="1" ht="11.1" customHeight="1">
      <c r="A23" s="1112" t="s">
        <v>822</v>
      </c>
      <c r="B23" s="682">
        <v>0.43</v>
      </c>
      <c r="C23" s="682">
        <v>0.01</v>
      </c>
      <c r="D23" s="828">
        <v>0</v>
      </c>
      <c r="E23" s="828">
        <v>0.6</v>
      </c>
      <c r="F23" s="682">
        <v>7.0000000000000007E-2</v>
      </c>
      <c r="G23" s="828">
        <v>0</v>
      </c>
      <c r="H23" s="682">
        <v>0.85</v>
      </c>
      <c r="I23" s="828">
        <v>0.2</v>
      </c>
      <c r="J23" s="828">
        <v>0</v>
      </c>
      <c r="K23" s="828">
        <v>1.07</v>
      </c>
      <c r="L23" s="828">
        <v>0.35</v>
      </c>
      <c r="M23" s="828">
        <v>0</v>
      </c>
      <c r="N23" s="1112" t="s">
        <v>822</v>
      </c>
      <c r="O23" s="682">
        <v>0.53</v>
      </c>
      <c r="P23" s="682">
        <v>0.28999999999999998</v>
      </c>
      <c r="Q23" s="682">
        <v>0.45</v>
      </c>
      <c r="R23" s="828">
        <v>0.63</v>
      </c>
      <c r="S23" s="682">
        <v>0.43</v>
      </c>
      <c r="T23" s="682">
        <v>0.36</v>
      </c>
      <c r="U23" s="828">
        <v>0.93</v>
      </c>
      <c r="V23" s="682">
        <v>0.56999999999999995</v>
      </c>
      <c r="W23" s="682">
        <v>0.55000000000000004</v>
      </c>
      <c r="X23" s="828">
        <v>1.1000000000000001</v>
      </c>
      <c r="Y23" s="682">
        <v>0.75</v>
      </c>
      <c r="Z23" s="682">
        <v>0.63</v>
      </c>
      <c r="AA23" s="1112" t="s">
        <v>822</v>
      </c>
      <c r="AB23" s="828">
        <v>1.02</v>
      </c>
      <c r="AC23" s="828">
        <v>0.53</v>
      </c>
      <c r="AD23" s="828">
        <v>0.46</v>
      </c>
      <c r="AE23" s="828">
        <v>1.1599999999999999</v>
      </c>
      <c r="AF23" s="828">
        <v>0.57999999999999996</v>
      </c>
      <c r="AG23" s="828">
        <v>0.45</v>
      </c>
      <c r="AH23" s="828">
        <v>0.92</v>
      </c>
      <c r="AI23" s="828">
        <v>0.7</v>
      </c>
      <c r="AJ23" s="828">
        <v>0.75</v>
      </c>
      <c r="AK23" s="828">
        <v>1.0900000000000001</v>
      </c>
      <c r="AL23" s="828">
        <v>0.82</v>
      </c>
      <c r="AM23" s="828">
        <v>0.94</v>
      </c>
    </row>
    <row r="24" spans="1:39" s="388" customFormat="1" ht="11.1" customHeight="1">
      <c r="A24" s="1113" t="s">
        <v>823</v>
      </c>
      <c r="B24" s="649">
        <v>1.39</v>
      </c>
      <c r="C24" s="649">
        <v>0.01</v>
      </c>
      <c r="D24" s="652">
        <v>0</v>
      </c>
      <c r="E24" s="652">
        <v>0.62</v>
      </c>
      <c r="F24" s="649">
        <v>7.0000000000000007E-2</v>
      </c>
      <c r="G24" s="652">
        <v>0</v>
      </c>
      <c r="H24" s="649">
        <v>0.86</v>
      </c>
      <c r="I24" s="652">
        <v>0.2</v>
      </c>
      <c r="J24" s="652">
        <v>0</v>
      </c>
      <c r="K24" s="652">
        <v>1.08</v>
      </c>
      <c r="L24" s="652">
        <v>0.34</v>
      </c>
      <c r="M24" s="652">
        <v>0</v>
      </c>
      <c r="N24" s="1113" t="s">
        <v>823</v>
      </c>
      <c r="O24" s="652">
        <v>0.4</v>
      </c>
      <c r="P24" s="649">
        <v>0.17</v>
      </c>
      <c r="Q24" s="649">
        <v>0.17</v>
      </c>
      <c r="R24" s="652">
        <v>0.5</v>
      </c>
      <c r="S24" s="652">
        <v>0.3</v>
      </c>
      <c r="T24" s="649">
        <v>0.17</v>
      </c>
      <c r="U24" s="652">
        <v>0.68</v>
      </c>
      <c r="V24" s="649">
        <v>0.39</v>
      </c>
      <c r="W24" s="649">
        <v>0.22</v>
      </c>
      <c r="X24" s="652">
        <v>0.87</v>
      </c>
      <c r="Y24" s="649">
        <v>0.54</v>
      </c>
      <c r="Z24" s="649">
        <v>0.28000000000000003</v>
      </c>
      <c r="AA24" s="1113" t="s">
        <v>823</v>
      </c>
      <c r="AB24" s="652">
        <v>1.01</v>
      </c>
      <c r="AC24" s="652">
        <v>0.48</v>
      </c>
      <c r="AD24" s="652">
        <v>0.59</v>
      </c>
      <c r="AE24" s="652">
        <v>1.18</v>
      </c>
      <c r="AF24" s="652">
        <v>0.54</v>
      </c>
      <c r="AG24" s="652">
        <v>0.57999999999999996</v>
      </c>
      <c r="AH24" s="652">
        <v>0.94</v>
      </c>
      <c r="AI24" s="652">
        <v>0.7</v>
      </c>
      <c r="AJ24" s="652">
        <v>1</v>
      </c>
      <c r="AK24" s="652">
        <v>1.0900000000000001</v>
      </c>
      <c r="AL24" s="652">
        <v>0.82</v>
      </c>
      <c r="AM24" s="652">
        <v>1.07</v>
      </c>
    </row>
    <row r="25" spans="1:39" s="388" customFormat="1" ht="11.1" customHeight="1">
      <c r="A25" s="1112" t="s">
        <v>815</v>
      </c>
      <c r="B25" s="682">
        <v>0.47</v>
      </c>
      <c r="C25" s="682">
        <v>0.01</v>
      </c>
      <c r="D25" s="828">
        <v>0</v>
      </c>
      <c r="E25" s="828">
        <v>0.65</v>
      </c>
      <c r="F25" s="682">
        <v>0.06</v>
      </c>
      <c r="G25" s="828">
        <v>0</v>
      </c>
      <c r="H25" s="682">
        <v>1.1100000000000001</v>
      </c>
      <c r="I25" s="828">
        <v>0.23</v>
      </c>
      <c r="J25" s="828">
        <v>0</v>
      </c>
      <c r="K25" s="828">
        <v>1.39</v>
      </c>
      <c r="L25" s="828">
        <v>0.4</v>
      </c>
      <c r="M25" s="828">
        <v>0</v>
      </c>
      <c r="N25" s="1112" t="s">
        <v>815</v>
      </c>
      <c r="O25" s="828">
        <v>0.45</v>
      </c>
      <c r="P25" s="682">
        <v>0.22</v>
      </c>
      <c r="Q25" s="682">
        <v>0.48</v>
      </c>
      <c r="R25" s="828">
        <v>0.54</v>
      </c>
      <c r="S25" s="828">
        <v>0.31</v>
      </c>
      <c r="T25" s="682">
        <v>0.22</v>
      </c>
      <c r="U25" s="828">
        <v>0.62</v>
      </c>
      <c r="V25" s="682">
        <v>0.41</v>
      </c>
      <c r="W25" s="682">
        <v>0.27</v>
      </c>
      <c r="X25" s="828">
        <v>0.79</v>
      </c>
      <c r="Y25" s="682">
        <v>0.52</v>
      </c>
      <c r="Z25" s="828">
        <v>0.4</v>
      </c>
      <c r="AA25" s="1112" t="s">
        <v>815</v>
      </c>
      <c r="AB25" s="828">
        <v>0.93</v>
      </c>
      <c r="AC25" s="828">
        <v>0.33</v>
      </c>
      <c r="AD25" s="828">
        <v>0.59</v>
      </c>
      <c r="AE25" s="828">
        <v>1.05</v>
      </c>
      <c r="AF25" s="828">
        <v>0.59</v>
      </c>
      <c r="AG25" s="828">
        <v>0.39</v>
      </c>
      <c r="AH25" s="828">
        <v>0.79</v>
      </c>
      <c r="AI25" s="828">
        <v>0.63</v>
      </c>
      <c r="AJ25" s="828">
        <v>0.65</v>
      </c>
      <c r="AK25" s="828">
        <v>1.01</v>
      </c>
      <c r="AL25" s="828">
        <v>0.79</v>
      </c>
      <c r="AM25" s="828">
        <v>0.84</v>
      </c>
    </row>
    <row r="26" spans="1:39" s="388" customFormat="1" ht="11.1" customHeight="1">
      <c r="A26" s="1139" t="s">
        <v>824</v>
      </c>
      <c r="B26" s="652">
        <v>0.6</v>
      </c>
      <c r="C26" s="649">
        <v>0.01</v>
      </c>
      <c r="D26" s="652">
        <v>0</v>
      </c>
      <c r="E26" s="652">
        <v>0.72</v>
      </c>
      <c r="F26" s="649">
        <v>7.0000000000000007E-2</v>
      </c>
      <c r="G26" s="652">
        <v>0</v>
      </c>
      <c r="H26" s="649">
        <v>1.1399999999999999</v>
      </c>
      <c r="I26" s="652">
        <v>0.21</v>
      </c>
      <c r="J26" s="652">
        <v>0</v>
      </c>
      <c r="K26" s="652">
        <v>1.43</v>
      </c>
      <c r="L26" s="652">
        <v>0.38</v>
      </c>
      <c r="M26" s="652">
        <v>0</v>
      </c>
      <c r="N26" s="1139" t="s">
        <v>824</v>
      </c>
      <c r="O26" s="652">
        <v>0.46</v>
      </c>
      <c r="P26" s="649">
        <v>0.23</v>
      </c>
      <c r="Q26" s="649">
        <v>0.48</v>
      </c>
      <c r="R26" s="652">
        <v>0.54</v>
      </c>
      <c r="S26" s="652">
        <v>0.32</v>
      </c>
      <c r="T26" s="649">
        <v>0.18</v>
      </c>
      <c r="U26" s="652">
        <v>0.62</v>
      </c>
      <c r="V26" s="649">
        <v>0.41</v>
      </c>
      <c r="W26" s="649">
        <v>0.23</v>
      </c>
      <c r="X26" s="652">
        <v>0.78</v>
      </c>
      <c r="Y26" s="649">
        <v>0.53</v>
      </c>
      <c r="Z26" s="652">
        <v>0.33</v>
      </c>
      <c r="AA26" s="1139" t="s">
        <v>824</v>
      </c>
      <c r="AB26" s="652">
        <v>1.04</v>
      </c>
      <c r="AC26" s="652">
        <v>0.33</v>
      </c>
      <c r="AD26" s="652">
        <v>0.59</v>
      </c>
      <c r="AE26" s="652">
        <v>0.89</v>
      </c>
      <c r="AF26" s="652">
        <v>0.56999999999999995</v>
      </c>
      <c r="AG26" s="652">
        <v>0.39</v>
      </c>
      <c r="AH26" s="652">
        <v>0.69</v>
      </c>
      <c r="AI26" s="652">
        <v>0.62</v>
      </c>
      <c r="AJ26" s="652">
        <v>0.53</v>
      </c>
      <c r="AK26" s="652">
        <v>0.94</v>
      </c>
      <c r="AL26" s="652">
        <v>0.77</v>
      </c>
      <c r="AM26" s="652">
        <v>0.73</v>
      </c>
    </row>
    <row r="27" spans="1:39" s="388" customFormat="1" ht="11.1" customHeight="1">
      <c r="A27" s="1143" t="s">
        <v>825</v>
      </c>
      <c r="B27" s="828">
        <v>0.61</v>
      </c>
      <c r="C27" s="682">
        <v>0.01</v>
      </c>
      <c r="D27" s="828">
        <v>0</v>
      </c>
      <c r="E27" s="828">
        <v>0.73</v>
      </c>
      <c r="F27" s="682">
        <v>0.06</v>
      </c>
      <c r="G27" s="828">
        <v>0</v>
      </c>
      <c r="H27" s="682">
        <v>1.1499999999999999</v>
      </c>
      <c r="I27" s="828">
        <v>0.18</v>
      </c>
      <c r="J27" s="828">
        <v>0</v>
      </c>
      <c r="K27" s="828">
        <v>1.4</v>
      </c>
      <c r="L27" s="828">
        <v>0.34</v>
      </c>
      <c r="M27" s="828">
        <v>0</v>
      </c>
      <c r="N27" s="1143" t="s">
        <v>825</v>
      </c>
      <c r="O27" s="828">
        <v>0.52</v>
      </c>
      <c r="P27" s="682">
        <v>0.32</v>
      </c>
      <c r="Q27" s="682">
        <v>0.17</v>
      </c>
      <c r="R27" s="828">
        <v>0.56999999999999995</v>
      </c>
      <c r="S27" s="828">
        <v>0.27</v>
      </c>
      <c r="T27" s="682">
        <v>0.18</v>
      </c>
      <c r="U27" s="828">
        <v>0.71</v>
      </c>
      <c r="V27" s="682">
        <v>0.36</v>
      </c>
      <c r="W27" s="682">
        <v>0.24</v>
      </c>
      <c r="X27" s="828">
        <v>0.9</v>
      </c>
      <c r="Y27" s="682">
        <v>0.49</v>
      </c>
      <c r="Z27" s="828">
        <v>0.31</v>
      </c>
      <c r="AA27" s="1143" t="s">
        <v>825</v>
      </c>
      <c r="AB27" s="828">
        <v>1.05</v>
      </c>
      <c r="AC27" s="828">
        <v>0.44</v>
      </c>
      <c r="AD27" s="828">
        <v>0.59</v>
      </c>
      <c r="AE27" s="828">
        <v>0.89</v>
      </c>
      <c r="AF27" s="828">
        <v>0.57999999999999996</v>
      </c>
      <c r="AG27" s="828">
        <v>0.39</v>
      </c>
      <c r="AH27" s="828">
        <v>0.7</v>
      </c>
      <c r="AI27" s="828">
        <v>0.65</v>
      </c>
      <c r="AJ27" s="828">
        <v>0.53</v>
      </c>
      <c r="AK27" s="828">
        <v>0.94</v>
      </c>
      <c r="AL27" s="828">
        <v>0.77</v>
      </c>
      <c r="AM27" s="828">
        <v>0.73</v>
      </c>
    </row>
    <row r="28" spans="1:39" s="388" customFormat="1" ht="11.1" customHeight="1">
      <c r="A28" s="1158" t="s">
        <v>816</v>
      </c>
      <c r="B28" s="652">
        <v>0.67</v>
      </c>
      <c r="C28" s="652">
        <v>0</v>
      </c>
      <c r="D28" s="652">
        <v>0</v>
      </c>
      <c r="E28" s="652">
        <v>0.76</v>
      </c>
      <c r="F28" s="649">
        <v>0.04</v>
      </c>
      <c r="G28" s="652">
        <v>0</v>
      </c>
      <c r="H28" s="649">
        <v>1.1399999999999999</v>
      </c>
      <c r="I28" s="652">
        <v>0.16</v>
      </c>
      <c r="J28" s="652">
        <v>0</v>
      </c>
      <c r="K28" s="652">
        <v>1.37</v>
      </c>
      <c r="L28" s="652">
        <v>0.32</v>
      </c>
      <c r="M28" s="652">
        <v>0</v>
      </c>
      <c r="N28" s="1158" t="s">
        <v>816</v>
      </c>
      <c r="O28" s="652">
        <v>0.56999999999999995</v>
      </c>
      <c r="P28" s="649">
        <v>0.34</v>
      </c>
      <c r="Q28" s="649">
        <v>0.17</v>
      </c>
      <c r="R28" s="652">
        <v>0.64</v>
      </c>
      <c r="S28" s="652">
        <v>0.27</v>
      </c>
      <c r="T28" s="649">
        <v>0.18</v>
      </c>
      <c r="U28" s="652">
        <v>0.73</v>
      </c>
      <c r="V28" s="649">
        <v>0.36</v>
      </c>
      <c r="W28" s="649">
        <v>0.24</v>
      </c>
      <c r="X28" s="652">
        <v>0.9</v>
      </c>
      <c r="Y28" s="649">
        <v>0.49</v>
      </c>
      <c r="Z28" s="652">
        <v>0.31</v>
      </c>
      <c r="AA28" s="1158" t="s">
        <v>816</v>
      </c>
      <c r="AB28" s="652">
        <v>0.98</v>
      </c>
      <c r="AC28" s="652">
        <v>0.33</v>
      </c>
      <c r="AD28" s="652">
        <v>0.54</v>
      </c>
      <c r="AE28" s="652">
        <v>1.05</v>
      </c>
      <c r="AF28" s="652">
        <v>0.54</v>
      </c>
      <c r="AG28" s="652">
        <v>0.48</v>
      </c>
      <c r="AH28" s="652">
        <v>0.79</v>
      </c>
      <c r="AI28" s="652">
        <v>0.67</v>
      </c>
      <c r="AJ28" s="652">
        <v>0.65</v>
      </c>
      <c r="AK28" s="652">
        <v>1.02</v>
      </c>
      <c r="AL28" s="652">
        <v>0.79</v>
      </c>
      <c r="AM28" s="652">
        <v>0.84</v>
      </c>
    </row>
    <row r="29" spans="1:39" s="388" customFormat="1" ht="11.1" customHeight="1">
      <c r="A29" s="648" t="s">
        <v>2268</v>
      </c>
      <c r="B29" s="819">
        <f>AVERAGE(B30:B41)</f>
        <v>1.0958333333333334</v>
      </c>
      <c r="C29" s="819">
        <f t="shared" ref="C29:M29" si="3">AVERAGE(C30:C41)</f>
        <v>0.17250000000000001</v>
      </c>
      <c r="D29" s="819">
        <f t="shared" si="3"/>
        <v>0</v>
      </c>
      <c r="E29" s="819">
        <f t="shared" si="3"/>
        <v>1.2591666666666668</v>
      </c>
      <c r="F29" s="819">
        <f t="shared" si="3"/>
        <v>0.23833333333333337</v>
      </c>
      <c r="G29" s="819">
        <f t="shared" si="3"/>
        <v>0</v>
      </c>
      <c r="H29" s="819">
        <f t="shared" si="3"/>
        <v>1.7641666666666664</v>
      </c>
      <c r="I29" s="819">
        <f t="shared" si="3"/>
        <v>0.40750000000000003</v>
      </c>
      <c r="J29" s="819">
        <f t="shared" si="3"/>
        <v>0</v>
      </c>
      <c r="K29" s="819">
        <f t="shared" si="3"/>
        <v>1.9741666666666668</v>
      </c>
      <c r="L29" s="819">
        <f t="shared" si="3"/>
        <v>0.56000000000000005</v>
      </c>
      <c r="M29" s="819">
        <f t="shared" si="3"/>
        <v>0</v>
      </c>
      <c r="N29" s="648" t="s">
        <v>2268</v>
      </c>
      <c r="O29" s="819">
        <f t="shared" ref="O29:Z29" si="4">AVERAGE(O30:O41)</f>
        <v>0.77499999999999991</v>
      </c>
      <c r="P29" s="819">
        <f t="shared" si="4"/>
        <v>0.30499999999999999</v>
      </c>
      <c r="Q29" s="819">
        <f t="shared" si="4"/>
        <v>0.16999999999999996</v>
      </c>
      <c r="R29" s="819">
        <f t="shared" si="4"/>
        <v>1.6150000000000002</v>
      </c>
      <c r="S29" s="819">
        <f t="shared" si="4"/>
        <v>0.38666666666666671</v>
      </c>
      <c r="T29" s="819">
        <f t="shared" si="4"/>
        <v>0.17833333333333332</v>
      </c>
      <c r="U29" s="819">
        <f t="shared" si="4"/>
        <v>0.98749999999999993</v>
      </c>
      <c r="V29" s="819">
        <f t="shared" si="4"/>
        <v>0.5083333333333333</v>
      </c>
      <c r="W29" s="819">
        <f t="shared" si="4"/>
        <v>0.24583333333333335</v>
      </c>
      <c r="X29" s="819">
        <f t="shared" si="4"/>
        <v>1.0891666666666666</v>
      </c>
      <c r="Y29" s="819">
        <f t="shared" si="4"/>
        <v>0.57500000000000007</v>
      </c>
      <c r="Z29" s="819">
        <f t="shared" si="4"/>
        <v>0.31749999999999995</v>
      </c>
      <c r="AA29" s="648" t="s">
        <v>2268</v>
      </c>
      <c r="AB29" s="819">
        <f t="shared" ref="AB29:AM29" si="5">AVERAGE(AB30:AB41)</f>
        <v>0.87833333333333341</v>
      </c>
      <c r="AC29" s="819">
        <f t="shared" si="5"/>
        <v>0.53999999999999992</v>
      </c>
      <c r="AD29" s="819">
        <f t="shared" si="5"/>
        <v>0.52083333333333337</v>
      </c>
      <c r="AE29" s="819">
        <f t="shared" si="5"/>
        <v>0.79499999999999993</v>
      </c>
      <c r="AF29" s="819">
        <f t="shared" si="5"/>
        <v>0.58083333333333342</v>
      </c>
      <c r="AG29" s="819">
        <f t="shared" si="5"/>
        <v>0.38999999999999996</v>
      </c>
      <c r="AH29" s="819">
        <f t="shared" si="5"/>
        <v>0.85083333333333322</v>
      </c>
      <c r="AI29" s="819">
        <f t="shared" si="5"/>
        <v>0.66500000000000004</v>
      </c>
      <c r="AJ29" s="819">
        <f t="shared" si="5"/>
        <v>0.57250000000000012</v>
      </c>
      <c r="AK29" s="819">
        <f t="shared" si="5"/>
        <v>1.1216666666666666</v>
      </c>
      <c r="AL29" s="819">
        <f t="shared" si="5"/>
        <v>0.76499999999999979</v>
      </c>
      <c r="AM29" s="819">
        <f t="shared" si="5"/>
        <v>0.72166666666666668</v>
      </c>
    </row>
    <row r="30" spans="1:39" s="388" customFormat="1" ht="11.1" customHeight="1">
      <c r="A30" s="1163" t="s">
        <v>818</v>
      </c>
      <c r="B30" s="652">
        <v>0.79</v>
      </c>
      <c r="C30" s="652">
        <v>0</v>
      </c>
      <c r="D30" s="652">
        <v>0</v>
      </c>
      <c r="E30" s="652">
        <v>0.84</v>
      </c>
      <c r="F30" s="649">
        <v>0.04</v>
      </c>
      <c r="G30" s="652">
        <v>0</v>
      </c>
      <c r="H30" s="649">
        <v>1.18</v>
      </c>
      <c r="I30" s="652">
        <v>0.17</v>
      </c>
      <c r="J30" s="652">
        <v>0</v>
      </c>
      <c r="K30" s="652">
        <v>1.4</v>
      </c>
      <c r="L30" s="652">
        <v>0.33</v>
      </c>
      <c r="M30" s="652">
        <v>0</v>
      </c>
      <c r="N30" s="1163" t="s">
        <v>818</v>
      </c>
      <c r="O30" s="652">
        <v>0.57999999999999996</v>
      </c>
      <c r="P30" s="649">
        <v>0.33</v>
      </c>
      <c r="Q30" s="649">
        <v>0.17</v>
      </c>
      <c r="R30" s="652">
        <v>1.1000000000000001</v>
      </c>
      <c r="S30" s="652">
        <v>0.27</v>
      </c>
      <c r="T30" s="649">
        <v>0.18</v>
      </c>
      <c r="U30" s="652">
        <v>0.74</v>
      </c>
      <c r="V30" s="649">
        <v>0.35</v>
      </c>
      <c r="W30" s="649">
        <v>0.24</v>
      </c>
      <c r="X30" s="652">
        <v>0.9</v>
      </c>
      <c r="Y30" s="649">
        <v>0.49</v>
      </c>
      <c r="Z30" s="652">
        <v>0.31</v>
      </c>
      <c r="AA30" s="1163" t="s">
        <v>818</v>
      </c>
      <c r="AB30" s="652">
        <v>1.05</v>
      </c>
      <c r="AC30" s="652">
        <v>0.53</v>
      </c>
      <c r="AD30" s="652">
        <v>0.59</v>
      </c>
      <c r="AE30" s="652">
        <v>1.01</v>
      </c>
      <c r="AF30" s="652">
        <v>0.54</v>
      </c>
      <c r="AG30" s="652">
        <v>0.45</v>
      </c>
      <c r="AH30" s="652">
        <v>0.8</v>
      </c>
      <c r="AI30" s="652">
        <v>0.67</v>
      </c>
      <c r="AJ30" s="652">
        <v>0.73</v>
      </c>
      <c r="AK30" s="652">
        <v>1.02</v>
      </c>
      <c r="AL30" s="652">
        <v>0.76</v>
      </c>
      <c r="AM30" s="652">
        <v>0.83</v>
      </c>
    </row>
    <row r="31" spans="1:39" s="388" customFormat="1" ht="11.1" customHeight="1">
      <c r="A31" s="1200" t="s">
        <v>819</v>
      </c>
      <c r="B31" s="828">
        <v>0.8</v>
      </c>
      <c r="C31" s="828">
        <v>0</v>
      </c>
      <c r="D31" s="828">
        <v>0</v>
      </c>
      <c r="E31" s="828">
        <v>0.84</v>
      </c>
      <c r="F31" s="682">
        <v>0.03</v>
      </c>
      <c r="G31" s="828">
        <v>0</v>
      </c>
      <c r="H31" s="682">
        <v>1.18</v>
      </c>
      <c r="I31" s="828">
        <v>0.14000000000000001</v>
      </c>
      <c r="J31" s="828">
        <v>0</v>
      </c>
      <c r="K31" s="828">
        <v>1.39</v>
      </c>
      <c r="L31" s="828">
        <v>0.28999999999999998</v>
      </c>
      <c r="M31" s="828">
        <v>0</v>
      </c>
      <c r="N31" s="1200" t="s">
        <v>819</v>
      </c>
      <c r="O31" s="828">
        <v>0.57999999999999996</v>
      </c>
      <c r="P31" s="682">
        <v>0.33</v>
      </c>
      <c r="Q31" s="682">
        <v>0.17</v>
      </c>
      <c r="R31" s="828">
        <v>1.1499999999999999</v>
      </c>
      <c r="S31" s="828">
        <v>0.26</v>
      </c>
      <c r="T31" s="682">
        <v>0.18</v>
      </c>
      <c r="U31" s="828">
        <v>0.74</v>
      </c>
      <c r="V31" s="682">
        <v>0.35</v>
      </c>
      <c r="W31" s="682">
        <v>0.24</v>
      </c>
      <c r="X31" s="828">
        <v>0.89</v>
      </c>
      <c r="Y31" s="682">
        <v>0.48</v>
      </c>
      <c r="Z31" s="828">
        <v>0.31</v>
      </c>
      <c r="AA31" s="1200" t="s">
        <v>819</v>
      </c>
      <c r="AB31" s="828">
        <v>1.1000000000000001</v>
      </c>
      <c r="AC31" s="828">
        <v>0.45</v>
      </c>
      <c r="AD31" s="828">
        <v>0.59</v>
      </c>
      <c r="AE31" s="828">
        <v>1.01</v>
      </c>
      <c r="AF31" s="828">
        <v>0.61</v>
      </c>
      <c r="AG31" s="828">
        <v>0.45</v>
      </c>
      <c r="AH31" s="828">
        <v>0.78</v>
      </c>
      <c r="AI31" s="828">
        <v>0.63</v>
      </c>
      <c r="AJ31" s="828">
        <v>0.73</v>
      </c>
      <c r="AK31" s="828">
        <v>1.02</v>
      </c>
      <c r="AL31" s="828">
        <v>0.76</v>
      </c>
      <c r="AM31" s="828">
        <v>0.83</v>
      </c>
    </row>
    <row r="32" spans="1:39" s="388" customFormat="1" ht="11.1" customHeight="1">
      <c r="A32" s="1265" t="s">
        <v>813</v>
      </c>
      <c r="B32" s="652">
        <v>0.8</v>
      </c>
      <c r="C32" s="652">
        <v>0</v>
      </c>
      <c r="D32" s="652">
        <v>0</v>
      </c>
      <c r="E32" s="652">
        <v>0.85</v>
      </c>
      <c r="F32" s="649">
        <v>0.04</v>
      </c>
      <c r="G32" s="652">
        <v>0</v>
      </c>
      <c r="H32" s="649">
        <v>1.18</v>
      </c>
      <c r="I32" s="652">
        <v>0.14000000000000001</v>
      </c>
      <c r="J32" s="652">
        <v>0</v>
      </c>
      <c r="K32" s="652">
        <v>1.38</v>
      </c>
      <c r="L32" s="652">
        <v>0.3</v>
      </c>
      <c r="M32" s="652">
        <v>0</v>
      </c>
      <c r="N32" s="1265" t="s">
        <v>813</v>
      </c>
      <c r="O32" s="652">
        <v>0.6</v>
      </c>
      <c r="P32" s="649">
        <v>0.33</v>
      </c>
      <c r="Q32" s="649">
        <v>0.17</v>
      </c>
      <c r="R32" s="652">
        <v>1.17</v>
      </c>
      <c r="S32" s="652">
        <v>0.28000000000000003</v>
      </c>
      <c r="T32" s="649">
        <v>0.18</v>
      </c>
      <c r="U32" s="652">
        <v>0.77</v>
      </c>
      <c r="V32" s="649">
        <v>0.37</v>
      </c>
      <c r="W32" s="649">
        <v>0.24</v>
      </c>
      <c r="X32" s="652">
        <v>0.92</v>
      </c>
      <c r="Y32" s="649">
        <v>0.52</v>
      </c>
      <c r="Z32" s="652">
        <v>0.31</v>
      </c>
      <c r="AA32" s="1265" t="s">
        <v>813</v>
      </c>
      <c r="AB32" s="652">
        <v>1.01</v>
      </c>
      <c r="AC32" s="652">
        <v>0.52</v>
      </c>
      <c r="AD32" s="652">
        <v>0.42</v>
      </c>
      <c r="AE32" s="652">
        <v>1.06</v>
      </c>
      <c r="AF32" s="652">
        <v>0.59</v>
      </c>
      <c r="AG32" s="652">
        <v>0.35</v>
      </c>
      <c r="AH32" s="652">
        <v>0.77</v>
      </c>
      <c r="AI32" s="652">
        <v>0.64</v>
      </c>
      <c r="AJ32" s="652">
        <v>0.64</v>
      </c>
      <c r="AK32" s="652">
        <v>1.02</v>
      </c>
      <c r="AL32" s="652">
        <v>0.76</v>
      </c>
      <c r="AM32" s="652">
        <v>0.7</v>
      </c>
    </row>
    <row r="33" spans="1:39" s="388" customFormat="1" ht="11.1" customHeight="1">
      <c r="A33" s="1319" t="s">
        <v>820</v>
      </c>
      <c r="B33" s="828">
        <v>0.9</v>
      </c>
      <c r="C33" s="828">
        <v>0.09</v>
      </c>
      <c r="D33" s="828">
        <v>0</v>
      </c>
      <c r="E33" s="828">
        <v>0.98</v>
      </c>
      <c r="F33" s="682">
        <v>0.14000000000000001</v>
      </c>
      <c r="G33" s="828">
        <v>0</v>
      </c>
      <c r="H33" s="682">
        <v>1.46</v>
      </c>
      <c r="I33" s="828">
        <v>0.34</v>
      </c>
      <c r="J33" s="828">
        <v>0</v>
      </c>
      <c r="K33" s="828">
        <v>1.67</v>
      </c>
      <c r="L33" s="828">
        <v>0.51</v>
      </c>
      <c r="M33" s="828">
        <v>0</v>
      </c>
      <c r="N33" s="1319" t="s">
        <v>820</v>
      </c>
      <c r="O33" s="828">
        <v>0.55000000000000004</v>
      </c>
      <c r="P33" s="682">
        <v>0.32</v>
      </c>
      <c r="Q33" s="682">
        <v>0.17</v>
      </c>
      <c r="R33" s="828">
        <v>1.1599999999999999</v>
      </c>
      <c r="S33" s="828">
        <v>0.28999999999999998</v>
      </c>
      <c r="T33" s="682">
        <v>0.18</v>
      </c>
      <c r="U33" s="828">
        <v>0.75</v>
      </c>
      <c r="V33" s="682">
        <v>0.37</v>
      </c>
      <c r="W33" s="682">
        <v>0.25</v>
      </c>
      <c r="X33" s="828">
        <v>0.88</v>
      </c>
      <c r="Y33" s="682">
        <v>0.51</v>
      </c>
      <c r="Z33" s="828">
        <v>0.32</v>
      </c>
      <c r="AA33" s="1319" t="s">
        <v>820</v>
      </c>
      <c r="AB33" s="828">
        <v>1.1000000000000001</v>
      </c>
      <c r="AC33" s="828">
        <v>0.56999999999999995</v>
      </c>
      <c r="AD33" s="828">
        <v>0.46</v>
      </c>
      <c r="AE33" s="828">
        <v>1.01</v>
      </c>
      <c r="AF33" s="828">
        <v>0.55000000000000004</v>
      </c>
      <c r="AG33" s="828">
        <v>0.45</v>
      </c>
      <c r="AH33" s="828">
        <v>0.76</v>
      </c>
      <c r="AI33" s="828">
        <v>0.65</v>
      </c>
      <c r="AJ33" s="828">
        <v>0.53</v>
      </c>
      <c r="AK33" s="828">
        <v>1.02</v>
      </c>
      <c r="AL33" s="828">
        <v>0.76</v>
      </c>
      <c r="AM33" s="828">
        <v>0.7</v>
      </c>
    </row>
    <row r="34" spans="1:39" s="388" customFormat="1" ht="11.1" customHeight="1">
      <c r="A34" s="1347" t="s">
        <v>821</v>
      </c>
      <c r="B34" s="652">
        <v>0.91</v>
      </c>
      <c r="C34" s="652">
        <v>0.19</v>
      </c>
      <c r="D34" s="652">
        <v>0</v>
      </c>
      <c r="E34" s="652">
        <v>1.03</v>
      </c>
      <c r="F34" s="649">
        <v>0.23</v>
      </c>
      <c r="G34" s="652">
        <v>0</v>
      </c>
      <c r="H34" s="649">
        <v>1.53</v>
      </c>
      <c r="I34" s="652">
        <v>0.41</v>
      </c>
      <c r="J34" s="652">
        <v>0</v>
      </c>
      <c r="K34" s="652">
        <v>1.74</v>
      </c>
      <c r="L34" s="652">
        <v>0.56000000000000005</v>
      </c>
      <c r="M34" s="652">
        <v>0</v>
      </c>
      <c r="N34" s="1347" t="s">
        <v>821</v>
      </c>
      <c r="O34" s="652">
        <v>0.57999999999999996</v>
      </c>
      <c r="P34" s="649">
        <v>0.37</v>
      </c>
      <c r="Q34" s="649">
        <v>0.17</v>
      </c>
      <c r="R34" s="652">
        <v>1.24</v>
      </c>
      <c r="S34" s="652">
        <v>0.57999999999999996</v>
      </c>
      <c r="T34" s="649">
        <v>0.18</v>
      </c>
      <c r="U34" s="652">
        <v>0.77</v>
      </c>
      <c r="V34" s="649">
        <v>0.69</v>
      </c>
      <c r="W34" s="649">
        <v>0.25</v>
      </c>
      <c r="X34" s="652">
        <v>0.91</v>
      </c>
      <c r="Y34" s="649">
        <v>0.51</v>
      </c>
      <c r="Z34" s="652">
        <v>0.32</v>
      </c>
      <c r="AA34" s="1347" t="s">
        <v>821</v>
      </c>
      <c r="AB34" s="652">
        <v>0.67</v>
      </c>
      <c r="AC34" s="652">
        <v>0.5</v>
      </c>
      <c r="AD34" s="652">
        <v>0.46</v>
      </c>
      <c r="AE34" s="652">
        <v>0.59</v>
      </c>
      <c r="AF34" s="652">
        <v>0.62</v>
      </c>
      <c r="AG34" s="652">
        <v>0.45</v>
      </c>
      <c r="AH34" s="652">
        <v>0.82</v>
      </c>
      <c r="AI34" s="652">
        <v>0.65</v>
      </c>
      <c r="AJ34" s="652">
        <v>0.53</v>
      </c>
      <c r="AK34" s="652">
        <v>1.04</v>
      </c>
      <c r="AL34" s="652">
        <v>0.77</v>
      </c>
      <c r="AM34" s="652">
        <v>0.7</v>
      </c>
    </row>
    <row r="35" spans="1:39" s="388" customFormat="1" ht="11.1" customHeight="1">
      <c r="A35" s="1352" t="s">
        <v>814</v>
      </c>
      <c r="B35" s="828">
        <v>1</v>
      </c>
      <c r="C35" s="828">
        <v>0.23</v>
      </c>
      <c r="D35" s="828">
        <v>0</v>
      </c>
      <c r="E35" s="828">
        <v>1.1100000000000001</v>
      </c>
      <c r="F35" s="682">
        <v>0.26</v>
      </c>
      <c r="G35" s="828">
        <v>0</v>
      </c>
      <c r="H35" s="682">
        <v>1.61</v>
      </c>
      <c r="I35" s="828">
        <v>0.41</v>
      </c>
      <c r="J35" s="828">
        <v>0</v>
      </c>
      <c r="K35" s="828">
        <v>1.83</v>
      </c>
      <c r="L35" s="828">
        <v>0.56000000000000005</v>
      </c>
      <c r="M35" s="828">
        <v>0</v>
      </c>
      <c r="N35" s="1352" t="s">
        <v>814</v>
      </c>
      <c r="O35" s="828">
        <v>0.61</v>
      </c>
      <c r="P35" s="682">
        <v>0.37</v>
      </c>
      <c r="Q35" s="682">
        <v>0.17</v>
      </c>
      <c r="R35" s="828">
        <v>1.44</v>
      </c>
      <c r="S35" s="828">
        <v>0.6</v>
      </c>
      <c r="T35" s="682">
        <v>0.18</v>
      </c>
      <c r="U35" s="828">
        <v>0.86</v>
      </c>
      <c r="V35" s="682">
        <v>0.69</v>
      </c>
      <c r="W35" s="682">
        <v>0.25</v>
      </c>
      <c r="X35" s="828">
        <v>0.95</v>
      </c>
      <c r="Y35" s="682">
        <v>0.51</v>
      </c>
      <c r="Z35" s="828">
        <v>0.32</v>
      </c>
      <c r="AA35" s="1352" t="s">
        <v>814</v>
      </c>
      <c r="AB35" s="828">
        <v>0.61</v>
      </c>
      <c r="AC35" s="828">
        <v>0.57999999999999996</v>
      </c>
      <c r="AD35" s="828">
        <v>0.45</v>
      </c>
      <c r="AE35" s="828">
        <v>0.61</v>
      </c>
      <c r="AF35" s="828">
        <v>0.57999999999999996</v>
      </c>
      <c r="AG35" s="828">
        <v>0.35</v>
      </c>
      <c r="AH35" s="828">
        <v>0.83</v>
      </c>
      <c r="AI35" s="828">
        <v>0.61</v>
      </c>
      <c r="AJ35" s="828">
        <v>0.53</v>
      </c>
      <c r="AK35" s="828">
        <v>1.04</v>
      </c>
      <c r="AL35" s="828">
        <v>0.77</v>
      </c>
      <c r="AM35" s="828">
        <v>0.7</v>
      </c>
    </row>
    <row r="36" spans="1:39" s="388" customFormat="1" ht="11.1" customHeight="1">
      <c r="A36" s="1359" t="s">
        <v>822</v>
      </c>
      <c r="B36" s="652">
        <v>1.1599999999999999</v>
      </c>
      <c r="C36" s="652">
        <v>0.26</v>
      </c>
      <c r="D36" s="652">
        <v>0</v>
      </c>
      <c r="E36" s="652">
        <v>1.28</v>
      </c>
      <c r="F36" s="649">
        <v>0.28000000000000003</v>
      </c>
      <c r="G36" s="652">
        <v>0</v>
      </c>
      <c r="H36" s="652">
        <v>1.8</v>
      </c>
      <c r="I36" s="652">
        <v>0.42</v>
      </c>
      <c r="J36" s="652">
        <v>0</v>
      </c>
      <c r="K36" s="652">
        <v>2.0099999999999998</v>
      </c>
      <c r="L36" s="652">
        <v>0.56000000000000005</v>
      </c>
      <c r="M36" s="652">
        <v>0</v>
      </c>
      <c r="N36" s="1359" t="s">
        <v>822</v>
      </c>
      <c r="O36" s="652">
        <v>0.62</v>
      </c>
      <c r="P36" s="649">
        <v>0.37</v>
      </c>
      <c r="Q36" s="649">
        <v>0.17</v>
      </c>
      <c r="R36" s="652">
        <v>1.55</v>
      </c>
      <c r="S36" s="652">
        <v>0.35</v>
      </c>
      <c r="T36" s="649">
        <v>0.18</v>
      </c>
      <c r="U36" s="652">
        <v>0.95</v>
      </c>
      <c r="V36" s="649">
        <v>0.65</v>
      </c>
      <c r="W36" s="649">
        <v>0.25</v>
      </c>
      <c r="X36" s="652">
        <v>1.02</v>
      </c>
      <c r="Y36" s="649">
        <v>0.51</v>
      </c>
      <c r="Z36" s="652">
        <v>0.32</v>
      </c>
      <c r="AA36" s="1359" t="s">
        <v>822</v>
      </c>
      <c r="AB36" s="652">
        <v>0.75</v>
      </c>
      <c r="AC36" s="652">
        <v>0.57999999999999996</v>
      </c>
      <c r="AD36" s="652">
        <v>0.56999999999999995</v>
      </c>
      <c r="AE36" s="652">
        <v>0.64</v>
      </c>
      <c r="AF36" s="652">
        <v>0.59</v>
      </c>
      <c r="AG36" s="652">
        <v>0.37</v>
      </c>
      <c r="AH36" s="652">
        <v>0.83</v>
      </c>
      <c r="AI36" s="652">
        <v>0.61</v>
      </c>
      <c r="AJ36" s="652">
        <v>0.53</v>
      </c>
      <c r="AK36" s="652">
        <v>1.04</v>
      </c>
      <c r="AL36" s="652">
        <v>0.77</v>
      </c>
      <c r="AM36" s="652">
        <v>0.7</v>
      </c>
    </row>
    <row r="37" spans="1:39" s="388" customFormat="1" ht="11.1" customHeight="1">
      <c r="A37" s="1381" t="s">
        <v>823</v>
      </c>
      <c r="B37" s="828">
        <v>1.18</v>
      </c>
      <c r="C37" s="828">
        <v>0.26</v>
      </c>
      <c r="D37" s="828">
        <v>0</v>
      </c>
      <c r="E37" s="828">
        <v>1.35</v>
      </c>
      <c r="F37" s="682">
        <v>0.28999999999999998</v>
      </c>
      <c r="G37" s="828">
        <v>0</v>
      </c>
      <c r="H37" s="828">
        <v>1.95</v>
      </c>
      <c r="I37" s="828">
        <v>0.45</v>
      </c>
      <c r="J37" s="828">
        <v>0</v>
      </c>
      <c r="K37" s="828">
        <v>2.17</v>
      </c>
      <c r="L37" s="828">
        <v>0.61</v>
      </c>
      <c r="M37" s="828">
        <v>0</v>
      </c>
      <c r="N37" s="1381" t="s">
        <v>823</v>
      </c>
      <c r="O37" s="828">
        <v>0.93</v>
      </c>
      <c r="P37" s="682">
        <v>0.24</v>
      </c>
      <c r="Q37" s="682">
        <v>0.17</v>
      </c>
      <c r="R37" s="828">
        <v>1.84</v>
      </c>
      <c r="S37" s="828">
        <v>0.39</v>
      </c>
      <c r="T37" s="682">
        <v>0.18</v>
      </c>
      <c r="U37" s="828">
        <v>1.1499999999999999</v>
      </c>
      <c r="V37" s="682">
        <v>0.71</v>
      </c>
      <c r="W37" s="682">
        <v>0.25</v>
      </c>
      <c r="X37" s="828">
        <v>1.3</v>
      </c>
      <c r="Y37" s="682">
        <v>0.57999999999999996</v>
      </c>
      <c r="Z37" s="828">
        <v>0.32</v>
      </c>
      <c r="AA37" s="1381" t="s">
        <v>823</v>
      </c>
      <c r="AB37" s="828">
        <v>0.77</v>
      </c>
      <c r="AC37" s="828">
        <v>0.54</v>
      </c>
      <c r="AD37" s="828">
        <v>0.56999999999999995</v>
      </c>
      <c r="AE37" s="828">
        <v>0.7</v>
      </c>
      <c r="AF37" s="828">
        <v>0.56000000000000005</v>
      </c>
      <c r="AG37" s="828">
        <v>0.37</v>
      </c>
      <c r="AH37" s="828">
        <v>0.89</v>
      </c>
      <c r="AI37" s="828">
        <v>0.66</v>
      </c>
      <c r="AJ37" s="828">
        <v>0.53</v>
      </c>
      <c r="AK37" s="828">
        <v>1.2</v>
      </c>
      <c r="AL37" s="828">
        <v>0.77</v>
      </c>
      <c r="AM37" s="828">
        <v>0.7</v>
      </c>
    </row>
    <row r="38" spans="1:39" s="388" customFormat="1" ht="11.1" customHeight="1">
      <c r="A38" s="1392" t="s">
        <v>815</v>
      </c>
      <c r="B38" s="652">
        <v>1.31</v>
      </c>
      <c r="C38" s="652">
        <v>0.26</v>
      </c>
      <c r="D38" s="652">
        <v>0</v>
      </c>
      <c r="E38" s="652">
        <v>1.61</v>
      </c>
      <c r="F38" s="649">
        <v>0.35</v>
      </c>
      <c r="G38" s="652">
        <v>0</v>
      </c>
      <c r="H38" s="652">
        <v>2.2400000000000002</v>
      </c>
      <c r="I38" s="652">
        <v>0.54</v>
      </c>
      <c r="J38" s="652">
        <v>0</v>
      </c>
      <c r="K38" s="652">
        <v>2.44</v>
      </c>
      <c r="L38" s="652">
        <v>0.7</v>
      </c>
      <c r="M38" s="652">
        <v>0</v>
      </c>
      <c r="N38" s="1392" t="s">
        <v>815</v>
      </c>
      <c r="O38" s="652">
        <v>1.01</v>
      </c>
      <c r="P38" s="649">
        <v>0.25</v>
      </c>
      <c r="Q38" s="649">
        <v>0.17</v>
      </c>
      <c r="R38" s="652">
        <v>2.14</v>
      </c>
      <c r="S38" s="652">
        <v>0.4</v>
      </c>
      <c r="T38" s="649">
        <v>0.18</v>
      </c>
      <c r="U38" s="652">
        <v>1.25</v>
      </c>
      <c r="V38" s="649">
        <v>0.49</v>
      </c>
      <c r="W38" s="649">
        <v>0.25</v>
      </c>
      <c r="X38" s="652">
        <v>1.25</v>
      </c>
      <c r="Y38" s="649">
        <v>0.54</v>
      </c>
      <c r="Z38" s="652">
        <v>0.32</v>
      </c>
      <c r="AA38" s="1392" t="s">
        <v>815</v>
      </c>
      <c r="AB38" s="652">
        <v>0.74</v>
      </c>
      <c r="AC38" s="652">
        <v>0.55000000000000004</v>
      </c>
      <c r="AD38" s="652">
        <v>0.5</v>
      </c>
      <c r="AE38" s="652">
        <v>0.75</v>
      </c>
      <c r="AF38" s="652">
        <v>0.51</v>
      </c>
      <c r="AG38" s="652">
        <v>0.35</v>
      </c>
      <c r="AH38" s="652">
        <v>0.9</v>
      </c>
      <c r="AI38" s="652">
        <v>0.66</v>
      </c>
      <c r="AJ38" s="652">
        <v>0.53</v>
      </c>
      <c r="AK38" s="652">
        <v>1.26</v>
      </c>
      <c r="AL38" s="652">
        <v>0.77</v>
      </c>
      <c r="AM38" s="652">
        <v>0.7</v>
      </c>
    </row>
    <row r="39" spans="1:39" s="388" customFormat="1" ht="11.1" customHeight="1">
      <c r="A39" s="1399" t="s">
        <v>824</v>
      </c>
      <c r="B39" s="828">
        <v>1.43</v>
      </c>
      <c r="C39" s="828">
        <v>0.27</v>
      </c>
      <c r="D39" s="828">
        <v>0</v>
      </c>
      <c r="E39" s="828">
        <v>1.78</v>
      </c>
      <c r="F39" s="682">
        <v>0.46</v>
      </c>
      <c r="G39" s="828">
        <v>0</v>
      </c>
      <c r="H39" s="828">
        <v>2.42</v>
      </c>
      <c r="I39" s="828">
        <v>0.7</v>
      </c>
      <c r="J39" s="828">
        <v>0</v>
      </c>
      <c r="K39" s="828">
        <v>2.59</v>
      </c>
      <c r="L39" s="828">
        <v>0.82</v>
      </c>
      <c r="M39" s="828">
        <v>0</v>
      </c>
      <c r="N39" s="1399" t="s">
        <v>824</v>
      </c>
      <c r="O39" s="828">
        <v>1.02</v>
      </c>
      <c r="P39" s="682">
        <v>0.25</v>
      </c>
      <c r="Q39" s="682">
        <v>0.17</v>
      </c>
      <c r="R39" s="828">
        <v>2.19</v>
      </c>
      <c r="S39" s="828">
        <v>0.42</v>
      </c>
      <c r="T39" s="682">
        <v>0.17</v>
      </c>
      <c r="U39" s="828">
        <v>1.28</v>
      </c>
      <c r="V39" s="682">
        <v>0.49</v>
      </c>
      <c r="W39" s="682">
        <v>0.24</v>
      </c>
      <c r="X39" s="828">
        <v>1.29</v>
      </c>
      <c r="Y39" s="682">
        <v>1.1100000000000001</v>
      </c>
      <c r="Z39" s="828">
        <v>0.32</v>
      </c>
      <c r="AA39" s="1399" t="s">
        <v>824</v>
      </c>
      <c r="AB39" s="828">
        <v>0.88</v>
      </c>
      <c r="AC39" s="828">
        <v>0.59</v>
      </c>
      <c r="AD39" s="828">
        <v>0.56999999999999995</v>
      </c>
      <c r="AE39" s="828">
        <v>0.7</v>
      </c>
      <c r="AF39" s="828">
        <v>0.53</v>
      </c>
      <c r="AG39" s="828">
        <v>0.37</v>
      </c>
      <c r="AH39" s="828">
        <v>0.94</v>
      </c>
      <c r="AI39" s="828">
        <v>0.72</v>
      </c>
      <c r="AJ39" s="828">
        <v>0.53</v>
      </c>
      <c r="AK39" s="828">
        <v>1.26</v>
      </c>
      <c r="AL39" s="828">
        <v>0.77</v>
      </c>
      <c r="AM39" s="828">
        <v>0.7</v>
      </c>
    </row>
    <row r="40" spans="1:39" s="388" customFormat="1" ht="11.1" customHeight="1">
      <c r="A40" s="1402" t="s">
        <v>825</v>
      </c>
      <c r="B40" s="652">
        <v>1.39</v>
      </c>
      <c r="C40" s="652">
        <v>0.26</v>
      </c>
      <c r="D40" s="652">
        <v>0</v>
      </c>
      <c r="E40" s="652">
        <v>1.72</v>
      </c>
      <c r="F40" s="649">
        <v>0.39</v>
      </c>
      <c r="G40" s="652">
        <v>0</v>
      </c>
      <c r="H40" s="652">
        <v>2.31</v>
      </c>
      <c r="I40" s="652">
        <v>0.61</v>
      </c>
      <c r="J40" s="652">
        <v>0</v>
      </c>
      <c r="K40" s="652">
        <v>2.5099999999999998</v>
      </c>
      <c r="L40" s="652">
        <v>0.74</v>
      </c>
      <c r="M40" s="652">
        <v>0</v>
      </c>
      <c r="N40" s="1402" t="s">
        <v>825</v>
      </c>
      <c r="O40" s="652">
        <v>1.08</v>
      </c>
      <c r="P40" s="649">
        <v>0.25</v>
      </c>
      <c r="Q40" s="649">
        <v>0.17</v>
      </c>
      <c r="R40" s="652">
        <v>2.19</v>
      </c>
      <c r="S40" s="652">
        <v>0.4</v>
      </c>
      <c r="T40" s="649">
        <v>0.17</v>
      </c>
      <c r="U40" s="652">
        <v>1.23</v>
      </c>
      <c r="V40" s="649">
        <v>0.46</v>
      </c>
      <c r="W40" s="649">
        <v>0.24</v>
      </c>
      <c r="X40" s="652">
        <v>1.32</v>
      </c>
      <c r="Y40" s="649">
        <v>0.56000000000000005</v>
      </c>
      <c r="Z40" s="652">
        <v>0.32</v>
      </c>
      <c r="AA40" s="1402" t="s">
        <v>825</v>
      </c>
      <c r="AB40" s="652">
        <v>0.85</v>
      </c>
      <c r="AC40" s="652">
        <v>0.49</v>
      </c>
      <c r="AD40" s="652">
        <v>0.56999999999999995</v>
      </c>
      <c r="AE40" s="652">
        <v>0.7</v>
      </c>
      <c r="AF40" s="652">
        <v>0.66</v>
      </c>
      <c r="AG40" s="652">
        <v>0.37</v>
      </c>
      <c r="AH40" s="652">
        <v>0.94</v>
      </c>
      <c r="AI40" s="652">
        <v>0.73</v>
      </c>
      <c r="AJ40" s="652">
        <v>0.53</v>
      </c>
      <c r="AK40" s="652">
        <v>1.27</v>
      </c>
      <c r="AL40" s="652">
        <v>0.76</v>
      </c>
      <c r="AM40" s="652">
        <v>0.7</v>
      </c>
    </row>
    <row r="41" spans="1:39" s="388" customFormat="1" ht="11.1" customHeight="1">
      <c r="A41" s="1412" t="s">
        <v>816</v>
      </c>
      <c r="B41" s="828">
        <v>1.48</v>
      </c>
      <c r="C41" s="828">
        <v>0.25</v>
      </c>
      <c r="D41" s="828">
        <v>0</v>
      </c>
      <c r="E41" s="828">
        <v>1.72</v>
      </c>
      <c r="F41" s="682">
        <v>0.35</v>
      </c>
      <c r="G41" s="828">
        <v>0</v>
      </c>
      <c r="H41" s="828">
        <v>2.31</v>
      </c>
      <c r="I41" s="828">
        <v>0.56000000000000005</v>
      </c>
      <c r="J41" s="828">
        <v>0</v>
      </c>
      <c r="K41" s="828">
        <v>2.56</v>
      </c>
      <c r="L41" s="828">
        <v>0.74</v>
      </c>
      <c r="M41" s="828">
        <v>0</v>
      </c>
      <c r="N41" s="1412" t="s">
        <v>816</v>
      </c>
      <c r="O41" s="828">
        <v>1.1399999999999999</v>
      </c>
      <c r="P41" s="682">
        <v>0.25</v>
      </c>
      <c r="Q41" s="682">
        <v>0.17</v>
      </c>
      <c r="R41" s="828">
        <v>2.21</v>
      </c>
      <c r="S41" s="828">
        <v>0.4</v>
      </c>
      <c r="T41" s="682">
        <v>0.18</v>
      </c>
      <c r="U41" s="828">
        <v>1.36</v>
      </c>
      <c r="V41" s="682">
        <v>0.48</v>
      </c>
      <c r="W41" s="682">
        <v>0.25</v>
      </c>
      <c r="X41" s="828">
        <v>1.44</v>
      </c>
      <c r="Y41" s="682">
        <v>0.57999999999999996</v>
      </c>
      <c r="Z41" s="828">
        <v>0.32</v>
      </c>
      <c r="AA41" s="1412" t="s">
        <v>816</v>
      </c>
      <c r="AB41" s="828">
        <v>1.01</v>
      </c>
      <c r="AC41" s="828">
        <v>0.57999999999999996</v>
      </c>
      <c r="AD41" s="828">
        <v>0.5</v>
      </c>
      <c r="AE41" s="828">
        <v>0.76</v>
      </c>
      <c r="AF41" s="828">
        <v>0.63</v>
      </c>
      <c r="AG41" s="828">
        <v>0.35</v>
      </c>
      <c r="AH41" s="828">
        <v>0.95</v>
      </c>
      <c r="AI41" s="828">
        <v>0.75</v>
      </c>
      <c r="AJ41" s="828">
        <v>0.53</v>
      </c>
      <c r="AK41" s="828">
        <v>1.27</v>
      </c>
      <c r="AL41" s="828">
        <v>0.76</v>
      </c>
      <c r="AM41" s="828">
        <v>0.7</v>
      </c>
    </row>
    <row r="42" spans="1:39" s="388" customFormat="1" ht="11.1" customHeight="1">
      <c r="A42" s="1411" t="s">
        <v>2524</v>
      </c>
      <c r="B42" s="652"/>
      <c r="C42" s="652"/>
      <c r="D42" s="652"/>
      <c r="E42" s="652"/>
      <c r="F42" s="649"/>
      <c r="G42" s="652"/>
      <c r="H42" s="652"/>
      <c r="I42" s="652"/>
      <c r="J42" s="652"/>
      <c r="K42" s="652"/>
      <c r="L42" s="652"/>
      <c r="M42" s="652"/>
      <c r="N42" s="1425" t="s">
        <v>2524</v>
      </c>
      <c r="O42" s="652"/>
      <c r="P42" s="649"/>
      <c r="Q42" s="649"/>
      <c r="R42" s="652"/>
      <c r="S42" s="652"/>
      <c r="T42" s="649"/>
      <c r="U42" s="652"/>
      <c r="V42" s="649"/>
      <c r="W42" s="649"/>
      <c r="X42" s="652"/>
      <c r="Y42" s="649"/>
      <c r="Z42" s="652"/>
      <c r="AA42" s="1411" t="s">
        <v>2524</v>
      </c>
      <c r="AB42" s="652"/>
      <c r="AC42" s="652"/>
      <c r="AD42" s="652"/>
      <c r="AE42" s="652"/>
      <c r="AF42" s="652"/>
      <c r="AG42" s="652"/>
      <c r="AH42" s="652"/>
      <c r="AI42" s="652"/>
      <c r="AJ42" s="652"/>
      <c r="AK42" s="652"/>
      <c r="AL42" s="652"/>
      <c r="AM42" s="652"/>
    </row>
    <row r="43" spans="1:39" s="388" customFormat="1" ht="11.1" customHeight="1">
      <c r="A43" s="1432" t="s">
        <v>818</v>
      </c>
      <c r="B43" s="828">
        <v>1.51</v>
      </c>
      <c r="C43" s="828">
        <v>0.27</v>
      </c>
      <c r="D43" s="828">
        <v>0</v>
      </c>
      <c r="E43" s="828">
        <v>1.72</v>
      </c>
      <c r="F43" s="682">
        <v>0.41</v>
      </c>
      <c r="G43" s="828">
        <v>0</v>
      </c>
      <c r="H43" s="828">
        <v>2.3199999999999998</v>
      </c>
      <c r="I43" s="828">
        <v>0.62</v>
      </c>
      <c r="J43" s="828">
        <v>0</v>
      </c>
      <c r="K43" s="828">
        <v>2.59</v>
      </c>
      <c r="L43" s="828">
        <v>0.79</v>
      </c>
      <c r="M43" s="828">
        <v>0</v>
      </c>
      <c r="N43" s="1432" t="s">
        <v>818</v>
      </c>
      <c r="O43" s="828">
        <v>1.17</v>
      </c>
      <c r="P43" s="682">
        <v>0.33</v>
      </c>
      <c r="Q43" s="682">
        <v>0.17</v>
      </c>
      <c r="R43" s="828">
        <v>2.23</v>
      </c>
      <c r="S43" s="828">
        <v>0.47</v>
      </c>
      <c r="T43" s="682">
        <v>0.17</v>
      </c>
      <c r="U43" s="828">
        <v>1.39</v>
      </c>
      <c r="V43" s="682">
        <v>0.55000000000000004</v>
      </c>
      <c r="W43" s="682">
        <v>0.24</v>
      </c>
      <c r="X43" s="828">
        <v>1.52</v>
      </c>
      <c r="Y43" s="682">
        <v>0.66</v>
      </c>
      <c r="Z43" s="828">
        <v>0.32</v>
      </c>
      <c r="AA43" s="1432" t="s">
        <v>818</v>
      </c>
      <c r="AB43" s="828">
        <v>1.02</v>
      </c>
      <c r="AC43" s="828">
        <v>0.61</v>
      </c>
      <c r="AD43" s="828">
        <v>0.56999999999999995</v>
      </c>
      <c r="AE43" s="828">
        <v>0.74</v>
      </c>
      <c r="AF43" s="828">
        <v>0.6</v>
      </c>
      <c r="AG43" s="828">
        <v>0.37</v>
      </c>
      <c r="AH43" s="828">
        <v>0.95</v>
      </c>
      <c r="AI43" s="828">
        <v>0.75</v>
      </c>
      <c r="AJ43" s="828">
        <v>0.53</v>
      </c>
      <c r="AK43" s="828">
        <v>1.27</v>
      </c>
      <c r="AL43" s="828">
        <v>0.82</v>
      </c>
      <c r="AM43" s="828">
        <v>0.7</v>
      </c>
    </row>
    <row r="44" spans="1:39" s="388" customFormat="1" ht="11.1" customHeight="1">
      <c r="A44" s="1493" t="s">
        <v>819</v>
      </c>
      <c r="B44" s="652">
        <v>1.51</v>
      </c>
      <c r="C44" s="652">
        <v>0.39</v>
      </c>
      <c r="D44" s="652">
        <v>0</v>
      </c>
      <c r="E44" s="652">
        <v>1.72</v>
      </c>
      <c r="F44" s="649">
        <v>0.48</v>
      </c>
      <c r="G44" s="652">
        <v>0</v>
      </c>
      <c r="H44" s="652">
        <v>2.33</v>
      </c>
      <c r="I44" s="652">
        <v>0.7</v>
      </c>
      <c r="J44" s="652">
        <v>0</v>
      </c>
      <c r="K44" s="652">
        <v>2.62</v>
      </c>
      <c r="L44" s="652">
        <v>0.85</v>
      </c>
      <c r="M44" s="652">
        <v>0</v>
      </c>
      <c r="N44" s="1493" t="s">
        <v>819</v>
      </c>
      <c r="O44" s="652">
        <v>1.0900000000000001</v>
      </c>
      <c r="P44" s="649">
        <v>0.33</v>
      </c>
      <c r="Q44" s="649">
        <v>0.17</v>
      </c>
      <c r="R44" s="652">
        <v>2.15</v>
      </c>
      <c r="S44" s="652">
        <v>0.47</v>
      </c>
      <c r="T44" s="649">
        <v>0.17</v>
      </c>
      <c r="U44" s="652">
        <v>1.32</v>
      </c>
      <c r="V44" s="649">
        <v>0.54</v>
      </c>
      <c r="W44" s="649">
        <v>0.24</v>
      </c>
      <c r="X44" s="652">
        <v>1.42</v>
      </c>
      <c r="Y44" s="649">
        <v>0.63</v>
      </c>
      <c r="Z44" s="652">
        <v>0.31</v>
      </c>
      <c r="AA44" s="1493" t="s">
        <v>819</v>
      </c>
      <c r="AB44" s="652">
        <v>1.1599999999999999</v>
      </c>
      <c r="AC44" s="652">
        <v>0.54</v>
      </c>
      <c r="AD44" s="652">
        <v>0.56999999999999995</v>
      </c>
      <c r="AE44" s="652">
        <v>0.74</v>
      </c>
      <c r="AF44" s="652">
        <v>0.68</v>
      </c>
      <c r="AG44" s="652">
        <v>0.37</v>
      </c>
      <c r="AH44" s="652">
        <v>0.96</v>
      </c>
      <c r="AI44" s="652">
        <v>0.73</v>
      </c>
      <c r="AJ44" s="652">
        <v>0.53</v>
      </c>
      <c r="AK44" s="652">
        <v>1.27</v>
      </c>
      <c r="AL44" s="652">
        <v>0.83</v>
      </c>
      <c r="AM44" s="652">
        <v>0.7</v>
      </c>
    </row>
    <row r="45" spans="1:39" s="388" customFormat="1" ht="11.1" customHeight="1">
      <c r="A45" s="1548" t="s">
        <v>813</v>
      </c>
      <c r="B45" s="828">
        <v>1.55</v>
      </c>
      <c r="C45" s="828">
        <v>0.43</v>
      </c>
      <c r="D45" s="828">
        <v>0</v>
      </c>
      <c r="E45" s="828">
        <v>1.72</v>
      </c>
      <c r="F45" s="682">
        <v>0.49</v>
      </c>
      <c r="G45" s="828">
        <v>0</v>
      </c>
      <c r="H45" s="828">
        <v>2.36</v>
      </c>
      <c r="I45" s="828">
        <v>0.71</v>
      </c>
      <c r="J45" s="828">
        <v>0</v>
      </c>
      <c r="K45" s="828">
        <v>2.66</v>
      </c>
      <c r="L45" s="828">
        <v>0.86</v>
      </c>
      <c r="M45" s="828">
        <v>0</v>
      </c>
      <c r="N45" s="1548" t="s">
        <v>813</v>
      </c>
      <c r="O45" s="828">
        <v>1.1499999999999999</v>
      </c>
      <c r="P45" s="828">
        <v>0.3</v>
      </c>
      <c r="Q45" s="682">
        <v>0.17</v>
      </c>
      <c r="R45" s="828">
        <v>2.19</v>
      </c>
      <c r="S45" s="828">
        <v>0.45</v>
      </c>
      <c r="T45" s="682">
        <v>0.17</v>
      </c>
      <c r="U45" s="828">
        <v>1.32</v>
      </c>
      <c r="V45" s="682">
        <v>0.53</v>
      </c>
      <c r="W45" s="682">
        <v>0.24</v>
      </c>
      <c r="X45" s="828">
        <v>1.45</v>
      </c>
      <c r="Y45" s="682">
        <v>0.63</v>
      </c>
      <c r="Z45" s="828">
        <v>0.31</v>
      </c>
      <c r="AA45" s="1548" t="s">
        <v>813</v>
      </c>
      <c r="AB45" s="828">
        <v>1.08</v>
      </c>
      <c r="AC45" s="828">
        <v>0.62</v>
      </c>
      <c r="AD45" s="828">
        <v>0.5</v>
      </c>
      <c r="AE45" s="828">
        <v>0.78</v>
      </c>
      <c r="AF45" s="828">
        <v>0.67</v>
      </c>
      <c r="AG45" s="828">
        <v>0.35</v>
      </c>
      <c r="AH45" s="828">
        <v>0.94</v>
      </c>
      <c r="AI45" s="828">
        <v>0.71</v>
      </c>
      <c r="AJ45" s="828">
        <v>0.53</v>
      </c>
      <c r="AK45" s="828">
        <v>1.26</v>
      </c>
      <c r="AL45" s="828">
        <v>0.83</v>
      </c>
      <c r="AM45" s="828">
        <v>0.7</v>
      </c>
    </row>
    <row r="46" spans="1:39" s="388" customFormat="1" ht="11.1" customHeight="1">
      <c r="A46" s="1561" t="s">
        <v>820</v>
      </c>
      <c r="B46" s="652">
        <v>1.65</v>
      </c>
      <c r="C46" s="652">
        <v>0.43</v>
      </c>
      <c r="D46" s="652">
        <v>0</v>
      </c>
      <c r="E46" s="652">
        <v>1.78</v>
      </c>
      <c r="F46" s="652">
        <v>0.5</v>
      </c>
      <c r="G46" s="652">
        <v>0</v>
      </c>
      <c r="H46" s="652">
        <v>2.4300000000000002</v>
      </c>
      <c r="I46" s="652">
        <v>0.71</v>
      </c>
      <c r="J46" s="652">
        <v>0</v>
      </c>
      <c r="K46" s="652">
        <v>2.74</v>
      </c>
      <c r="L46" s="652">
        <v>0.88</v>
      </c>
      <c r="M46" s="652">
        <v>0</v>
      </c>
      <c r="N46" s="1561" t="s">
        <v>820</v>
      </c>
      <c r="O46" s="652">
        <v>1.22</v>
      </c>
      <c r="P46" s="652">
        <v>0.33</v>
      </c>
      <c r="Q46" s="649">
        <v>0.17</v>
      </c>
      <c r="R46" s="652">
        <v>1.26</v>
      </c>
      <c r="S46" s="652">
        <v>0.47</v>
      </c>
      <c r="T46" s="649">
        <v>0.17</v>
      </c>
      <c r="U46" s="652">
        <v>1.44</v>
      </c>
      <c r="V46" s="649">
        <v>0.53</v>
      </c>
      <c r="W46" s="649">
        <v>0.25</v>
      </c>
      <c r="X46" s="652">
        <v>1.56</v>
      </c>
      <c r="Y46" s="649">
        <v>0.64</v>
      </c>
      <c r="Z46" s="652">
        <v>0.31</v>
      </c>
      <c r="AA46" s="1561" t="s">
        <v>820</v>
      </c>
      <c r="AB46" s="652">
        <v>1.0900000000000001</v>
      </c>
      <c r="AC46" s="652">
        <v>0.64</v>
      </c>
      <c r="AD46" s="652">
        <v>0.56999999999999995</v>
      </c>
      <c r="AE46" s="652">
        <v>0.72</v>
      </c>
      <c r="AF46" s="652">
        <v>0.65</v>
      </c>
      <c r="AG46" s="652">
        <v>0.37</v>
      </c>
      <c r="AH46" s="652">
        <v>0.99</v>
      </c>
      <c r="AI46" s="652">
        <v>0.76</v>
      </c>
      <c r="AJ46" s="652">
        <v>0.53</v>
      </c>
      <c r="AK46" s="652">
        <v>1.26</v>
      </c>
      <c r="AL46" s="652">
        <v>0.83</v>
      </c>
      <c r="AM46" s="652">
        <v>0.7</v>
      </c>
    </row>
    <row r="47" spans="1:39" s="388" customFormat="1" ht="11.1" customHeight="1">
      <c r="A47" s="1596" t="s">
        <v>821</v>
      </c>
      <c r="B47" s="828">
        <v>1.7</v>
      </c>
      <c r="C47" s="828">
        <v>0.43</v>
      </c>
      <c r="D47" s="828">
        <v>0</v>
      </c>
      <c r="E47" s="828">
        <v>1.95</v>
      </c>
      <c r="F47" s="828">
        <v>0.54</v>
      </c>
      <c r="G47" s="828">
        <v>0</v>
      </c>
      <c r="H47" s="828">
        <v>2.66</v>
      </c>
      <c r="I47" s="828">
        <v>0.79</v>
      </c>
      <c r="J47" s="828">
        <v>0</v>
      </c>
      <c r="K47" s="828">
        <v>2.92</v>
      </c>
      <c r="L47" s="828">
        <v>0.94</v>
      </c>
      <c r="M47" s="828">
        <v>0</v>
      </c>
      <c r="N47" s="1596" t="s">
        <v>821</v>
      </c>
      <c r="O47" s="828">
        <v>1.33</v>
      </c>
      <c r="P47" s="828">
        <v>0.35</v>
      </c>
      <c r="Q47" s="682">
        <v>0.17</v>
      </c>
      <c r="R47" s="828">
        <v>1.42</v>
      </c>
      <c r="S47" s="828">
        <v>0.5</v>
      </c>
      <c r="T47" s="682">
        <v>0.17</v>
      </c>
      <c r="U47" s="828">
        <v>1.58</v>
      </c>
      <c r="V47" s="682">
        <v>0.54</v>
      </c>
      <c r="W47" s="682">
        <v>0.25</v>
      </c>
      <c r="X47" s="828">
        <v>1.66</v>
      </c>
      <c r="Y47" s="828">
        <v>0.7</v>
      </c>
      <c r="Z47" s="828">
        <v>0.31</v>
      </c>
      <c r="AA47" s="1596" t="s">
        <v>821</v>
      </c>
      <c r="AB47" s="828">
        <v>0.72</v>
      </c>
      <c r="AC47" s="828">
        <v>0.59</v>
      </c>
      <c r="AD47" s="828">
        <v>0.56999999999999995</v>
      </c>
      <c r="AE47" s="828">
        <v>0.53</v>
      </c>
      <c r="AF47" s="828">
        <v>0.74</v>
      </c>
      <c r="AG47" s="828">
        <v>0.37</v>
      </c>
      <c r="AH47" s="828">
        <v>0.82</v>
      </c>
      <c r="AI47" s="828">
        <v>0.76</v>
      </c>
      <c r="AJ47" s="828">
        <v>0.53</v>
      </c>
      <c r="AK47" s="828">
        <v>1.01</v>
      </c>
      <c r="AL47" s="828">
        <v>0.9</v>
      </c>
      <c r="AM47" s="828">
        <v>0.7</v>
      </c>
    </row>
    <row r="48" spans="1:39" s="388" customFormat="1" ht="11.1" customHeight="1">
      <c r="A48" s="1621" t="s">
        <v>814</v>
      </c>
      <c r="B48" s="652">
        <v>1.8</v>
      </c>
      <c r="C48" s="652">
        <v>0.44</v>
      </c>
      <c r="D48" s="652">
        <v>0</v>
      </c>
      <c r="E48" s="652">
        <v>2.0699999999999998</v>
      </c>
      <c r="F48" s="652">
        <v>0.56999999999999995</v>
      </c>
      <c r="G48" s="652">
        <v>0</v>
      </c>
      <c r="H48" s="652">
        <v>2.71</v>
      </c>
      <c r="I48" s="652">
        <v>0.84</v>
      </c>
      <c r="J48" s="652">
        <v>0</v>
      </c>
      <c r="K48" s="652">
        <v>2.92</v>
      </c>
      <c r="L48" s="652">
        <v>0.97</v>
      </c>
      <c r="M48" s="652">
        <v>0</v>
      </c>
      <c r="N48" s="1621" t="s">
        <v>814</v>
      </c>
      <c r="O48" s="652">
        <v>1.46</v>
      </c>
      <c r="P48" s="652">
        <v>0.39</v>
      </c>
      <c r="Q48" s="649">
        <v>0.17</v>
      </c>
      <c r="R48" s="652">
        <v>1.54</v>
      </c>
      <c r="S48" s="652">
        <v>0.94</v>
      </c>
      <c r="T48" s="649">
        <v>0.17</v>
      </c>
      <c r="U48" s="652">
        <v>1.67</v>
      </c>
      <c r="V48" s="649">
        <v>0.62</v>
      </c>
      <c r="W48" s="649">
        <v>0.24</v>
      </c>
      <c r="X48" s="652">
        <v>1.68</v>
      </c>
      <c r="Y48" s="652">
        <v>0.89</v>
      </c>
      <c r="Z48" s="652">
        <v>0.31</v>
      </c>
      <c r="AA48" s="1621" t="s">
        <v>814</v>
      </c>
      <c r="AB48" s="652">
        <v>0.9</v>
      </c>
      <c r="AC48" s="652">
        <v>0.63</v>
      </c>
      <c r="AD48" s="652">
        <v>0.5</v>
      </c>
      <c r="AE48" s="652">
        <v>0.79</v>
      </c>
      <c r="AF48" s="652">
        <v>0.65</v>
      </c>
      <c r="AG48" s="652">
        <v>0.35</v>
      </c>
      <c r="AH48" s="652">
        <v>1</v>
      </c>
      <c r="AI48" s="652">
        <v>0.73</v>
      </c>
      <c r="AJ48" s="652">
        <v>0.53</v>
      </c>
      <c r="AK48" s="652">
        <v>1.29</v>
      </c>
      <c r="AL48" s="652">
        <v>0.83</v>
      </c>
      <c r="AM48" s="652">
        <v>0.7</v>
      </c>
    </row>
    <row r="49" spans="1:39" s="388" customFormat="1" ht="11.1" customHeight="1">
      <c r="A49" s="1646" t="s">
        <v>822</v>
      </c>
      <c r="B49" s="344">
        <v>1.85</v>
      </c>
      <c r="C49" s="828">
        <v>0.44</v>
      </c>
      <c r="D49" s="828">
        <v>0</v>
      </c>
      <c r="E49" s="828">
        <v>2.08</v>
      </c>
      <c r="F49" s="828">
        <v>0.57999999999999996</v>
      </c>
      <c r="G49" s="828">
        <v>0</v>
      </c>
      <c r="H49" s="828">
        <v>2.68</v>
      </c>
      <c r="I49" s="828">
        <v>0.85</v>
      </c>
      <c r="J49" s="828">
        <v>0</v>
      </c>
      <c r="K49" s="828">
        <v>2.84</v>
      </c>
      <c r="L49" s="828">
        <v>0.99</v>
      </c>
      <c r="M49" s="828">
        <v>0</v>
      </c>
      <c r="N49" s="1646" t="s">
        <v>822</v>
      </c>
      <c r="O49" s="828">
        <v>1.38</v>
      </c>
      <c r="P49" s="828">
        <v>0.36</v>
      </c>
      <c r="Q49" s="682">
        <v>0.18</v>
      </c>
      <c r="R49" s="828">
        <v>1.62</v>
      </c>
      <c r="S49" s="828">
        <v>0.49</v>
      </c>
      <c r="T49" s="682">
        <v>0.17</v>
      </c>
      <c r="U49" s="828">
        <v>1.64</v>
      </c>
      <c r="V49" s="682">
        <v>0.62</v>
      </c>
      <c r="W49" s="682">
        <v>0.24</v>
      </c>
      <c r="X49" s="828">
        <v>1.73</v>
      </c>
      <c r="Y49" s="828">
        <v>0.73</v>
      </c>
      <c r="Z49" s="828">
        <v>0.31</v>
      </c>
      <c r="AA49" s="1646" t="s">
        <v>822</v>
      </c>
      <c r="AB49" s="828">
        <v>0.96</v>
      </c>
      <c r="AC49" s="828">
        <v>0.63</v>
      </c>
      <c r="AD49" s="828">
        <v>0.56999999999999995</v>
      </c>
      <c r="AE49" s="828">
        <v>0.75</v>
      </c>
      <c r="AF49" s="828">
        <v>0.65</v>
      </c>
      <c r="AG49" s="828">
        <v>0.37</v>
      </c>
      <c r="AH49" s="828">
        <v>1</v>
      </c>
      <c r="AI49" s="828">
        <v>0.73</v>
      </c>
      <c r="AJ49" s="828">
        <v>0.53</v>
      </c>
      <c r="AK49" s="828">
        <v>1.29</v>
      </c>
      <c r="AL49" s="828">
        <v>0.83</v>
      </c>
      <c r="AM49" s="828">
        <v>0.7</v>
      </c>
    </row>
    <row r="50" spans="1:39" s="388" customFormat="1" ht="11.1" customHeight="1">
      <c r="A50" s="1651" t="s">
        <v>823</v>
      </c>
      <c r="B50" s="428">
        <v>1.86</v>
      </c>
      <c r="C50" s="652">
        <v>0.44</v>
      </c>
      <c r="D50" s="652">
        <v>0</v>
      </c>
      <c r="E50" s="652">
        <v>2.0499999999999998</v>
      </c>
      <c r="F50" s="652">
        <v>0.56999999999999995</v>
      </c>
      <c r="G50" s="652">
        <v>0</v>
      </c>
      <c r="H50" s="652">
        <v>2.62</v>
      </c>
      <c r="I50" s="652">
        <v>0.84</v>
      </c>
      <c r="J50" s="652">
        <v>0</v>
      </c>
      <c r="K50" s="652">
        <v>2.78</v>
      </c>
      <c r="L50" s="652">
        <v>0.97</v>
      </c>
      <c r="M50" s="652">
        <v>0</v>
      </c>
      <c r="N50" s="1651" t="s">
        <v>823</v>
      </c>
      <c r="O50" s="652">
        <v>1.38</v>
      </c>
      <c r="P50" s="652">
        <v>0.37</v>
      </c>
      <c r="Q50" s="649">
        <v>0.17</v>
      </c>
      <c r="R50" s="652">
        <v>1.55</v>
      </c>
      <c r="S50" s="652">
        <v>0.47</v>
      </c>
      <c r="T50" s="649">
        <v>0.17</v>
      </c>
      <c r="U50" s="652">
        <v>1.6</v>
      </c>
      <c r="V50" s="652">
        <v>0.6</v>
      </c>
      <c r="W50" s="649">
        <v>0.24</v>
      </c>
      <c r="X50" s="652">
        <v>1.68</v>
      </c>
      <c r="Y50" s="652">
        <v>0.71</v>
      </c>
      <c r="Z50" s="652">
        <v>0.31</v>
      </c>
      <c r="AA50" s="1651" t="s">
        <v>823</v>
      </c>
      <c r="AB50" s="652">
        <v>0.93</v>
      </c>
      <c r="AC50" s="652">
        <v>0.59</v>
      </c>
      <c r="AD50" s="652">
        <v>0.56999999999999995</v>
      </c>
      <c r="AE50" s="652">
        <v>0.8</v>
      </c>
      <c r="AF50" s="652">
        <v>0.59</v>
      </c>
      <c r="AG50" s="652">
        <v>0.37</v>
      </c>
      <c r="AH50" s="652">
        <v>1.02</v>
      </c>
      <c r="AI50" s="652">
        <v>0.8</v>
      </c>
      <c r="AJ50" s="652">
        <v>0.53</v>
      </c>
      <c r="AK50" s="652">
        <v>1.28</v>
      </c>
      <c r="AL50" s="652">
        <v>0.84</v>
      </c>
      <c r="AM50" s="652">
        <v>0.7</v>
      </c>
    </row>
    <row r="51" spans="1:39" s="388" customFormat="1" ht="11.1" customHeight="1">
      <c r="A51" s="1663" t="s">
        <v>815</v>
      </c>
      <c r="B51" s="344">
        <v>1.84</v>
      </c>
      <c r="C51" s="828">
        <v>0.43</v>
      </c>
      <c r="D51" s="828">
        <v>0</v>
      </c>
      <c r="E51" s="828">
        <v>1.96</v>
      </c>
      <c r="F51" s="828">
        <v>0.53</v>
      </c>
      <c r="G51" s="828">
        <v>0</v>
      </c>
      <c r="H51" s="828">
        <v>2.5099999999999998</v>
      </c>
      <c r="I51" s="828">
        <v>0.8</v>
      </c>
      <c r="J51" s="828">
        <v>0</v>
      </c>
      <c r="K51" s="828">
        <v>2.69</v>
      </c>
      <c r="L51" s="828">
        <v>0.94</v>
      </c>
      <c r="M51" s="828">
        <v>0</v>
      </c>
      <c r="N51" s="1663" t="s">
        <v>815</v>
      </c>
      <c r="O51" s="828">
        <v>1.39</v>
      </c>
      <c r="P51" s="828">
        <v>0.33</v>
      </c>
      <c r="Q51" s="682">
        <v>0.05</v>
      </c>
      <c r="R51" s="828">
        <v>1.45</v>
      </c>
      <c r="S51" s="828">
        <v>0.42</v>
      </c>
      <c r="T51" s="682">
        <v>0.13</v>
      </c>
      <c r="U51" s="828">
        <v>1.5</v>
      </c>
      <c r="V51" s="828">
        <v>0.54</v>
      </c>
      <c r="W51" s="828">
        <v>0.2</v>
      </c>
      <c r="X51" s="828">
        <v>1.61</v>
      </c>
      <c r="Y51" s="828">
        <v>0.64</v>
      </c>
      <c r="Z51" s="828">
        <v>0.28999999999999998</v>
      </c>
      <c r="AA51" s="1663" t="s">
        <v>815</v>
      </c>
      <c r="AB51" s="828">
        <v>0.9</v>
      </c>
      <c r="AC51" s="828">
        <v>0.63</v>
      </c>
      <c r="AD51" s="828">
        <v>0.5</v>
      </c>
      <c r="AE51" s="828">
        <v>0.84</v>
      </c>
      <c r="AF51" s="828">
        <v>0.54</v>
      </c>
      <c r="AG51" s="828">
        <v>0.35</v>
      </c>
      <c r="AH51" s="828">
        <v>1.02</v>
      </c>
      <c r="AI51" s="828">
        <v>0.78</v>
      </c>
      <c r="AJ51" s="828">
        <v>0.53</v>
      </c>
      <c r="AK51" s="828">
        <v>1.34</v>
      </c>
      <c r="AL51" s="828">
        <v>0.84</v>
      </c>
      <c r="AM51" s="828">
        <v>0.7</v>
      </c>
    </row>
    <row r="52" spans="1:39" s="388" customFormat="1" ht="11.1" customHeight="1">
      <c r="A52" s="1694" t="s">
        <v>824</v>
      </c>
      <c r="B52" s="428">
        <v>1.84</v>
      </c>
      <c r="C52" s="652">
        <v>0.44</v>
      </c>
      <c r="D52" s="652">
        <v>0</v>
      </c>
      <c r="E52" s="652">
        <v>1.94</v>
      </c>
      <c r="F52" s="652">
        <v>0.52</v>
      </c>
      <c r="G52" s="652">
        <v>0</v>
      </c>
      <c r="H52" s="652">
        <v>2.4700000000000002</v>
      </c>
      <c r="I52" s="652">
        <v>0.76</v>
      </c>
      <c r="J52" s="652">
        <v>0</v>
      </c>
      <c r="K52" s="652">
        <v>2.57</v>
      </c>
      <c r="L52" s="652">
        <v>0.9</v>
      </c>
      <c r="M52" s="652">
        <v>0</v>
      </c>
      <c r="N52" s="1694" t="s">
        <v>824</v>
      </c>
      <c r="O52" s="652">
        <v>1.46</v>
      </c>
      <c r="P52" s="652">
        <v>0.37</v>
      </c>
      <c r="Q52" s="649">
        <v>0.17</v>
      </c>
      <c r="R52" s="652">
        <v>1.46</v>
      </c>
      <c r="S52" s="652">
        <v>0.45</v>
      </c>
      <c r="T52" s="649">
        <v>0.17</v>
      </c>
      <c r="U52" s="652">
        <v>1.57</v>
      </c>
      <c r="V52" s="652">
        <v>0.56999999999999995</v>
      </c>
      <c r="W52" s="652">
        <v>0.24</v>
      </c>
      <c r="X52" s="652">
        <v>1.7</v>
      </c>
      <c r="Y52" s="652">
        <v>0.7</v>
      </c>
      <c r="Z52" s="652">
        <v>0.31</v>
      </c>
      <c r="AA52" s="1694" t="s">
        <v>824</v>
      </c>
      <c r="AB52" s="652">
        <v>1.02</v>
      </c>
      <c r="AC52" s="652">
        <v>0.63</v>
      </c>
      <c r="AD52" s="652">
        <v>0.56999999999999995</v>
      </c>
      <c r="AE52" s="652">
        <v>0.76</v>
      </c>
      <c r="AF52" s="652">
        <v>0.54</v>
      </c>
      <c r="AG52" s="652">
        <v>0.37</v>
      </c>
      <c r="AH52" s="652">
        <v>1.1200000000000001</v>
      </c>
      <c r="AI52" s="652">
        <v>0.79</v>
      </c>
      <c r="AJ52" s="652">
        <v>0.53</v>
      </c>
      <c r="AK52" s="652">
        <v>1.34</v>
      </c>
      <c r="AL52" s="652">
        <v>0.84</v>
      </c>
      <c r="AM52" s="652">
        <v>0.7</v>
      </c>
    </row>
    <row r="53" spans="1:39" s="388" customFormat="1" ht="11.1" customHeight="1" thickBot="1">
      <c r="A53" s="683" t="s">
        <v>825</v>
      </c>
      <c r="B53" s="1706">
        <v>1.82</v>
      </c>
      <c r="C53" s="1699">
        <v>0.44</v>
      </c>
      <c r="D53" s="1699">
        <v>0</v>
      </c>
      <c r="E53" s="1699">
        <v>1.9</v>
      </c>
      <c r="F53" s="1699">
        <v>0.5</v>
      </c>
      <c r="G53" s="1699">
        <v>0</v>
      </c>
      <c r="H53" s="1699">
        <v>2.4</v>
      </c>
      <c r="I53" s="1699">
        <v>0.74</v>
      </c>
      <c r="J53" s="1699">
        <v>0</v>
      </c>
      <c r="K53" s="1699">
        <v>2.4900000000000002</v>
      </c>
      <c r="L53" s="1699">
        <v>0.88</v>
      </c>
      <c r="M53" s="1699">
        <v>0</v>
      </c>
      <c r="N53" s="683" t="s">
        <v>825</v>
      </c>
      <c r="O53" s="1699">
        <v>1.44</v>
      </c>
      <c r="P53" s="1699">
        <v>0.38</v>
      </c>
      <c r="Q53" s="1707">
        <v>0.18</v>
      </c>
      <c r="R53" s="1699">
        <v>1.44</v>
      </c>
      <c r="S53" s="1699">
        <v>0.55000000000000004</v>
      </c>
      <c r="T53" s="1707">
        <v>0.17</v>
      </c>
      <c r="U53" s="1699">
        <v>1.54</v>
      </c>
      <c r="V53" s="1699">
        <v>0.56000000000000005</v>
      </c>
      <c r="W53" s="1699">
        <v>0.24</v>
      </c>
      <c r="X53" s="1699">
        <v>1.67</v>
      </c>
      <c r="Y53" s="1699">
        <v>0.67</v>
      </c>
      <c r="Z53" s="1699">
        <v>0.32</v>
      </c>
      <c r="AA53" s="683" t="s">
        <v>825</v>
      </c>
      <c r="AB53" s="1699">
        <v>1.1599999999999999</v>
      </c>
      <c r="AC53" s="1699">
        <v>0.56000000000000005</v>
      </c>
      <c r="AD53" s="1699">
        <v>0.56999999999999995</v>
      </c>
      <c r="AE53" s="1699">
        <v>0.69</v>
      </c>
      <c r="AF53" s="1699">
        <v>0.68</v>
      </c>
      <c r="AG53" s="1699">
        <v>0.37</v>
      </c>
      <c r="AH53" s="1699">
        <v>1.1399999999999999</v>
      </c>
      <c r="AI53" s="1699">
        <v>0.79</v>
      </c>
      <c r="AJ53" s="1699">
        <v>0.53</v>
      </c>
      <c r="AK53" s="1699">
        <v>1.34</v>
      </c>
      <c r="AL53" s="1699">
        <v>0.84</v>
      </c>
      <c r="AM53" s="1699">
        <v>0.7</v>
      </c>
    </row>
    <row r="54" spans="1:39">
      <c r="A54" s="176" t="s">
        <v>610</v>
      </c>
      <c r="B54" s="2194" t="s">
        <v>2123</v>
      </c>
      <c r="C54" s="2194"/>
      <c r="D54" s="2194"/>
      <c r="E54" s="2194"/>
      <c r="F54" s="2194"/>
      <c r="G54" s="72"/>
      <c r="H54" s="35"/>
      <c r="I54" s="35"/>
      <c r="J54" s="35"/>
      <c r="K54" s="35"/>
      <c r="L54" s="35"/>
      <c r="M54" s="35"/>
      <c r="N54" s="176" t="s">
        <v>610</v>
      </c>
      <c r="O54" s="2194" t="s">
        <v>2123</v>
      </c>
      <c r="P54" s="2194"/>
      <c r="Q54" s="2194"/>
      <c r="R54" s="2194"/>
      <c r="S54" s="2194"/>
      <c r="T54" s="2194"/>
      <c r="AA54" s="176" t="s">
        <v>609</v>
      </c>
      <c r="AB54" s="1875" t="s">
        <v>2123</v>
      </c>
      <c r="AC54" s="1875"/>
      <c r="AD54" s="1875"/>
      <c r="AE54" s="1875"/>
      <c r="AF54" s="1875"/>
      <c r="AG54" s="38"/>
      <c r="AH54" s="38"/>
      <c r="AI54" s="38"/>
      <c r="AJ54" s="38"/>
      <c r="AK54" s="38"/>
      <c r="AL54" s="38"/>
    </row>
    <row r="55" spans="1:39" ht="9.75" customHeight="1">
      <c r="A55" s="62" t="s">
        <v>611</v>
      </c>
      <c r="B55" s="2195" t="s">
        <v>612</v>
      </c>
      <c r="C55" s="2195"/>
      <c r="D55" s="2195"/>
      <c r="E55" s="77"/>
      <c r="F55" s="77"/>
      <c r="G55" s="77"/>
      <c r="H55" s="35"/>
      <c r="I55" s="35"/>
      <c r="J55" s="35"/>
      <c r="K55" s="35"/>
      <c r="L55" s="35"/>
      <c r="M55" s="35"/>
      <c r="N55" s="173" t="s">
        <v>277</v>
      </c>
      <c r="O55" s="2196" t="s">
        <v>613</v>
      </c>
      <c r="P55" s="2196"/>
      <c r="Q55" s="2196"/>
      <c r="R55" s="1657"/>
      <c r="S55" s="1657"/>
      <c r="T55" s="177"/>
      <c r="U55" s="175"/>
      <c r="V55" s="175"/>
      <c r="W55" s="175"/>
      <c r="X55" s="175"/>
      <c r="Y55" s="175"/>
      <c r="Z55" s="175"/>
      <c r="AA55" s="23" t="s">
        <v>607</v>
      </c>
      <c r="AB55" s="2197" t="s">
        <v>608</v>
      </c>
      <c r="AC55" s="2197"/>
      <c r="AD55" s="2197"/>
      <c r="AE55" s="116"/>
      <c r="AF55" s="116"/>
      <c r="AG55" s="38"/>
      <c r="AH55" s="38"/>
      <c r="AI55" s="38"/>
      <c r="AJ55" s="38"/>
      <c r="AK55" s="38"/>
      <c r="AL55" s="38"/>
    </row>
    <row r="56" spans="1:39">
      <c r="AB56" s="38"/>
      <c r="AC56" s="38"/>
      <c r="AD56" s="38"/>
      <c r="AE56" s="38"/>
      <c r="AF56" s="38"/>
      <c r="AG56" s="38"/>
      <c r="AH56" s="38"/>
      <c r="AI56" s="38"/>
      <c r="AJ56" s="38"/>
      <c r="AK56" s="38"/>
      <c r="AL56" s="38"/>
    </row>
    <row r="57" spans="1:39">
      <c r="O57" s="23"/>
      <c r="P57" s="23"/>
      <c r="Q57" s="23"/>
      <c r="R57" s="23"/>
      <c r="AC57" s="23"/>
      <c r="AE57" s="23"/>
      <c r="AG57" s="23"/>
      <c r="AI57" s="23"/>
    </row>
    <row r="58" spans="1:39" ht="9.6" customHeight="1">
      <c r="B58" s="119"/>
      <c r="C58" s="119"/>
      <c r="D58" s="119"/>
      <c r="E58" s="119"/>
      <c r="F58" s="119"/>
      <c r="G58" s="119"/>
      <c r="H58" s="119"/>
      <c r="I58" s="119"/>
      <c r="J58" s="119"/>
      <c r="K58" s="119"/>
      <c r="L58" s="119"/>
      <c r="M58" s="119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  <c r="AB58" s="23"/>
      <c r="AC58" s="23"/>
      <c r="AD58" s="23"/>
      <c r="AE58" s="23"/>
      <c r="AF58" s="119"/>
      <c r="AG58" s="23"/>
      <c r="AH58" s="119"/>
      <c r="AI58" s="23"/>
      <c r="AJ58" s="119"/>
      <c r="AK58" s="23"/>
      <c r="AL58" s="119"/>
      <c r="AM58" s="23"/>
    </row>
    <row r="59" spans="1:39"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  <c r="AB59" s="23"/>
      <c r="AC59" s="23"/>
      <c r="AD59" s="23"/>
      <c r="AE59" s="23"/>
      <c r="AF59" s="23"/>
      <c r="AG59" s="23"/>
      <c r="AH59" s="23"/>
      <c r="AI59" s="23"/>
      <c r="AJ59" s="23"/>
      <c r="AK59" s="23"/>
      <c r="AL59" s="23"/>
      <c r="AM59" s="23"/>
    </row>
    <row r="60" spans="1:39"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B60" s="23"/>
      <c r="AC60" s="23"/>
      <c r="AD60" s="23"/>
      <c r="AE60" s="23"/>
      <c r="AF60" s="23"/>
      <c r="AG60" s="23"/>
      <c r="AH60" s="23"/>
      <c r="AI60" s="23"/>
      <c r="AJ60" s="23"/>
      <c r="AK60" s="23"/>
      <c r="AL60" s="23"/>
      <c r="AM60" s="23"/>
    </row>
    <row r="61" spans="1:39">
      <c r="B61" s="119"/>
      <c r="C61" s="119"/>
      <c r="D61" s="119"/>
      <c r="E61" s="119"/>
      <c r="F61" s="119"/>
      <c r="G61" s="119"/>
      <c r="H61" s="119"/>
      <c r="I61" s="119"/>
      <c r="J61" s="119"/>
      <c r="K61" s="119"/>
      <c r="L61" s="119"/>
      <c r="M61" s="119"/>
      <c r="O61" s="23"/>
      <c r="P61" s="23"/>
      <c r="Q61" s="23"/>
      <c r="R61" s="23"/>
      <c r="S61" s="23"/>
      <c r="T61" s="23"/>
      <c r="U61" s="23"/>
      <c r="V61" s="23"/>
      <c r="W61" s="119"/>
      <c r="X61" s="119"/>
      <c r="Y61" s="119"/>
      <c r="Z61" s="119"/>
      <c r="AB61" s="119"/>
      <c r="AC61" s="23"/>
      <c r="AD61" s="119"/>
      <c r="AE61" s="23"/>
      <c r="AF61" s="119"/>
      <c r="AG61" s="23"/>
      <c r="AH61" s="119"/>
      <c r="AI61" s="23"/>
      <c r="AJ61" s="119"/>
      <c r="AK61" s="23"/>
      <c r="AL61" s="119"/>
      <c r="AM61" s="23"/>
    </row>
    <row r="62" spans="1:39">
      <c r="B62" s="119"/>
      <c r="C62" s="119"/>
      <c r="D62" s="119"/>
      <c r="E62" s="119"/>
      <c r="F62" s="119"/>
      <c r="G62" s="119"/>
      <c r="H62" s="119"/>
      <c r="I62" s="119"/>
      <c r="J62" s="119"/>
      <c r="K62" s="119"/>
      <c r="L62" s="119"/>
      <c r="M62" s="119"/>
      <c r="O62" s="23"/>
      <c r="P62" s="23"/>
      <c r="Q62" s="23"/>
      <c r="R62" s="23"/>
      <c r="S62" s="23"/>
      <c r="T62" s="23"/>
      <c r="U62" s="23"/>
      <c r="V62" s="119"/>
      <c r="W62" s="119"/>
      <c r="X62" s="119"/>
      <c r="Y62" s="119"/>
      <c r="Z62" s="119"/>
      <c r="AB62" s="119"/>
      <c r="AC62" s="23"/>
      <c r="AD62" s="119"/>
      <c r="AE62" s="23"/>
      <c r="AF62" s="119"/>
      <c r="AG62" s="23"/>
      <c r="AH62" s="119"/>
      <c r="AI62" s="23"/>
      <c r="AJ62" s="119"/>
      <c r="AK62" s="23"/>
      <c r="AL62" s="119"/>
      <c r="AM62" s="23"/>
    </row>
    <row r="63" spans="1:39">
      <c r="B63" s="119"/>
      <c r="C63" s="119"/>
      <c r="D63" s="119"/>
      <c r="E63" s="119"/>
      <c r="F63" s="119"/>
      <c r="G63" s="119"/>
      <c r="H63" s="119"/>
      <c r="I63" s="119"/>
      <c r="J63" s="119"/>
      <c r="K63" s="119"/>
      <c r="L63" s="119"/>
      <c r="M63" s="119"/>
      <c r="O63" s="23"/>
      <c r="P63" s="23"/>
      <c r="Q63" s="23"/>
      <c r="R63" s="23"/>
      <c r="S63" s="23"/>
      <c r="T63" s="23"/>
      <c r="U63" s="119"/>
      <c r="V63" s="119"/>
      <c r="W63" s="119"/>
      <c r="X63" s="119"/>
      <c r="Y63" s="119"/>
      <c r="Z63" s="119"/>
      <c r="AB63" s="119"/>
      <c r="AC63" s="23"/>
      <c r="AD63" s="119"/>
      <c r="AE63" s="23"/>
      <c r="AF63" s="119"/>
      <c r="AG63" s="23"/>
      <c r="AH63" s="119"/>
      <c r="AI63" s="23"/>
      <c r="AJ63" s="119"/>
      <c r="AK63" s="23"/>
      <c r="AL63" s="119"/>
      <c r="AM63" s="23"/>
    </row>
    <row r="64" spans="1:39">
      <c r="B64" s="119"/>
      <c r="C64" s="119"/>
      <c r="D64" s="119"/>
      <c r="E64" s="119"/>
      <c r="F64" s="119"/>
      <c r="G64" s="119"/>
      <c r="H64" s="119"/>
      <c r="I64" s="119"/>
      <c r="J64" s="119"/>
      <c r="K64" s="119"/>
      <c r="L64" s="119"/>
      <c r="M64" s="119"/>
      <c r="O64" s="23"/>
      <c r="P64" s="23"/>
      <c r="Q64" s="23"/>
      <c r="R64" s="23"/>
      <c r="S64" s="23"/>
      <c r="T64" s="23"/>
      <c r="U64" s="119"/>
      <c r="V64" s="119"/>
      <c r="W64" s="119"/>
      <c r="X64" s="119"/>
      <c r="Y64" s="119"/>
      <c r="Z64" s="119"/>
      <c r="AB64" s="119"/>
      <c r="AC64" s="23"/>
      <c r="AD64" s="119"/>
      <c r="AE64" s="23"/>
      <c r="AF64" s="119"/>
      <c r="AG64" s="23"/>
      <c r="AH64" s="119"/>
      <c r="AI64" s="23"/>
      <c r="AJ64" s="119"/>
      <c r="AK64" s="23"/>
      <c r="AL64" s="119"/>
      <c r="AM64" s="23"/>
    </row>
    <row r="65" spans="2:39">
      <c r="B65" s="119"/>
      <c r="C65" s="119"/>
      <c r="D65" s="119"/>
      <c r="E65" s="119"/>
      <c r="F65" s="119"/>
      <c r="G65" s="119"/>
      <c r="H65" s="119"/>
      <c r="I65" s="119"/>
      <c r="J65" s="119"/>
      <c r="K65" s="119"/>
      <c r="L65" s="119"/>
      <c r="M65" s="119"/>
      <c r="O65" s="23"/>
      <c r="P65" s="23"/>
      <c r="Q65" s="23"/>
      <c r="R65" s="23"/>
      <c r="S65" s="119"/>
      <c r="T65" s="119"/>
      <c r="U65" s="119"/>
      <c r="V65" s="119"/>
      <c r="W65" s="119"/>
      <c r="X65" s="119"/>
      <c r="Y65" s="119"/>
      <c r="Z65" s="119"/>
      <c r="AB65" s="119"/>
      <c r="AC65" s="23"/>
      <c r="AD65" s="119"/>
      <c r="AE65" s="23"/>
      <c r="AF65" s="119"/>
      <c r="AG65" s="23"/>
      <c r="AH65" s="119"/>
      <c r="AI65" s="23"/>
      <c r="AJ65" s="119"/>
      <c r="AK65" s="119"/>
      <c r="AL65" s="119"/>
      <c r="AM65" s="119"/>
    </row>
    <row r="66" spans="2:39">
      <c r="B66" s="119"/>
      <c r="C66" s="119"/>
      <c r="D66" s="119"/>
      <c r="E66" s="119"/>
      <c r="F66" s="119"/>
      <c r="G66" s="119"/>
      <c r="H66" s="119"/>
      <c r="I66" s="119"/>
      <c r="J66" s="119"/>
      <c r="K66" s="119"/>
      <c r="L66" s="119"/>
      <c r="M66" s="119"/>
      <c r="O66" s="23"/>
      <c r="P66" s="23"/>
      <c r="Q66" s="119"/>
      <c r="R66" s="119"/>
      <c r="S66" s="119"/>
      <c r="T66" s="119"/>
      <c r="U66" s="119"/>
      <c r="V66" s="119"/>
      <c r="W66" s="119"/>
      <c r="X66" s="119"/>
      <c r="Y66" s="119"/>
      <c r="Z66" s="119"/>
      <c r="AB66" s="119"/>
      <c r="AC66" s="23"/>
      <c r="AD66" s="119"/>
      <c r="AE66" s="23"/>
      <c r="AF66" s="119"/>
      <c r="AG66" s="119"/>
      <c r="AH66" s="119"/>
      <c r="AI66" s="119"/>
      <c r="AJ66" s="119"/>
      <c r="AK66" s="119"/>
      <c r="AL66" s="119"/>
      <c r="AM66" s="119"/>
    </row>
    <row r="67" spans="2:39">
      <c r="B67" s="119"/>
      <c r="C67" s="119"/>
      <c r="D67" s="119"/>
      <c r="E67" s="119"/>
      <c r="F67" s="119"/>
      <c r="G67" s="119"/>
      <c r="H67" s="119"/>
      <c r="I67" s="119"/>
      <c r="J67" s="119"/>
      <c r="K67" s="119"/>
      <c r="L67" s="119"/>
      <c r="M67" s="119"/>
      <c r="O67" s="119"/>
      <c r="P67" s="119"/>
      <c r="Q67" s="119"/>
      <c r="R67" s="119"/>
      <c r="S67" s="119"/>
      <c r="T67" s="119"/>
      <c r="U67" s="119"/>
      <c r="V67" s="119"/>
      <c r="W67" s="119"/>
      <c r="X67" s="119"/>
      <c r="Y67" s="119"/>
      <c r="Z67" s="119"/>
      <c r="AB67" s="119"/>
      <c r="AC67" s="119"/>
      <c r="AD67" s="119"/>
      <c r="AE67" s="119"/>
      <c r="AF67" s="119"/>
      <c r="AG67" s="119"/>
      <c r="AH67" s="119"/>
      <c r="AI67" s="119"/>
      <c r="AJ67" s="119"/>
      <c r="AK67" s="119"/>
      <c r="AL67" s="119"/>
      <c r="AM67" s="119"/>
    </row>
    <row r="68" spans="2:39">
      <c r="B68" s="119"/>
      <c r="C68" s="119"/>
      <c r="D68" s="119"/>
      <c r="E68" s="119"/>
      <c r="F68" s="119"/>
      <c r="G68" s="119"/>
      <c r="H68" s="119"/>
      <c r="I68" s="119"/>
      <c r="J68" s="119"/>
      <c r="K68" s="119"/>
      <c r="L68" s="119"/>
      <c r="M68" s="119"/>
      <c r="O68" s="119"/>
      <c r="P68" s="119"/>
      <c r="Q68" s="119"/>
      <c r="R68" s="119"/>
      <c r="S68" s="119"/>
      <c r="T68" s="119"/>
      <c r="U68" s="119"/>
      <c r="V68" s="119"/>
      <c r="W68" s="119"/>
      <c r="X68" s="119"/>
      <c r="Y68" s="119"/>
      <c r="Z68" s="119"/>
      <c r="AB68" s="119"/>
      <c r="AC68" s="119"/>
      <c r="AD68" s="119"/>
      <c r="AE68" s="119"/>
      <c r="AF68" s="119"/>
      <c r="AG68" s="119"/>
      <c r="AH68" s="119"/>
      <c r="AI68" s="119"/>
      <c r="AJ68" s="119"/>
      <c r="AK68" s="119"/>
      <c r="AL68" s="119"/>
      <c r="AM68" s="119"/>
    </row>
    <row r="69" spans="2:39">
      <c r="B69" s="119"/>
      <c r="C69" s="119"/>
      <c r="D69" s="119"/>
      <c r="E69" s="119"/>
      <c r="F69" s="119"/>
      <c r="G69" s="119"/>
      <c r="H69" s="119"/>
      <c r="I69" s="119"/>
      <c r="J69" s="119"/>
      <c r="K69" s="119"/>
      <c r="L69" s="119"/>
      <c r="M69" s="119"/>
      <c r="N69" s="119"/>
      <c r="O69" s="119"/>
      <c r="P69" s="119"/>
      <c r="Q69" s="119"/>
      <c r="R69" s="119"/>
      <c r="S69" s="119"/>
      <c r="T69" s="119"/>
      <c r="U69" s="119"/>
      <c r="V69" s="119"/>
      <c r="W69" s="119"/>
      <c r="X69" s="119"/>
      <c r="Y69" s="119"/>
      <c r="Z69" s="119"/>
      <c r="AA69" s="119"/>
      <c r="AB69" s="119"/>
      <c r="AC69" s="119"/>
      <c r="AD69" s="119"/>
      <c r="AE69" s="119"/>
      <c r="AF69" s="119"/>
      <c r="AG69" s="119"/>
      <c r="AH69" s="119"/>
      <c r="AI69" s="119"/>
      <c r="AJ69" s="119"/>
      <c r="AK69" s="119"/>
      <c r="AL69" s="119"/>
      <c r="AM69" s="119"/>
    </row>
    <row r="70" spans="2:39">
      <c r="B70" s="119"/>
      <c r="C70" s="119"/>
      <c r="D70" s="119"/>
      <c r="E70" s="119"/>
      <c r="F70" s="119"/>
      <c r="G70" s="119"/>
      <c r="H70" s="119"/>
      <c r="I70" s="119"/>
      <c r="J70" s="119"/>
      <c r="K70" s="119"/>
      <c r="L70" s="119"/>
      <c r="M70" s="119"/>
      <c r="N70" s="119"/>
      <c r="O70" s="119"/>
      <c r="P70" s="119"/>
      <c r="Q70" s="119"/>
      <c r="R70" s="119"/>
      <c r="S70" s="119"/>
      <c r="T70" s="119"/>
      <c r="U70" s="119"/>
      <c r="V70" s="119"/>
      <c r="W70" s="119"/>
      <c r="X70" s="119"/>
      <c r="Y70" s="119"/>
      <c r="Z70" s="119"/>
      <c r="AA70" s="119"/>
      <c r="AB70" s="119"/>
      <c r="AC70" s="119"/>
      <c r="AD70" s="119"/>
      <c r="AE70" s="119"/>
      <c r="AF70" s="119"/>
      <c r="AG70" s="119"/>
      <c r="AH70" s="119"/>
      <c r="AI70" s="119"/>
      <c r="AJ70" s="119"/>
      <c r="AK70" s="119"/>
      <c r="AL70" s="119"/>
      <c r="AM70" s="119"/>
    </row>
    <row r="71" spans="2:39">
      <c r="B71" s="119"/>
      <c r="C71" s="119"/>
      <c r="D71" s="119"/>
      <c r="E71" s="119"/>
      <c r="F71" s="119"/>
      <c r="G71" s="119"/>
      <c r="H71" s="119"/>
      <c r="I71" s="119"/>
      <c r="J71" s="119"/>
      <c r="K71" s="119"/>
      <c r="L71" s="119"/>
      <c r="M71" s="119"/>
      <c r="N71" s="119"/>
      <c r="O71" s="119"/>
      <c r="P71" s="119"/>
      <c r="Q71" s="119"/>
      <c r="R71" s="119"/>
      <c r="S71" s="119"/>
      <c r="T71" s="119"/>
      <c r="U71" s="119"/>
      <c r="V71" s="119"/>
      <c r="W71" s="119"/>
      <c r="X71" s="119"/>
      <c r="Y71" s="119"/>
      <c r="Z71" s="119"/>
      <c r="AA71" s="119"/>
      <c r="AB71" s="119"/>
      <c r="AC71" s="119"/>
      <c r="AD71" s="119"/>
      <c r="AE71" s="119"/>
      <c r="AF71" s="119"/>
      <c r="AG71" s="119"/>
      <c r="AH71" s="119"/>
      <c r="AI71" s="119"/>
      <c r="AJ71" s="119"/>
      <c r="AK71" s="119"/>
      <c r="AL71" s="119"/>
      <c r="AM71" s="119"/>
    </row>
    <row r="72" spans="2:39">
      <c r="B72" s="119"/>
      <c r="C72" s="119"/>
      <c r="D72" s="119"/>
      <c r="E72" s="119"/>
      <c r="F72" s="119"/>
      <c r="G72" s="119"/>
      <c r="H72" s="119"/>
      <c r="I72" s="119"/>
      <c r="J72" s="119"/>
      <c r="K72" s="119"/>
      <c r="L72" s="119"/>
      <c r="M72" s="119"/>
      <c r="N72" s="119"/>
      <c r="O72" s="119"/>
      <c r="P72" s="119"/>
      <c r="Q72" s="119"/>
      <c r="R72" s="119"/>
      <c r="S72" s="119"/>
      <c r="T72" s="119"/>
      <c r="U72" s="119"/>
      <c r="V72" s="119"/>
      <c r="W72" s="119"/>
      <c r="X72" s="119"/>
      <c r="Y72" s="119"/>
      <c r="Z72" s="119"/>
      <c r="AA72" s="119"/>
      <c r="AB72" s="119"/>
      <c r="AC72" s="119"/>
      <c r="AD72" s="119"/>
      <c r="AE72" s="119"/>
      <c r="AF72" s="119"/>
      <c r="AG72" s="119"/>
      <c r="AH72" s="119"/>
      <c r="AI72" s="119"/>
      <c r="AJ72" s="119"/>
      <c r="AK72" s="119"/>
      <c r="AL72" s="119"/>
      <c r="AM72" s="119"/>
    </row>
    <row r="73" spans="2:39">
      <c r="B73" s="119"/>
      <c r="C73" s="119"/>
      <c r="D73" s="119"/>
      <c r="E73" s="119"/>
      <c r="F73" s="119"/>
      <c r="G73" s="119"/>
      <c r="H73" s="119"/>
      <c r="I73" s="119"/>
      <c r="J73" s="119"/>
      <c r="K73" s="119"/>
      <c r="L73" s="119"/>
      <c r="M73" s="119"/>
      <c r="N73" s="119"/>
      <c r="O73" s="119"/>
      <c r="P73" s="119"/>
      <c r="Q73" s="119"/>
      <c r="R73" s="119"/>
      <c r="S73" s="119"/>
      <c r="T73" s="119"/>
      <c r="U73" s="119"/>
      <c r="V73" s="119"/>
      <c r="W73" s="119"/>
      <c r="X73" s="119"/>
      <c r="Y73" s="119"/>
      <c r="Z73" s="119"/>
      <c r="AA73" s="119"/>
      <c r="AB73" s="119"/>
      <c r="AC73" s="119"/>
      <c r="AD73" s="119"/>
      <c r="AE73" s="119"/>
      <c r="AF73" s="119"/>
      <c r="AG73" s="119"/>
      <c r="AH73" s="119"/>
      <c r="AI73" s="119"/>
      <c r="AJ73" s="119"/>
      <c r="AK73" s="119"/>
      <c r="AL73" s="119"/>
      <c r="AM73" s="119"/>
    </row>
    <row r="74" spans="2:39">
      <c r="B74" s="119"/>
      <c r="C74" s="119"/>
      <c r="D74" s="119"/>
      <c r="E74" s="119"/>
      <c r="F74" s="119"/>
      <c r="G74" s="119"/>
      <c r="H74" s="119"/>
      <c r="I74" s="119"/>
      <c r="J74" s="119"/>
      <c r="K74" s="119"/>
      <c r="L74" s="119"/>
      <c r="M74" s="119"/>
      <c r="N74" s="119"/>
      <c r="O74" s="119"/>
      <c r="P74" s="119"/>
      <c r="Q74" s="119"/>
      <c r="R74" s="119"/>
      <c r="S74" s="119"/>
      <c r="T74" s="119"/>
      <c r="U74" s="119"/>
      <c r="V74" s="119"/>
      <c r="W74" s="119"/>
      <c r="X74" s="119"/>
      <c r="Y74" s="119"/>
      <c r="Z74" s="119"/>
      <c r="AA74" s="119"/>
      <c r="AB74" s="119"/>
      <c r="AC74" s="119"/>
      <c r="AD74" s="119"/>
      <c r="AE74" s="119"/>
      <c r="AF74" s="119"/>
      <c r="AG74" s="119"/>
      <c r="AH74" s="119"/>
      <c r="AI74" s="119"/>
      <c r="AJ74" s="119"/>
      <c r="AK74" s="119"/>
      <c r="AL74" s="119"/>
      <c r="AM74" s="119"/>
    </row>
    <row r="75" spans="2:39">
      <c r="B75" s="119"/>
      <c r="C75" s="119"/>
      <c r="D75" s="119"/>
      <c r="E75" s="119"/>
      <c r="F75" s="119"/>
      <c r="G75" s="119"/>
      <c r="H75" s="119"/>
      <c r="I75" s="119"/>
      <c r="J75" s="119"/>
      <c r="K75" s="119"/>
      <c r="L75" s="119"/>
      <c r="M75" s="119"/>
      <c r="N75" s="119"/>
      <c r="O75" s="119"/>
      <c r="P75" s="119"/>
      <c r="Q75" s="119"/>
      <c r="R75" s="119"/>
      <c r="S75" s="119"/>
      <c r="T75" s="119"/>
      <c r="U75" s="119"/>
      <c r="V75" s="119"/>
      <c r="W75" s="119"/>
      <c r="X75" s="119"/>
      <c r="Y75" s="119"/>
      <c r="Z75" s="119"/>
      <c r="AA75" s="119"/>
      <c r="AB75" s="119"/>
      <c r="AC75" s="119"/>
      <c r="AD75" s="119"/>
      <c r="AE75" s="119"/>
      <c r="AF75" s="119"/>
      <c r="AG75" s="119"/>
      <c r="AH75" s="119"/>
      <c r="AI75" s="119"/>
      <c r="AJ75" s="119"/>
      <c r="AK75" s="119"/>
      <c r="AL75" s="119"/>
      <c r="AM75" s="119"/>
    </row>
    <row r="76" spans="2:39">
      <c r="B76" s="119"/>
      <c r="C76" s="119"/>
      <c r="D76" s="119"/>
      <c r="E76" s="119"/>
      <c r="F76" s="119"/>
      <c r="G76" s="119"/>
      <c r="H76" s="119"/>
      <c r="I76" s="119"/>
      <c r="J76" s="119"/>
      <c r="K76" s="119"/>
      <c r="L76" s="119"/>
      <c r="M76" s="119"/>
      <c r="N76" s="119"/>
      <c r="O76" s="119"/>
      <c r="P76" s="119"/>
      <c r="Q76" s="119"/>
      <c r="R76" s="119"/>
      <c r="S76" s="119"/>
      <c r="T76" s="119"/>
      <c r="U76" s="119"/>
      <c r="V76" s="119"/>
      <c r="W76" s="119"/>
      <c r="X76" s="119"/>
      <c r="Y76" s="119"/>
      <c r="Z76" s="119"/>
      <c r="AA76" s="119"/>
      <c r="AB76" s="119"/>
      <c r="AC76" s="119"/>
      <c r="AD76" s="119"/>
      <c r="AE76" s="119"/>
      <c r="AF76" s="119"/>
      <c r="AG76" s="119"/>
      <c r="AH76" s="119"/>
      <c r="AI76" s="119"/>
      <c r="AJ76" s="119"/>
      <c r="AK76" s="119"/>
      <c r="AL76" s="119"/>
      <c r="AM76" s="119"/>
    </row>
    <row r="77" spans="2:39">
      <c r="B77" s="119"/>
      <c r="C77" s="119"/>
      <c r="D77" s="119"/>
      <c r="E77" s="119"/>
      <c r="F77" s="119"/>
      <c r="G77" s="119"/>
      <c r="H77" s="119"/>
      <c r="I77" s="119"/>
      <c r="J77" s="119"/>
      <c r="K77" s="119"/>
      <c r="L77" s="119"/>
      <c r="M77" s="119"/>
      <c r="N77" s="119"/>
      <c r="O77" s="119"/>
      <c r="P77" s="119"/>
      <c r="Q77" s="119"/>
      <c r="R77" s="119"/>
      <c r="S77" s="119"/>
      <c r="T77" s="119"/>
      <c r="U77" s="119"/>
      <c r="V77" s="119"/>
      <c r="W77" s="119"/>
      <c r="X77" s="119"/>
      <c r="Y77" s="119"/>
      <c r="Z77" s="119"/>
      <c r="AA77" s="119"/>
      <c r="AB77" s="119"/>
      <c r="AC77" s="119"/>
      <c r="AD77" s="119"/>
      <c r="AE77" s="119"/>
      <c r="AF77" s="119"/>
      <c r="AG77" s="119"/>
      <c r="AH77" s="119"/>
      <c r="AI77" s="119"/>
      <c r="AJ77" s="119"/>
      <c r="AK77" s="119"/>
      <c r="AL77" s="119"/>
      <c r="AM77" s="119"/>
    </row>
    <row r="78" spans="2:39">
      <c r="B78" s="119"/>
      <c r="C78" s="119"/>
      <c r="D78" s="119"/>
      <c r="E78" s="119"/>
      <c r="F78" s="119"/>
      <c r="G78" s="119"/>
      <c r="H78" s="119"/>
      <c r="I78" s="119"/>
      <c r="J78" s="119"/>
      <c r="K78" s="119"/>
      <c r="L78" s="119"/>
      <c r="M78" s="119"/>
      <c r="N78" s="119"/>
      <c r="O78" s="119"/>
      <c r="P78" s="119"/>
      <c r="Q78" s="119"/>
      <c r="R78" s="119"/>
      <c r="S78" s="119"/>
      <c r="T78" s="119"/>
      <c r="U78" s="119"/>
      <c r="V78" s="119"/>
      <c r="W78" s="119"/>
      <c r="X78" s="119"/>
      <c r="Y78" s="119"/>
      <c r="Z78" s="119"/>
      <c r="AA78" s="119"/>
      <c r="AB78" s="119"/>
      <c r="AC78" s="119"/>
      <c r="AD78" s="119"/>
      <c r="AE78" s="119"/>
      <c r="AF78" s="119"/>
      <c r="AG78" s="119"/>
      <c r="AH78" s="119"/>
      <c r="AI78" s="119"/>
      <c r="AJ78" s="119"/>
      <c r="AK78" s="119"/>
      <c r="AL78" s="119"/>
      <c r="AM78" s="119"/>
    </row>
    <row r="79" spans="2:39">
      <c r="B79" s="119"/>
      <c r="C79" s="119"/>
      <c r="D79" s="119"/>
      <c r="E79" s="119"/>
      <c r="F79" s="119"/>
      <c r="G79" s="119"/>
      <c r="H79" s="119"/>
      <c r="I79" s="119"/>
      <c r="J79" s="119"/>
      <c r="K79" s="119"/>
      <c r="L79" s="119"/>
      <c r="M79" s="119"/>
      <c r="N79" s="119"/>
      <c r="O79" s="119"/>
      <c r="P79" s="119"/>
      <c r="Q79" s="119"/>
      <c r="R79" s="119"/>
      <c r="S79" s="119"/>
      <c r="T79" s="119"/>
      <c r="U79" s="119"/>
      <c r="V79" s="119"/>
      <c r="W79" s="119"/>
      <c r="X79" s="119"/>
      <c r="Y79" s="119"/>
      <c r="Z79" s="119"/>
      <c r="AA79" s="119"/>
      <c r="AB79" s="119"/>
      <c r="AC79" s="119"/>
      <c r="AD79" s="119"/>
      <c r="AE79" s="119"/>
      <c r="AF79" s="119"/>
      <c r="AG79" s="119"/>
      <c r="AH79" s="119"/>
      <c r="AI79" s="119"/>
      <c r="AJ79" s="119"/>
      <c r="AK79" s="119"/>
      <c r="AL79" s="119"/>
      <c r="AM79" s="119"/>
    </row>
    <row r="80" spans="2:39">
      <c r="B80" s="119"/>
      <c r="C80" s="119"/>
      <c r="D80" s="119"/>
      <c r="E80" s="119"/>
      <c r="F80" s="119"/>
      <c r="G80" s="119"/>
      <c r="H80" s="119"/>
      <c r="I80" s="119"/>
      <c r="J80" s="119"/>
      <c r="K80" s="119"/>
      <c r="L80" s="119"/>
      <c r="M80" s="119"/>
      <c r="N80" s="119"/>
      <c r="O80" s="119"/>
      <c r="P80" s="119"/>
      <c r="Q80" s="119"/>
      <c r="R80" s="119"/>
      <c r="S80" s="119"/>
      <c r="T80" s="119"/>
      <c r="U80" s="119"/>
      <c r="V80" s="119"/>
      <c r="W80" s="119"/>
      <c r="X80" s="119"/>
      <c r="Y80" s="119"/>
      <c r="Z80" s="119"/>
      <c r="AA80" s="119"/>
      <c r="AB80" s="119"/>
      <c r="AC80" s="119"/>
      <c r="AD80" s="119"/>
      <c r="AE80" s="119"/>
      <c r="AF80" s="119"/>
      <c r="AG80" s="119"/>
      <c r="AH80" s="119"/>
      <c r="AI80" s="119"/>
      <c r="AJ80" s="119"/>
      <c r="AK80" s="119"/>
      <c r="AL80" s="119"/>
      <c r="AM80" s="119"/>
    </row>
    <row r="81" spans="2:39">
      <c r="B81" s="119"/>
      <c r="C81" s="119"/>
      <c r="D81" s="119"/>
      <c r="E81" s="119"/>
      <c r="F81" s="119"/>
      <c r="G81" s="119"/>
      <c r="H81" s="119"/>
      <c r="I81" s="119"/>
      <c r="J81" s="119"/>
      <c r="K81" s="119"/>
      <c r="L81" s="119"/>
      <c r="M81" s="119"/>
      <c r="N81" s="119"/>
      <c r="O81" s="119"/>
      <c r="P81" s="119"/>
      <c r="Q81" s="119"/>
      <c r="R81" s="119"/>
      <c r="S81" s="119"/>
      <c r="T81" s="119"/>
      <c r="U81" s="119"/>
      <c r="V81" s="119"/>
      <c r="W81" s="119"/>
      <c r="X81" s="119"/>
      <c r="Y81" s="119"/>
      <c r="Z81" s="119"/>
      <c r="AA81" s="119"/>
      <c r="AB81" s="119"/>
      <c r="AC81" s="119"/>
      <c r="AD81" s="119"/>
      <c r="AE81" s="119"/>
      <c r="AF81" s="119"/>
      <c r="AG81" s="119"/>
      <c r="AH81" s="119"/>
      <c r="AI81" s="119"/>
      <c r="AJ81" s="119"/>
      <c r="AK81" s="119"/>
      <c r="AL81" s="119"/>
      <c r="AM81" s="119"/>
    </row>
    <row r="82" spans="2:39">
      <c r="B82" s="119"/>
      <c r="C82" s="119"/>
      <c r="D82" s="119"/>
      <c r="E82" s="119"/>
      <c r="F82" s="119"/>
      <c r="G82" s="119"/>
      <c r="H82" s="119"/>
      <c r="I82" s="119"/>
      <c r="J82" s="119"/>
      <c r="K82" s="119"/>
      <c r="L82" s="119"/>
      <c r="M82" s="119"/>
      <c r="N82" s="119"/>
      <c r="O82" s="119"/>
      <c r="P82" s="119"/>
      <c r="Q82" s="119"/>
      <c r="R82" s="119"/>
      <c r="S82" s="119"/>
      <c r="T82" s="119"/>
      <c r="U82" s="119"/>
      <c r="V82" s="119"/>
      <c r="W82" s="119"/>
      <c r="X82" s="119"/>
      <c r="Y82" s="119"/>
      <c r="Z82" s="119"/>
      <c r="AA82" s="119"/>
      <c r="AB82" s="119"/>
      <c r="AC82" s="119"/>
      <c r="AD82" s="119"/>
      <c r="AE82" s="119"/>
      <c r="AF82" s="119"/>
      <c r="AG82" s="119"/>
      <c r="AH82" s="119"/>
      <c r="AI82" s="119"/>
      <c r="AJ82" s="119"/>
      <c r="AK82" s="119"/>
      <c r="AL82" s="119"/>
      <c r="AM82" s="119"/>
    </row>
  </sheetData>
  <mergeCells count="33">
    <mergeCell ref="AB55:AD55"/>
    <mergeCell ref="AK4:AM4"/>
    <mergeCell ref="AB4:AD4"/>
    <mergeCell ref="AB54:AF54"/>
    <mergeCell ref="AH4:AJ4"/>
    <mergeCell ref="AE4:AG4"/>
    <mergeCell ref="O54:T54"/>
    <mergeCell ref="H4:J4"/>
    <mergeCell ref="E4:G4"/>
    <mergeCell ref="B54:F54"/>
    <mergeCell ref="B55:D55"/>
    <mergeCell ref="O55:Q55"/>
    <mergeCell ref="AK2:AM2"/>
    <mergeCell ref="K1:M1"/>
    <mergeCell ref="X1:Z1"/>
    <mergeCell ref="U4:W4"/>
    <mergeCell ref="X4:Z4"/>
    <mergeCell ref="AB3:AM3"/>
    <mergeCell ref="AK1:AM1"/>
    <mergeCell ref="AA3:AA5"/>
    <mergeCell ref="R4:T4"/>
    <mergeCell ref="B1:I1"/>
    <mergeCell ref="O1:V1"/>
    <mergeCell ref="AB1:AI1"/>
    <mergeCell ref="A3:A5"/>
    <mergeCell ref="B3:M3"/>
    <mergeCell ref="N3:N5"/>
    <mergeCell ref="O3:Z3"/>
    <mergeCell ref="B4:D4"/>
    <mergeCell ref="O4:Q4"/>
    <mergeCell ref="K4:M4"/>
    <mergeCell ref="K2:M2"/>
    <mergeCell ref="X2:Z2"/>
  </mergeCells>
  <phoneticPr fontId="46" type="noConversion"/>
  <pageMargins left="0.59055118110236204" right="0.511811023622047" top="0.511811023622047" bottom="0.511811023622047" header="0" footer="0.43307086614173201"/>
  <pageSetup paperSize="448" firstPageNumber="75" orientation="portrait" useFirstPageNumber="1" r:id="rId1"/>
  <headerFooter>
    <oddFooter>&amp;C&amp;"Times New Roman,Regular"&amp;8&amp;P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>
  <sheetPr codeName="Sheet29"/>
  <dimension ref="A1:O49"/>
  <sheetViews>
    <sheetView showWhiteSpace="0" topLeftCell="A31" zoomScale="130" zoomScaleNormal="130" workbookViewId="0">
      <selection activeCell="H48" sqref="H48"/>
    </sheetView>
  </sheetViews>
  <sheetFormatPr defaultColWidth="9.140625" defaultRowHeight="11.25"/>
  <cols>
    <col min="1" max="1" width="8.5703125" style="10" customWidth="1"/>
    <col min="2" max="2" width="9.42578125" style="10" customWidth="1"/>
    <col min="3" max="4" width="11.7109375" style="10" customWidth="1"/>
    <col min="5" max="5" width="12" style="10" customWidth="1"/>
    <col min="6" max="6" width="11.85546875" style="10" customWidth="1"/>
    <col min="7" max="7" width="11.140625" style="10" customWidth="1"/>
    <col min="8" max="16384" width="9.140625" style="10"/>
  </cols>
  <sheetData>
    <row r="1" spans="1:15" s="47" customFormat="1" ht="36" customHeight="1">
      <c r="B1" s="2198" t="s">
        <v>2360</v>
      </c>
      <c r="C1" s="2198"/>
      <c r="D1" s="2198"/>
      <c r="E1" s="2198"/>
      <c r="F1" s="2199" t="s">
        <v>585</v>
      </c>
      <c r="G1" s="2199"/>
    </row>
    <row r="2" spans="1:15" ht="11.25" customHeight="1">
      <c r="A2" s="2188"/>
      <c r="B2" s="2188"/>
      <c r="C2" s="2188"/>
      <c r="D2" s="2188"/>
      <c r="E2" s="2188"/>
      <c r="F2" s="2200" t="s">
        <v>766</v>
      </c>
      <c r="G2" s="2200"/>
    </row>
    <row r="3" spans="1:15" s="54" customFormat="1" ht="15.75" customHeight="1">
      <c r="A3" s="2105" t="s">
        <v>739</v>
      </c>
      <c r="B3" s="2201" t="s">
        <v>768</v>
      </c>
      <c r="C3" s="2030"/>
      <c r="D3" s="2030"/>
      <c r="E3" s="2030" t="s">
        <v>771</v>
      </c>
      <c r="F3" s="2030"/>
      <c r="G3" s="2030"/>
    </row>
    <row r="4" spans="1:15" s="54" customFormat="1" ht="15.75" customHeight="1">
      <c r="A4" s="2105"/>
      <c r="B4" s="165" t="s">
        <v>769</v>
      </c>
      <c r="C4" s="166" t="s">
        <v>770</v>
      </c>
      <c r="D4" s="28" t="s">
        <v>738</v>
      </c>
      <c r="E4" s="27" t="s">
        <v>769</v>
      </c>
      <c r="F4" s="27" t="s">
        <v>770</v>
      </c>
      <c r="G4" s="27" t="s">
        <v>738</v>
      </c>
    </row>
    <row r="5" spans="1:15" ht="14.1" customHeight="1">
      <c r="A5" s="497">
        <v>2008</v>
      </c>
      <c r="B5" s="474">
        <v>22</v>
      </c>
      <c r="C5" s="474">
        <v>1</v>
      </c>
      <c r="D5" s="474">
        <v>10.24</v>
      </c>
      <c r="E5" s="474">
        <v>22</v>
      </c>
      <c r="F5" s="474">
        <v>1</v>
      </c>
      <c r="G5" s="474">
        <v>10.24</v>
      </c>
    </row>
    <row r="6" spans="1:15" ht="14.1" customHeight="1">
      <c r="A6" s="373">
        <v>2009</v>
      </c>
      <c r="B6" s="19">
        <v>19</v>
      </c>
      <c r="C6" s="19">
        <v>0.05</v>
      </c>
      <c r="D6" s="19">
        <v>4.3883333333333336</v>
      </c>
      <c r="E6" s="19">
        <v>19</v>
      </c>
      <c r="F6" s="19">
        <v>0.05</v>
      </c>
      <c r="G6" s="19">
        <v>4.3883333333333336</v>
      </c>
    </row>
    <row r="7" spans="1:15" ht="14.1" customHeight="1">
      <c r="A7" s="497">
        <v>2010</v>
      </c>
      <c r="B7" s="474">
        <v>190</v>
      </c>
      <c r="C7" s="474">
        <v>2</v>
      </c>
      <c r="D7" s="474">
        <v>8.0549999999999997</v>
      </c>
      <c r="E7" s="474">
        <v>190</v>
      </c>
      <c r="F7" s="474">
        <v>2</v>
      </c>
      <c r="G7" s="474">
        <v>8.0549999999999997</v>
      </c>
    </row>
    <row r="8" spans="1:15" s="253" customFormat="1" ht="14.1" customHeight="1">
      <c r="A8" s="705">
        <v>2011</v>
      </c>
      <c r="B8" s="20">
        <v>24</v>
      </c>
      <c r="C8" s="20">
        <v>3</v>
      </c>
      <c r="D8" s="20">
        <v>11.16</v>
      </c>
      <c r="E8" s="20">
        <v>24</v>
      </c>
      <c r="F8" s="20">
        <v>3</v>
      </c>
      <c r="G8" s="20">
        <v>11.16</v>
      </c>
    </row>
    <row r="9" spans="1:15" s="253" customFormat="1" ht="14.1" customHeight="1">
      <c r="A9" s="916">
        <v>2012</v>
      </c>
      <c r="B9" s="474">
        <v>22</v>
      </c>
      <c r="C9" s="474">
        <v>3</v>
      </c>
      <c r="D9" s="474">
        <v>12.822499999999998</v>
      </c>
      <c r="E9" s="474">
        <v>22</v>
      </c>
      <c r="F9" s="474">
        <v>3</v>
      </c>
      <c r="G9" s="474">
        <v>12.822499999999998</v>
      </c>
    </row>
    <row r="10" spans="1:15" s="251" customFormat="1" ht="14.1" customHeight="1">
      <c r="A10" s="212">
        <v>2013</v>
      </c>
      <c r="B10" s="40">
        <v>13</v>
      </c>
      <c r="C10" s="40">
        <v>5.0999999999999996</v>
      </c>
      <c r="D10" s="40">
        <v>7.775833333333332</v>
      </c>
      <c r="E10" s="40">
        <v>13</v>
      </c>
      <c r="F10" s="40">
        <v>5.0999999999999996</v>
      </c>
      <c r="G10" s="40">
        <v>7.775833333333332</v>
      </c>
    </row>
    <row r="11" spans="1:15" s="251" customFormat="1" ht="14.1" customHeight="1">
      <c r="A11" s="456">
        <v>2014</v>
      </c>
      <c r="B11" s="440">
        <v>9.9</v>
      </c>
      <c r="C11" s="440">
        <v>5</v>
      </c>
      <c r="D11" s="440">
        <v>7.1399999999999979</v>
      </c>
      <c r="E11" s="440">
        <v>9.9</v>
      </c>
      <c r="F11" s="440">
        <v>5</v>
      </c>
      <c r="G11" s="440">
        <v>7.1399999999999979</v>
      </c>
    </row>
    <row r="12" spans="1:15" s="251" customFormat="1" ht="14.1" customHeight="1">
      <c r="A12" s="212">
        <v>2015</v>
      </c>
      <c r="B12" s="40">
        <v>9.9</v>
      </c>
      <c r="C12" s="40">
        <v>1.25</v>
      </c>
      <c r="D12" s="40">
        <v>6.1983333333333333</v>
      </c>
      <c r="E12" s="40">
        <v>9.9</v>
      </c>
      <c r="F12" s="40">
        <v>1.25</v>
      </c>
      <c r="G12" s="40">
        <v>6.145833333333333</v>
      </c>
    </row>
    <row r="13" spans="1:15" s="671" customFormat="1" ht="14.1" customHeight="1">
      <c r="A13" s="811">
        <v>2016</v>
      </c>
      <c r="B13" s="445">
        <v>5</v>
      </c>
      <c r="C13" s="445">
        <v>1</v>
      </c>
      <c r="D13" s="445">
        <v>3.6691666666666669</v>
      </c>
      <c r="E13" s="445">
        <v>5</v>
      </c>
      <c r="F13" s="445">
        <v>1</v>
      </c>
      <c r="G13" s="445">
        <v>3.6691666666666669</v>
      </c>
      <c r="H13" s="251"/>
      <c r="I13" s="376"/>
      <c r="J13" s="251"/>
      <c r="K13" s="251"/>
      <c r="L13" s="251"/>
      <c r="M13" s="251"/>
      <c r="N13" s="251"/>
      <c r="O13" s="251"/>
    </row>
    <row r="14" spans="1:15" s="671" customFormat="1" ht="14.1" customHeight="1">
      <c r="A14" s="738">
        <v>2017</v>
      </c>
      <c r="B14" s="213">
        <f>MAX(B15:B26)</f>
        <v>4.5</v>
      </c>
      <c r="C14" s="213">
        <f>MIN(C15:C26)</f>
        <v>1.5</v>
      </c>
      <c r="D14" s="213">
        <f>AVERAGE(D15:D26)</f>
        <v>3.7674999999999996</v>
      </c>
      <c r="E14" s="213">
        <f>MAX(E15:E26)</f>
        <v>4.5</v>
      </c>
      <c r="F14" s="213">
        <f>MIN(F15:F26)</f>
        <v>1.5</v>
      </c>
      <c r="G14" s="213">
        <f>AVERAGE(G15:G26)</f>
        <v>3.7674999999999996</v>
      </c>
      <c r="H14" s="251"/>
      <c r="I14" s="376"/>
      <c r="J14" s="251"/>
      <c r="K14" s="251"/>
      <c r="L14" s="251"/>
      <c r="M14" s="251"/>
      <c r="N14" s="251"/>
      <c r="O14" s="251"/>
    </row>
    <row r="15" spans="1:15" s="671" customFormat="1" ht="14.1" customHeight="1">
      <c r="A15" s="593" t="s">
        <v>822</v>
      </c>
      <c r="B15" s="434">
        <v>4.5</v>
      </c>
      <c r="C15" s="433">
        <v>2.25</v>
      </c>
      <c r="D15" s="433">
        <v>3.54</v>
      </c>
      <c r="E15" s="434">
        <v>4.5</v>
      </c>
      <c r="F15" s="433">
        <v>2.25</v>
      </c>
      <c r="G15" s="433">
        <v>3.54</v>
      </c>
      <c r="H15" s="251"/>
      <c r="I15" s="376"/>
      <c r="J15" s="251"/>
      <c r="K15" s="251"/>
      <c r="L15" s="251"/>
      <c r="M15" s="251"/>
      <c r="N15" s="251"/>
      <c r="O15" s="251"/>
    </row>
    <row r="16" spans="1:15" s="671" customFormat="1" ht="14.1" customHeight="1">
      <c r="A16" s="579" t="s">
        <v>823</v>
      </c>
      <c r="B16" s="389">
        <v>4.5</v>
      </c>
      <c r="C16" s="388">
        <v>2.75</v>
      </c>
      <c r="D16" s="389">
        <v>3.5</v>
      </c>
      <c r="E16" s="389">
        <v>4.5</v>
      </c>
      <c r="F16" s="388">
        <v>2.75</v>
      </c>
      <c r="G16" s="389">
        <v>3.5</v>
      </c>
      <c r="H16" s="251"/>
      <c r="I16" s="251"/>
      <c r="J16" s="251"/>
      <c r="K16" s="251"/>
      <c r="L16" s="251"/>
      <c r="M16" s="251"/>
      <c r="N16" s="251"/>
      <c r="O16" s="251"/>
    </row>
    <row r="17" spans="1:15" s="671" customFormat="1" ht="14.1" customHeight="1">
      <c r="A17" s="593" t="s">
        <v>815</v>
      </c>
      <c r="B17" s="434">
        <v>4.5</v>
      </c>
      <c r="C17" s="433">
        <v>2.25</v>
      </c>
      <c r="D17" s="434">
        <v>3.66</v>
      </c>
      <c r="E17" s="434">
        <v>4.5</v>
      </c>
      <c r="F17" s="433">
        <v>2.25</v>
      </c>
      <c r="G17" s="434">
        <v>3.66</v>
      </c>
      <c r="H17" s="251"/>
      <c r="I17" s="251"/>
      <c r="J17" s="251"/>
      <c r="K17" s="251"/>
      <c r="L17" s="251"/>
      <c r="M17" s="251"/>
      <c r="N17" s="251"/>
      <c r="O17" s="251"/>
    </row>
    <row r="18" spans="1:15" s="671" customFormat="1" ht="14.1" customHeight="1">
      <c r="A18" s="579" t="s">
        <v>824</v>
      </c>
      <c r="B18" s="389">
        <v>4.5</v>
      </c>
      <c r="C18" s="389">
        <v>1.8</v>
      </c>
      <c r="D18" s="389">
        <v>3.76</v>
      </c>
      <c r="E18" s="389">
        <v>4.5</v>
      </c>
      <c r="F18" s="389">
        <v>1.8</v>
      </c>
      <c r="G18" s="389">
        <v>3.76</v>
      </c>
      <c r="H18" s="251"/>
      <c r="I18" s="251"/>
      <c r="J18" s="251"/>
      <c r="K18" s="251"/>
      <c r="L18" s="251"/>
      <c r="M18" s="251"/>
      <c r="N18" s="251"/>
      <c r="O18" s="251"/>
    </row>
    <row r="19" spans="1:15" s="671" customFormat="1" ht="14.1" customHeight="1">
      <c r="A19" s="593" t="s">
        <v>825</v>
      </c>
      <c r="B19" s="434">
        <v>4.5</v>
      </c>
      <c r="C19" s="434">
        <v>1.75</v>
      </c>
      <c r="D19" s="434">
        <v>3.81</v>
      </c>
      <c r="E19" s="434">
        <v>4.5</v>
      </c>
      <c r="F19" s="434">
        <v>1.75</v>
      </c>
      <c r="G19" s="434">
        <v>3.81</v>
      </c>
      <c r="H19" s="251"/>
      <c r="I19" s="251"/>
      <c r="J19" s="251"/>
      <c r="K19" s="251"/>
      <c r="L19" s="251"/>
      <c r="M19" s="251"/>
      <c r="N19" s="251"/>
      <c r="O19" s="251"/>
    </row>
    <row r="20" spans="1:15" s="671" customFormat="1" ht="14.1" customHeight="1">
      <c r="A20" s="579" t="s">
        <v>816</v>
      </c>
      <c r="B20" s="389">
        <v>4.5</v>
      </c>
      <c r="C20" s="389">
        <v>1.8</v>
      </c>
      <c r="D20" s="389">
        <v>3.93</v>
      </c>
      <c r="E20" s="389">
        <v>4.5</v>
      </c>
      <c r="F20" s="389">
        <v>1.8</v>
      </c>
      <c r="G20" s="389">
        <v>3.93</v>
      </c>
      <c r="H20" s="251"/>
      <c r="I20" s="251"/>
      <c r="J20" s="251"/>
      <c r="K20" s="251"/>
      <c r="L20" s="251"/>
      <c r="M20" s="251"/>
      <c r="N20" s="251"/>
      <c r="O20" s="251"/>
    </row>
    <row r="21" spans="1:15" s="671" customFormat="1" ht="14.1" customHeight="1">
      <c r="A21" s="593" t="s">
        <v>818</v>
      </c>
      <c r="B21" s="434">
        <v>4.5</v>
      </c>
      <c r="C21" s="434">
        <v>1.5</v>
      </c>
      <c r="D21" s="434">
        <v>3.72</v>
      </c>
      <c r="E21" s="434">
        <v>4.5</v>
      </c>
      <c r="F21" s="434">
        <v>1.5</v>
      </c>
      <c r="G21" s="434">
        <v>3.72</v>
      </c>
      <c r="H21" s="251"/>
      <c r="I21" s="251"/>
      <c r="J21" s="251"/>
      <c r="K21" s="251"/>
      <c r="L21" s="251"/>
      <c r="M21" s="251"/>
      <c r="N21" s="251"/>
      <c r="O21" s="251"/>
    </row>
    <row r="22" spans="1:15" s="251" customFormat="1" ht="14.1" customHeight="1">
      <c r="A22" s="579" t="s">
        <v>819</v>
      </c>
      <c r="B22" s="389">
        <v>4.5</v>
      </c>
      <c r="C22" s="389">
        <v>1.5</v>
      </c>
      <c r="D22" s="389">
        <v>3.77</v>
      </c>
      <c r="E22" s="389">
        <v>4.5</v>
      </c>
      <c r="F22" s="389">
        <v>1.5</v>
      </c>
      <c r="G22" s="389">
        <v>3.77</v>
      </c>
    </row>
    <row r="23" spans="1:15" s="251" customFormat="1" ht="14.1" customHeight="1">
      <c r="A23" s="593" t="s">
        <v>813</v>
      </c>
      <c r="B23" s="434">
        <v>4.5</v>
      </c>
      <c r="C23" s="434">
        <v>1.75</v>
      </c>
      <c r="D23" s="434">
        <v>3.91</v>
      </c>
      <c r="E23" s="434">
        <v>4.5</v>
      </c>
      <c r="F23" s="434">
        <v>1.75</v>
      </c>
      <c r="G23" s="434">
        <v>3.91</v>
      </c>
    </row>
    <row r="24" spans="1:15" s="251" customFormat="1" ht="14.1" customHeight="1">
      <c r="A24" s="579" t="s">
        <v>820</v>
      </c>
      <c r="B24" s="389">
        <v>4.5</v>
      </c>
      <c r="C24" s="389">
        <v>1.8</v>
      </c>
      <c r="D24" s="389">
        <v>3.87</v>
      </c>
      <c r="E24" s="389">
        <v>4.5</v>
      </c>
      <c r="F24" s="389">
        <v>1.8</v>
      </c>
      <c r="G24" s="389">
        <v>3.87</v>
      </c>
    </row>
    <row r="25" spans="1:15" s="251" customFormat="1" ht="14.1" customHeight="1">
      <c r="A25" s="593" t="s">
        <v>821</v>
      </c>
      <c r="B25" s="434">
        <v>4.5</v>
      </c>
      <c r="C25" s="434">
        <v>1.8</v>
      </c>
      <c r="D25" s="434">
        <v>3.82</v>
      </c>
      <c r="E25" s="434">
        <v>4.5</v>
      </c>
      <c r="F25" s="434">
        <v>1.8</v>
      </c>
      <c r="G25" s="434">
        <v>3.82</v>
      </c>
    </row>
    <row r="26" spans="1:15" s="251" customFormat="1" ht="14.1" customHeight="1">
      <c r="A26" s="579" t="s">
        <v>814</v>
      </c>
      <c r="B26" s="389">
        <v>4.5</v>
      </c>
      <c r="C26" s="389">
        <v>1.8</v>
      </c>
      <c r="D26" s="389">
        <v>3.92</v>
      </c>
      <c r="E26" s="389">
        <v>4.5</v>
      </c>
      <c r="F26" s="389">
        <v>1.8</v>
      </c>
      <c r="G26" s="389">
        <v>3.92</v>
      </c>
    </row>
    <row r="27" spans="1:15" s="251" customFormat="1" ht="14.1" customHeight="1">
      <c r="A27" s="811">
        <v>2018</v>
      </c>
      <c r="B27" s="445">
        <f>MAX(B28:B39)</f>
        <v>5.5</v>
      </c>
      <c r="C27" s="445">
        <f>MIN(C28:C39)</f>
        <v>0.1</v>
      </c>
      <c r="D27" s="445">
        <f>AVERAGE(D28:D39)</f>
        <v>3.6691666666666669</v>
      </c>
      <c r="E27" s="445">
        <f>MAX(E28:E39)</f>
        <v>5.5</v>
      </c>
      <c r="F27" s="445">
        <f>MIN(F28:F39)</f>
        <v>0.1</v>
      </c>
      <c r="G27" s="445">
        <f>AVERAGE(G28:G39)</f>
        <v>3.6691666666666669</v>
      </c>
    </row>
    <row r="28" spans="1:15" s="251" customFormat="1" ht="14.1" customHeight="1">
      <c r="A28" s="579" t="s">
        <v>822</v>
      </c>
      <c r="B28" s="389">
        <v>4.5</v>
      </c>
      <c r="C28" s="389">
        <v>1.8</v>
      </c>
      <c r="D28" s="389">
        <v>3.9</v>
      </c>
      <c r="E28" s="389">
        <v>4.5</v>
      </c>
      <c r="F28" s="389">
        <v>1.8</v>
      </c>
      <c r="G28" s="389">
        <v>3.9</v>
      </c>
    </row>
    <row r="29" spans="1:15" s="251" customFormat="1" ht="14.1" customHeight="1">
      <c r="A29" s="593" t="s">
        <v>823</v>
      </c>
      <c r="B29" s="434">
        <v>4.75</v>
      </c>
      <c r="C29" s="434">
        <v>1.8</v>
      </c>
      <c r="D29" s="434">
        <v>4.1100000000000003</v>
      </c>
      <c r="E29" s="434">
        <v>4.75</v>
      </c>
      <c r="F29" s="434">
        <v>1.8</v>
      </c>
      <c r="G29" s="434">
        <v>4.1100000000000003</v>
      </c>
      <c r="H29" s="376"/>
      <c r="I29" s="376"/>
      <c r="J29" s="376"/>
      <c r="K29" s="376"/>
      <c r="L29" s="376"/>
      <c r="M29" s="376"/>
    </row>
    <row r="30" spans="1:15" s="251" customFormat="1" ht="14.1" customHeight="1">
      <c r="A30" s="579" t="s">
        <v>815</v>
      </c>
      <c r="B30" s="389">
        <v>5</v>
      </c>
      <c r="C30" s="389">
        <v>2</v>
      </c>
      <c r="D30" s="389">
        <v>4.4000000000000004</v>
      </c>
      <c r="E30" s="389">
        <v>5</v>
      </c>
      <c r="F30" s="389">
        <v>2</v>
      </c>
      <c r="G30" s="389">
        <v>4.4000000000000004</v>
      </c>
    </row>
    <row r="31" spans="1:15" s="251" customFormat="1" ht="14.1" customHeight="1">
      <c r="A31" s="593" t="s">
        <v>824</v>
      </c>
      <c r="B31" s="434">
        <v>5</v>
      </c>
      <c r="C31" s="434">
        <v>1</v>
      </c>
      <c r="D31" s="434">
        <v>4.3099999999999996</v>
      </c>
      <c r="E31" s="434">
        <v>5</v>
      </c>
      <c r="F31" s="434">
        <v>1</v>
      </c>
      <c r="G31" s="434">
        <v>4.3099999999999996</v>
      </c>
    </row>
    <row r="32" spans="1:15" s="251" customFormat="1" ht="14.1" customHeight="1">
      <c r="A32" s="579" t="s">
        <v>825</v>
      </c>
      <c r="B32" s="389">
        <v>5</v>
      </c>
      <c r="C32" s="389">
        <v>0.25</v>
      </c>
      <c r="D32" s="389">
        <v>2.96</v>
      </c>
      <c r="E32" s="389">
        <v>5</v>
      </c>
      <c r="F32" s="389">
        <v>0.25</v>
      </c>
      <c r="G32" s="389">
        <v>2.96</v>
      </c>
    </row>
    <row r="33" spans="1:7" s="251" customFormat="1" ht="14.1" customHeight="1">
      <c r="A33" s="593" t="s">
        <v>816</v>
      </c>
      <c r="B33" s="434">
        <v>5</v>
      </c>
      <c r="C33" s="434">
        <v>0.5</v>
      </c>
      <c r="D33" s="434">
        <v>3.41</v>
      </c>
      <c r="E33" s="434">
        <v>5</v>
      </c>
      <c r="F33" s="434">
        <v>0.5</v>
      </c>
      <c r="G33" s="434">
        <v>3.41</v>
      </c>
    </row>
    <row r="34" spans="1:7" s="251" customFormat="1" ht="14.1" customHeight="1">
      <c r="A34" s="579" t="s">
        <v>818</v>
      </c>
      <c r="B34" s="389">
        <v>5</v>
      </c>
      <c r="C34" s="389">
        <v>0.1</v>
      </c>
      <c r="D34" s="389">
        <v>2.17</v>
      </c>
      <c r="E34" s="389">
        <v>5</v>
      </c>
      <c r="F34" s="389">
        <v>0.1</v>
      </c>
      <c r="G34" s="389">
        <v>2.17</v>
      </c>
    </row>
    <row r="35" spans="1:7" s="251" customFormat="1" ht="14.1" customHeight="1">
      <c r="A35" s="593" t="s">
        <v>819</v>
      </c>
      <c r="B35" s="434">
        <v>5.5</v>
      </c>
      <c r="C35" s="434">
        <v>0.1</v>
      </c>
      <c r="D35" s="434">
        <v>3.31</v>
      </c>
      <c r="E35" s="434">
        <v>5.5</v>
      </c>
      <c r="F35" s="434">
        <v>0.1</v>
      </c>
      <c r="G35" s="434">
        <v>3.31</v>
      </c>
    </row>
    <row r="36" spans="1:7" s="11" customFormat="1" ht="14.1" customHeight="1">
      <c r="A36" s="579" t="s">
        <v>813</v>
      </c>
      <c r="B36" s="389">
        <v>5</v>
      </c>
      <c r="C36" s="389">
        <v>0.5</v>
      </c>
      <c r="D36" s="389">
        <v>4.22</v>
      </c>
      <c r="E36" s="389">
        <v>5</v>
      </c>
      <c r="F36" s="389">
        <v>0.5</v>
      </c>
      <c r="G36" s="389">
        <v>4.22</v>
      </c>
    </row>
    <row r="37" spans="1:7" s="11" customFormat="1" ht="14.1" customHeight="1">
      <c r="A37" s="593" t="s">
        <v>820</v>
      </c>
      <c r="B37" s="434">
        <v>5</v>
      </c>
      <c r="C37" s="434">
        <v>1.25</v>
      </c>
      <c r="D37" s="434">
        <v>3.65</v>
      </c>
      <c r="E37" s="434">
        <v>5</v>
      </c>
      <c r="F37" s="434">
        <v>1.25</v>
      </c>
      <c r="G37" s="434">
        <v>3.65</v>
      </c>
    </row>
    <row r="38" spans="1:7" s="11" customFormat="1" ht="14.1" customHeight="1">
      <c r="A38" s="579" t="s">
        <v>821</v>
      </c>
      <c r="B38" s="389">
        <v>5</v>
      </c>
      <c r="C38" s="389">
        <v>1.1499999999999999</v>
      </c>
      <c r="D38" s="389">
        <v>3.5</v>
      </c>
      <c r="E38" s="389">
        <v>5</v>
      </c>
      <c r="F38" s="389">
        <v>1.1499999999999999</v>
      </c>
      <c r="G38" s="389">
        <v>3.5</v>
      </c>
    </row>
    <row r="39" spans="1:7" s="11" customFormat="1" ht="14.1" customHeight="1">
      <c r="A39" s="593" t="s">
        <v>814</v>
      </c>
      <c r="B39" s="434">
        <v>5</v>
      </c>
      <c r="C39" s="434">
        <v>1.25</v>
      </c>
      <c r="D39" s="434">
        <v>4.09</v>
      </c>
      <c r="E39" s="434">
        <v>5</v>
      </c>
      <c r="F39" s="434">
        <v>1.25</v>
      </c>
      <c r="G39" s="434">
        <v>4.09</v>
      </c>
    </row>
    <row r="40" spans="1:7" s="11" customFormat="1" ht="14.1" customHeight="1">
      <c r="A40" s="738">
        <v>2019</v>
      </c>
      <c r="B40" s="213"/>
      <c r="C40" s="213"/>
      <c r="D40" s="213"/>
      <c r="E40" s="213"/>
      <c r="F40" s="213"/>
      <c r="G40" s="213"/>
    </row>
    <row r="41" spans="1:7" s="11" customFormat="1" ht="14.1" customHeight="1">
      <c r="A41" s="593" t="s">
        <v>822</v>
      </c>
      <c r="B41" s="434">
        <v>5</v>
      </c>
      <c r="C41" s="434">
        <v>1.75</v>
      </c>
      <c r="D41" s="434">
        <v>4.12</v>
      </c>
      <c r="E41" s="434">
        <v>5</v>
      </c>
      <c r="F41" s="434">
        <v>1.75</v>
      </c>
      <c r="G41" s="434">
        <v>4.12</v>
      </c>
    </row>
    <row r="42" spans="1:7" s="11" customFormat="1" ht="14.1" customHeight="1">
      <c r="A42" s="579" t="s">
        <v>823</v>
      </c>
      <c r="B42" s="389">
        <v>5</v>
      </c>
      <c r="C42" s="389">
        <v>1.75</v>
      </c>
      <c r="D42" s="389">
        <v>4.3600000000000003</v>
      </c>
      <c r="E42" s="389">
        <v>5</v>
      </c>
      <c r="F42" s="389">
        <v>1.75</v>
      </c>
      <c r="G42" s="389">
        <v>4.3600000000000003</v>
      </c>
    </row>
    <row r="43" spans="1:7" s="11" customFormat="1" ht="14.1" customHeight="1">
      <c r="A43" s="593" t="s">
        <v>815</v>
      </c>
      <c r="B43" s="434">
        <v>5</v>
      </c>
      <c r="C43" s="434">
        <v>3</v>
      </c>
      <c r="D43" s="434">
        <v>4.54</v>
      </c>
      <c r="E43" s="434">
        <v>5</v>
      </c>
      <c r="F43" s="434">
        <v>3</v>
      </c>
      <c r="G43" s="434">
        <v>4.54</v>
      </c>
    </row>
    <row r="44" spans="1:7" s="251" customFormat="1" ht="14.1" customHeight="1">
      <c r="A44" s="579" t="s">
        <v>824</v>
      </c>
      <c r="B44" s="389">
        <v>5</v>
      </c>
      <c r="C44" s="389">
        <v>3.55</v>
      </c>
      <c r="D44" s="389">
        <v>4.57</v>
      </c>
      <c r="E44" s="389">
        <v>5</v>
      </c>
      <c r="F44" s="389">
        <v>3.55</v>
      </c>
      <c r="G44" s="389">
        <v>4.57</v>
      </c>
    </row>
    <row r="45" spans="1:7" s="251" customFormat="1" ht="14.1" customHeight="1" thickBot="1">
      <c r="A45" s="1692" t="s">
        <v>825</v>
      </c>
      <c r="B45" s="707">
        <v>5</v>
      </c>
      <c r="C45" s="707">
        <v>3.25</v>
      </c>
      <c r="D45" s="707">
        <v>4.54</v>
      </c>
      <c r="E45" s="707">
        <v>5</v>
      </c>
      <c r="F45" s="707">
        <v>3.25</v>
      </c>
      <c r="G45" s="707">
        <v>4.54</v>
      </c>
    </row>
    <row r="46" spans="1:7">
      <c r="A46" s="176" t="s">
        <v>615</v>
      </c>
      <c r="B46" s="1266" t="s">
        <v>2136</v>
      </c>
      <c r="C46" s="1266"/>
      <c r="D46" s="1266"/>
      <c r="E46" s="1266"/>
      <c r="F46" s="92"/>
      <c r="G46" s="11"/>
    </row>
    <row r="49" spans="3:3">
      <c r="C49" s="119"/>
    </row>
  </sheetData>
  <mergeCells count="7">
    <mergeCell ref="B1:E1"/>
    <mergeCell ref="F1:G1"/>
    <mergeCell ref="A2:E2"/>
    <mergeCell ref="F2:G2"/>
    <mergeCell ref="A3:A4"/>
    <mergeCell ref="B3:D3"/>
    <mergeCell ref="E3:G3"/>
  </mergeCells>
  <phoneticPr fontId="46" type="noConversion"/>
  <pageMargins left="0.62992125984252001" right="0.511811023622047" top="0.39370078740157499" bottom="0.118110236220472" header="0.25" footer="0"/>
  <pageSetup paperSize="448" firstPageNumber="78" orientation="portrait" useFirstPageNumber="1" r:id="rId1"/>
  <headerFooter alignWithMargins="0">
    <oddFooter>&amp;C&amp;"Times New Roman,Regular"&amp;8 78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4"/>
  <dimension ref="A1:CF110"/>
  <sheetViews>
    <sheetView zoomScale="140" zoomScaleNormal="140" workbookViewId="0">
      <pane ySplit="6" topLeftCell="A46" activePane="bottomLeft" state="frozen"/>
      <selection activeCell="I1" sqref="I1"/>
      <selection pane="bottomLeft" activeCell="I57" sqref="I57"/>
    </sheetView>
  </sheetViews>
  <sheetFormatPr defaultColWidth="9.140625" defaultRowHeight="11.25"/>
  <cols>
    <col min="1" max="7" width="8.85546875" style="10" customWidth="1"/>
    <col min="8" max="8" width="8.7109375" style="10" customWidth="1"/>
    <col min="9" max="9" width="9.28515625" style="10" customWidth="1"/>
    <col min="10" max="10" width="9" style="10" customWidth="1"/>
    <col min="11" max="11" width="9.5703125" style="10" customWidth="1"/>
    <col min="12" max="13" width="8.5703125" style="10" customWidth="1"/>
    <col min="14" max="14" width="8.85546875" style="10" customWidth="1"/>
    <col min="15" max="15" width="7.85546875" style="10" customWidth="1"/>
    <col min="16" max="16" width="8.42578125" style="10" customWidth="1"/>
    <col min="17" max="17" width="8" style="10" customWidth="1"/>
    <col min="18" max="19" width="9.42578125" style="10" customWidth="1"/>
    <col min="20" max="20" width="9" style="10" customWidth="1"/>
    <col min="21" max="21" width="9.140625" style="10" customWidth="1"/>
    <col min="22" max="22" width="9.7109375" style="10" customWidth="1"/>
    <col min="23" max="23" width="9.85546875" style="10" customWidth="1"/>
    <col min="24" max="24" width="9.140625" style="10"/>
    <col min="25" max="25" width="9.28515625" style="10" customWidth="1"/>
    <col min="26" max="26" width="8.85546875" style="10" customWidth="1"/>
    <col min="27" max="27" width="6.85546875" style="10" customWidth="1"/>
    <col min="28" max="28" width="7.7109375" style="10" customWidth="1"/>
    <col min="29" max="29" width="8.5703125" style="10" customWidth="1"/>
    <col min="30" max="30" width="10.28515625" style="10" customWidth="1"/>
    <col min="31" max="31" width="8.7109375" style="10" customWidth="1"/>
    <col min="32" max="32" width="8.5703125" style="10" customWidth="1"/>
    <col min="33" max="33" width="9" style="10" customWidth="1"/>
    <col min="34" max="34" width="9.28515625" style="10" customWidth="1"/>
    <col min="35" max="35" width="8.85546875" style="10" customWidth="1"/>
    <col min="36" max="36" width="9" style="10" customWidth="1"/>
    <col min="37" max="37" width="8.5703125" style="10" customWidth="1"/>
    <col min="38" max="38" width="11.42578125" style="10" customWidth="1"/>
    <col min="39" max="39" width="9.5703125" style="10" customWidth="1"/>
    <col min="40" max="40" width="9.28515625" style="10" customWidth="1"/>
    <col min="41" max="41" width="10.140625" style="10" customWidth="1"/>
    <col min="42" max="42" width="11" style="10" customWidth="1"/>
    <col min="43" max="43" width="9" style="10" customWidth="1"/>
    <col min="44" max="44" width="9.28515625" style="10" bestFit="1" customWidth="1"/>
    <col min="45" max="45" width="10.28515625" style="10" customWidth="1"/>
    <col min="46" max="46" width="9.28515625" style="10" customWidth="1"/>
    <col min="47" max="47" width="9.5703125" style="10" customWidth="1"/>
    <col min="48" max="48" width="10" style="10" customWidth="1"/>
    <col min="49" max="50" width="10.5703125" style="10" customWidth="1"/>
    <col min="51" max="51" width="8.28515625" style="10" customWidth="1"/>
    <col min="52" max="52" width="7.85546875" style="10" customWidth="1"/>
    <col min="53" max="53" width="7.28515625" style="10" customWidth="1"/>
    <col min="54" max="54" width="8.7109375" style="10" customWidth="1"/>
    <col min="55" max="55" width="7.42578125" style="10" customWidth="1"/>
    <col min="56" max="56" width="7.7109375" style="10" customWidth="1"/>
    <col min="57" max="57" width="7.42578125" style="10" customWidth="1"/>
    <col min="58" max="58" width="7.28515625" style="10" customWidth="1"/>
    <col min="59" max="59" width="8" style="10" customWidth="1"/>
    <col min="60" max="60" width="8.42578125" style="10" customWidth="1"/>
    <col min="61" max="61" width="8.7109375" style="10" customWidth="1"/>
    <col min="62" max="62" width="6.28515625" style="10" customWidth="1"/>
    <col min="63" max="64" width="6" style="10" customWidth="1"/>
    <col min="65" max="65" width="7.28515625" style="10" customWidth="1"/>
    <col min="66" max="66" width="5.85546875" style="10" customWidth="1"/>
    <col min="67" max="67" width="6.5703125" style="10" customWidth="1"/>
    <col min="68" max="68" width="8.85546875" style="10" customWidth="1"/>
    <col min="69" max="69" width="8.5703125" style="10" customWidth="1"/>
    <col min="70" max="70" width="7.85546875" style="10" customWidth="1"/>
    <col min="71" max="71" width="7.140625" style="10" customWidth="1"/>
    <col min="72" max="72" width="6.7109375" style="10" customWidth="1"/>
    <col min="73" max="74" width="6.42578125" style="10" customWidth="1"/>
    <col min="75" max="75" width="8.85546875" style="10" customWidth="1"/>
    <col min="76" max="76" width="5.42578125" style="10" customWidth="1"/>
    <col min="77" max="77" width="6.5703125" style="10" customWidth="1"/>
    <col min="78" max="78" width="7.7109375" style="10" customWidth="1"/>
    <col min="79" max="79" width="6.85546875" style="10" customWidth="1"/>
    <col min="80" max="80" width="6.7109375" style="10" customWidth="1"/>
    <col min="81" max="81" width="7.42578125" style="10" customWidth="1"/>
    <col min="82" max="82" width="7.5703125" style="10" customWidth="1"/>
    <col min="83" max="16384" width="9.140625" style="10"/>
  </cols>
  <sheetData>
    <row r="1" spans="3:84" s="47" customFormat="1" ht="13.5" customHeight="1">
      <c r="I1" s="1783" t="s">
        <v>164</v>
      </c>
      <c r="J1" s="1783"/>
      <c r="K1" s="1783"/>
      <c r="L1" s="1783"/>
      <c r="M1" s="1783"/>
      <c r="N1" s="1783"/>
      <c r="O1" s="1783"/>
      <c r="P1" s="1783"/>
      <c r="Q1" s="1783"/>
      <c r="R1" s="318" t="s">
        <v>165</v>
      </c>
      <c r="W1" s="1767" t="s">
        <v>510</v>
      </c>
      <c r="X1" s="1767"/>
      <c r="Y1" s="1767"/>
      <c r="Z1" s="319"/>
      <c r="AE1" s="1773" t="s">
        <v>164</v>
      </c>
      <c r="AF1" s="1773"/>
      <c r="AG1" s="1773"/>
      <c r="AH1" s="1773"/>
      <c r="AI1" s="1782" t="s">
        <v>509</v>
      </c>
      <c r="AJ1" s="1747"/>
      <c r="AN1" s="1767" t="s">
        <v>510</v>
      </c>
      <c r="AO1" s="1767"/>
      <c r="AP1" s="1767"/>
      <c r="AQ1" s="320"/>
      <c r="AR1" s="321"/>
      <c r="AS1" s="321"/>
      <c r="AT1" s="321"/>
      <c r="AU1" s="321"/>
      <c r="AV1" s="1761" t="s">
        <v>164</v>
      </c>
      <c r="AW1" s="1761"/>
      <c r="AX1" s="1761"/>
      <c r="AY1" s="1760" t="s">
        <v>509</v>
      </c>
      <c r="AZ1" s="1760"/>
      <c r="BA1" s="1760"/>
      <c r="BB1" s="1760"/>
      <c r="BC1" s="1760"/>
      <c r="BD1" s="1760"/>
      <c r="BE1" s="1760"/>
      <c r="BF1" s="1767" t="s">
        <v>510</v>
      </c>
      <c r="BG1" s="1767"/>
      <c r="BH1" s="1767"/>
      <c r="BJ1" s="319"/>
      <c r="BK1" s="319"/>
      <c r="BL1" s="319"/>
      <c r="BM1" s="319"/>
      <c r="BN1" s="319"/>
      <c r="BO1" s="319"/>
      <c r="BP1" s="1761" t="s">
        <v>164</v>
      </c>
      <c r="BQ1" s="1761"/>
      <c r="BR1" s="1761"/>
      <c r="BS1" s="1761"/>
      <c r="BT1" s="1760" t="s">
        <v>509</v>
      </c>
      <c r="BU1" s="1760"/>
      <c r="BV1" s="1760"/>
      <c r="BW1" s="184"/>
      <c r="BX1" s="184"/>
      <c r="CA1" s="184"/>
      <c r="CB1" s="1818" t="s">
        <v>831</v>
      </c>
      <c r="CC1" s="1818"/>
      <c r="CD1" s="1818"/>
    </row>
    <row r="2" spans="3:84" s="54" customFormat="1" ht="11.25" customHeight="1">
      <c r="I2" s="322"/>
      <c r="J2" s="322"/>
      <c r="K2" s="322"/>
      <c r="L2" s="322"/>
      <c r="M2" s="322"/>
      <c r="N2" s="322"/>
      <c r="O2" s="322"/>
      <c r="P2" s="1762" t="s">
        <v>2200</v>
      </c>
      <c r="Q2" s="1762"/>
      <c r="R2" s="54" t="s">
        <v>508</v>
      </c>
      <c r="W2" s="323"/>
      <c r="X2" s="1762" t="s">
        <v>31</v>
      </c>
      <c r="Y2" s="1762"/>
      <c r="Z2" s="323"/>
      <c r="AF2" s="323"/>
      <c r="AG2" s="1765" t="s">
        <v>2200</v>
      </c>
      <c r="AH2" s="1765"/>
      <c r="AI2" s="54" t="s">
        <v>508</v>
      </c>
      <c r="AN2" s="323"/>
      <c r="AO2" s="1765" t="s">
        <v>31</v>
      </c>
      <c r="AP2" s="1766"/>
      <c r="AQ2" s="324"/>
      <c r="AR2" s="324"/>
      <c r="AS2" s="324"/>
      <c r="AT2" s="324"/>
      <c r="AU2" s="324"/>
      <c r="AV2" s="324"/>
      <c r="AW2" s="1762" t="s">
        <v>2201</v>
      </c>
      <c r="AX2" s="1762"/>
      <c r="AY2" s="325" t="s">
        <v>508</v>
      </c>
      <c r="AZ2" s="323"/>
      <c r="BA2" s="323"/>
      <c r="BB2" s="323"/>
      <c r="BC2" s="323"/>
      <c r="BD2" s="323"/>
      <c r="BE2" s="323"/>
      <c r="BF2" s="323"/>
      <c r="BG2" s="1765" t="s">
        <v>31</v>
      </c>
      <c r="BH2" s="1766"/>
      <c r="BJ2" s="323"/>
      <c r="BK2" s="323"/>
      <c r="BL2" s="323"/>
      <c r="BM2" s="323"/>
      <c r="BN2" s="323"/>
      <c r="BO2" s="323"/>
      <c r="BP2" s="324"/>
      <c r="BR2" s="1811" t="s">
        <v>2202</v>
      </c>
      <c r="BS2" s="1811"/>
      <c r="BT2" s="1819" t="s">
        <v>508</v>
      </c>
      <c r="BU2" s="1819"/>
      <c r="BV2" s="323"/>
      <c r="BW2" s="323"/>
      <c r="BX2" s="323"/>
      <c r="CA2" s="735"/>
      <c r="CB2" s="152"/>
      <c r="CC2" s="1811" t="s">
        <v>31</v>
      </c>
      <c r="CD2" s="1811"/>
    </row>
    <row r="3" spans="3:84" s="340" customFormat="1" ht="24.75" customHeight="1">
      <c r="I3" s="1779" t="s">
        <v>2329</v>
      </c>
      <c r="J3" s="1792" t="s">
        <v>157</v>
      </c>
      <c r="K3" s="1793"/>
      <c r="L3" s="1794"/>
      <c r="M3" s="1785" t="s">
        <v>220</v>
      </c>
      <c r="N3" s="1785" t="s">
        <v>1558</v>
      </c>
      <c r="O3" s="1806" t="s">
        <v>912</v>
      </c>
      <c r="P3" s="1807"/>
      <c r="Q3" s="1808"/>
      <c r="R3" s="1809" t="s">
        <v>221</v>
      </c>
      <c r="S3" s="1809"/>
      <c r="T3" s="1810"/>
      <c r="U3" s="1796" t="s">
        <v>623</v>
      </c>
      <c r="V3" s="1772" t="s">
        <v>161</v>
      </c>
      <c r="W3" s="1772"/>
      <c r="X3" s="1772"/>
      <c r="Y3" s="1772"/>
      <c r="Z3" s="1784" t="s">
        <v>1559</v>
      </c>
      <c r="AA3" s="1772" t="s">
        <v>624</v>
      </c>
      <c r="AB3" s="1772"/>
      <c r="AC3" s="1772"/>
      <c r="AD3" s="1772"/>
      <c r="AE3" s="1763" t="s">
        <v>2157</v>
      </c>
      <c r="AF3" s="1763"/>
      <c r="AG3" s="1763"/>
      <c r="AH3" s="1763"/>
      <c r="AI3" s="1772" t="s">
        <v>625</v>
      </c>
      <c r="AJ3" s="1772"/>
      <c r="AK3" s="1772"/>
      <c r="AL3" s="1772"/>
      <c r="AM3" s="1763" t="s">
        <v>1574</v>
      </c>
      <c r="AN3" s="1763"/>
      <c r="AO3" s="1763"/>
      <c r="AP3" s="1763"/>
      <c r="AQ3" s="1769" t="s">
        <v>1559</v>
      </c>
      <c r="AR3" s="1772" t="s">
        <v>29</v>
      </c>
      <c r="AS3" s="1772"/>
      <c r="AT3" s="1772"/>
      <c r="AU3" s="1772"/>
      <c r="AV3" s="1772" t="s">
        <v>195</v>
      </c>
      <c r="AW3" s="1772"/>
      <c r="AX3" s="1772"/>
      <c r="AY3" s="1772" t="s">
        <v>2282</v>
      </c>
      <c r="AZ3" s="1772"/>
      <c r="BA3" s="1772"/>
      <c r="BB3" s="1764" t="s">
        <v>464</v>
      </c>
      <c r="BC3" s="1764" t="s">
        <v>1181</v>
      </c>
      <c r="BD3" s="1763" t="s">
        <v>963</v>
      </c>
      <c r="BE3" s="1763"/>
      <c r="BF3" s="1763"/>
      <c r="BG3" s="1763"/>
      <c r="BH3" s="1763"/>
      <c r="BI3" s="1779" t="s">
        <v>1559</v>
      </c>
      <c r="BJ3" s="1763" t="s">
        <v>169</v>
      </c>
      <c r="BK3" s="1763"/>
      <c r="BL3" s="1763"/>
      <c r="BM3" s="1778"/>
      <c r="BN3" s="1763"/>
      <c r="BO3" s="1764" t="s">
        <v>170</v>
      </c>
      <c r="BP3" s="1820" t="s">
        <v>914</v>
      </c>
      <c r="BQ3" s="1820"/>
      <c r="BR3" s="1764" t="s">
        <v>229</v>
      </c>
      <c r="BS3" s="1768" t="s">
        <v>1660</v>
      </c>
      <c r="BT3" s="1763" t="s">
        <v>237</v>
      </c>
      <c r="BU3" s="1763"/>
      <c r="BV3" s="1763"/>
      <c r="BW3" s="1763"/>
      <c r="BX3" s="1763"/>
      <c r="BY3" s="1763"/>
      <c r="BZ3" s="1763"/>
      <c r="CA3" s="1763"/>
      <c r="CB3" s="1763"/>
      <c r="CC3" s="1763"/>
      <c r="CD3" s="1763"/>
    </row>
    <row r="4" spans="3:84" s="340" customFormat="1" ht="27" customHeight="1">
      <c r="I4" s="1780"/>
      <c r="J4" s="1764" t="s">
        <v>2249</v>
      </c>
      <c r="K4" s="1764" t="s">
        <v>2116</v>
      </c>
      <c r="L4" s="1785" t="s">
        <v>1505</v>
      </c>
      <c r="M4" s="1786"/>
      <c r="N4" s="1788"/>
      <c r="O4" s="1785" t="s">
        <v>1560</v>
      </c>
      <c r="P4" s="1785" t="s">
        <v>235</v>
      </c>
      <c r="Q4" s="1076" t="s">
        <v>158</v>
      </c>
      <c r="R4" s="1804" t="s">
        <v>748</v>
      </c>
      <c r="S4" s="1805"/>
      <c r="T4" s="1795" t="s">
        <v>1207</v>
      </c>
      <c r="U4" s="1797"/>
      <c r="V4" s="1764" t="s">
        <v>2303</v>
      </c>
      <c r="W4" s="1790" t="s">
        <v>2304</v>
      </c>
      <c r="X4" s="1764" t="s">
        <v>1563</v>
      </c>
      <c r="Y4" s="1764" t="s">
        <v>957</v>
      </c>
      <c r="Z4" s="1784"/>
      <c r="AA4" s="1764" t="s">
        <v>236</v>
      </c>
      <c r="AB4" s="1764" t="s">
        <v>223</v>
      </c>
      <c r="AC4" s="1764" t="s">
        <v>222</v>
      </c>
      <c r="AD4" s="1764" t="s">
        <v>958</v>
      </c>
      <c r="AE4" s="1764" t="s">
        <v>1564</v>
      </c>
      <c r="AF4" s="1764" t="s">
        <v>224</v>
      </c>
      <c r="AG4" s="1764" t="s">
        <v>1565</v>
      </c>
      <c r="AH4" s="1764" t="s">
        <v>959</v>
      </c>
      <c r="AI4" s="1764" t="s">
        <v>1566</v>
      </c>
      <c r="AJ4" s="1764" t="s">
        <v>1567</v>
      </c>
      <c r="AK4" s="1764" t="s">
        <v>1568</v>
      </c>
      <c r="AL4" s="1764" t="s">
        <v>960</v>
      </c>
      <c r="AM4" s="1764" t="s">
        <v>961</v>
      </c>
      <c r="AN4" s="1768" t="s">
        <v>1569</v>
      </c>
      <c r="AO4" s="1764" t="s">
        <v>1570</v>
      </c>
      <c r="AP4" s="1764" t="s">
        <v>1205</v>
      </c>
      <c r="AQ4" s="1770"/>
      <c r="AR4" s="1764" t="s">
        <v>1571</v>
      </c>
      <c r="AS4" s="1764" t="s">
        <v>1572</v>
      </c>
      <c r="AT4" s="1764" t="s">
        <v>1575</v>
      </c>
      <c r="AU4" s="1764" t="s">
        <v>1573</v>
      </c>
      <c r="AV4" s="1764" t="s">
        <v>30</v>
      </c>
      <c r="AW4" s="1764" t="s">
        <v>1721</v>
      </c>
      <c r="AX4" s="1764" t="s">
        <v>962</v>
      </c>
      <c r="AY4" s="1764" t="s">
        <v>226</v>
      </c>
      <c r="AZ4" s="1764" t="s">
        <v>2288</v>
      </c>
      <c r="BA4" s="1775" t="s">
        <v>735</v>
      </c>
      <c r="BB4" s="1764"/>
      <c r="BC4" s="1764"/>
      <c r="BD4" s="1775" t="s">
        <v>166</v>
      </c>
      <c r="BE4" s="1775"/>
      <c r="BF4" s="1775" t="s">
        <v>167</v>
      </c>
      <c r="BG4" s="1775"/>
      <c r="BH4" s="1764" t="s">
        <v>2286</v>
      </c>
      <c r="BI4" s="1780"/>
      <c r="BJ4" s="1764" t="s">
        <v>172</v>
      </c>
      <c r="BK4" s="1764" t="s">
        <v>173</v>
      </c>
      <c r="BL4" s="1815" t="s">
        <v>228</v>
      </c>
      <c r="BM4" s="1816" t="s">
        <v>179</v>
      </c>
      <c r="BN4" s="1785" t="s">
        <v>2305</v>
      </c>
      <c r="BO4" s="1764"/>
      <c r="BP4" s="1764" t="s">
        <v>174</v>
      </c>
      <c r="BQ4" s="1768" t="s">
        <v>1659</v>
      </c>
      <c r="BR4" s="1764"/>
      <c r="BS4" s="1768"/>
      <c r="BT4" s="1799" t="s">
        <v>1232</v>
      </c>
      <c r="BU4" s="1799" t="s">
        <v>230</v>
      </c>
      <c r="BV4" s="1799" t="s">
        <v>1206</v>
      </c>
      <c r="BW4" s="1801" t="s">
        <v>1661</v>
      </c>
      <c r="BX4" s="1787" t="s">
        <v>175</v>
      </c>
      <c r="BY4" s="1812" t="s">
        <v>2068</v>
      </c>
      <c r="BZ4" s="1813"/>
      <c r="CA4" s="1814"/>
      <c r="CB4" s="1812" t="s">
        <v>2069</v>
      </c>
      <c r="CC4" s="1813"/>
      <c r="CD4" s="1814"/>
    </row>
    <row r="5" spans="3:84" s="340" customFormat="1" ht="45.6" customHeight="1">
      <c r="H5" s="263"/>
      <c r="I5" s="1780"/>
      <c r="J5" s="1764"/>
      <c r="K5" s="1764"/>
      <c r="L5" s="1787"/>
      <c r="M5" s="1787"/>
      <c r="N5" s="1789"/>
      <c r="O5" s="1787"/>
      <c r="P5" s="1787"/>
      <c r="Q5" s="1078" t="s">
        <v>830</v>
      </c>
      <c r="R5" s="1078" t="s">
        <v>1561</v>
      </c>
      <c r="S5" s="1078" t="s">
        <v>1562</v>
      </c>
      <c r="T5" s="1764"/>
      <c r="U5" s="1797"/>
      <c r="V5" s="1764"/>
      <c r="W5" s="1791"/>
      <c r="X5" s="1764"/>
      <c r="Y5" s="1764"/>
      <c r="Z5" s="1784"/>
      <c r="AA5" s="1764"/>
      <c r="AB5" s="1764"/>
      <c r="AC5" s="1764"/>
      <c r="AD5" s="1764"/>
      <c r="AE5" s="1764"/>
      <c r="AF5" s="1764"/>
      <c r="AG5" s="1764"/>
      <c r="AH5" s="1764"/>
      <c r="AI5" s="1764"/>
      <c r="AJ5" s="1764"/>
      <c r="AK5" s="1764"/>
      <c r="AL5" s="1764"/>
      <c r="AM5" s="1764"/>
      <c r="AN5" s="1768"/>
      <c r="AO5" s="1764"/>
      <c r="AP5" s="1764"/>
      <c r="AQ5" s="1770"/>
      <c r="AR5" s="1764"/>
      <c r="AS5" s="1764"/>
      <c r="AT5" s="1764"/>
      <c r="AU5" s="1764"/>
      <c r="AV5" s="1764"/>
      <c r="AW5" s="1764"/>
      <c r="AX5" s="1764"/>
      <c r="AY5" s="1764"/>
      <c r="AZ5" s="1764"/>
      <c r="BA5" s="1775"/>
      <c r="BB5" s="1764"/>
      <c r="BC5" s="1764"/>
      <c r="BD5" s="1197" t="s">
        <v>2287</v>
      </c>
      <c r="BE5" s="1077" t="s">
        <v>227</v>
      </c>
      <c r="BF5" s="1056" t="s">
        <v>168</v>
      </c>
      <c r="BG5" s="1077" t="s">
        <v>227</v>
      </c>
      <c r="BH5" s="1764"/>
      <c r="BI5" s="1780"/>
      <c r="BJ5" s="1764"/>
      <c r="BK5" s="1764"/>
      <c r="BL5" s="1815"/>
      <c r="BM5" s="1817"/>
      <c r="BN5" s="1787"/>
      <c r="BO5" s="1764"/>
      <c r="BP5" s="1764"/>
      <c r="BQ5" s="1768"/>
      <c r="BR5" s="1764"/>
      <c r="BS5" s="1768"/>
      <c r="BT5" s="1800"/>
      <c r="BU5" s="1800"/>
      <c r="BV5" s="1800"/>
      <c r="BW5" s="1799"/>
      <c r="BX5" s="1764"/>
      <c r="BY5" s="1239" t="s">
        <v>176</v>
      </c>
      <c r="BZ5" s="1240" t="s">
        <v>177</v>
      </c>
      <c r="CA5" s="1240" t="s">
        <v>1974</v>
      </c>
      <c r="CB5" s="1356" t="s">
        <v>176</v>
      </c>
      <c r="CC5" s="1356" t="s">
        <v>177</v>
      </c>
      <c r="CD5" s="1356" t="s">
        <v>1975</v>
      </c>
    </row>
    <row r="6" spans="3:84" s="197" customFormat="1" ht="13.5" customHeight="1">
      <c r="I6" s="1781"/>
      <c r="J6" s="196">
        <v>1</v>
      </c>
      <c r="K6" s="196">
        <v>2</v>
      </c>
      <c r="L6" s="196">
        <v>3</v>
      </c>
      <c r="M6" s="196">
        <v>4</v>
      </c>
      <c r="N6" s="196">
        <v>5</v>
      </c>
      <c r="O6" s="196">
        <v>6</v>
      </c>
      <c r="P6" s="196">
        <v>7</v>
      </c>
      <c r="Q6" s="196">
        <v>8</v>
      </c>
      <c r="R6" s="196">
        <v>9</v>
      </c>
      <c r="S6" s="196">
        <v>10</v>
      </c>
      <c r="T6" s="196">
        <v>11</v>
      </c>
      <c r="U6" s="196">
        <v>12</v>
      </c>
      <c r="V6" s="196">
        <v>13</v>
      </c>
      <c r="W6" s="196">
        <v>14</v>
      </c>
      <c r="X6" s="196">
        <v>15</v>
      </c>
      <c r="Y6" s="196">
        <v>16</v>
      </c>
      <c r="Z6" s="1784"/>
      <c r="AA6" s="196">
        <v>17</v>
      </c>
      <c r="AB6" s="196">
        <v>18</v>
      </c>
      <c r="AC6" s="196">
        <v>19</v>
      </c>
      <c r="AD6" s="196">
        <v>20</v>
      </c>
      <c r="AE6" s="196">
        <v>21</v>
      </c>
      <c r="AF6" s="196">
        <v>22</v>
      </c>
      <c r="AG6" s="196">
        <v>23</v>
      </c>
      <c r="AH6" s="196">
        <v>24</v>
      </c>
      <c r="AI6" s="196">
        <v>25</v>
      </c>
      <c r="AJ6" s="196">
        <v>26</v>
      </c>
      <c r="AK6" s="196">
        <v>27</v>
      </c>
      <c r="AL6" s="196">
        <v>28</v>
      </c>
      <c r="AM6" s="196">
        <v>29</v>
      </c>
      <c r="AN6" s="196">
        <v>30</v>
      </c>
      <c r="AO6" s="196">
        <v>31</v>
      </c>
      <c r="AP6" s="196">
        <v>32</v>
      </c>
      <c r="AQ6" s="1771"/>
      <c r="AR6" s="196">
        <v>33</v>
      </c>
      <c r="AS6" s="196">
        <v>34</v>
      </c>
      <c r="AT6" s="196">
        <v>35</v>
      </c>
      <c r="AU6" s="196">
        <v>36</v>
      </c>
      <c r="AV6" s="196">
        <v>37</v>
      </c>
      <c r="AW6" s="196">
        <v>38</v>
      </c>
      <c r="AX6" s="196">
        <v>39</v>
      </c>
      <c r="AY6" s="196">
        <v>40</v>
      </c>
      <c r="AZ6" s="196">
        <v>41</v>
      </c>
      <c r="BA6" s="196">
        <v>42</v>
      </c>
      <c r="BB6" s="196">
        <v>43</v>
      </c>
      <c r="BC6" s="196">
        <v>44</v>
      </c>
      <c r="BD6" s="196">
        <v>45</v>
      </c>
      <c r="BE6" s="196">
        <v>46</v>
      </c>
      <c r="BF6" s="196">
        <v>47</v>
      </c>
      <c r="BG6" s="196">
        <v>48</v>
      </c>
      <c r="BH6" s="196">
        <v>49</v>
      </c>
      <c r="BI6" s="1781"/>
      <c r="BJ6" s="145">
        <v>50</v>
      </c>
      <c r="BK6" s="145">
        <v>51</v>
      </c>
      <c r="BL6" s="145">
        <v>52</v>
      </c>
      <c r="BM6" s="145">
        <v>53</v>
      </c>
      <c r="BN6" s="145">
        <v>54</v>
      </c>
      <c r="BO6" s="145">
        <v>55</v>
      </c>
      <c r="BP6" s="145">
        <v>56</v>
      </c>
      <c r="BQ6" s="145">
        <v>57</v>
      </c>
      <c r="BR6" s="145">
        <v>58</v>
      </c>
      <c r="BS6" s="145">
        <v>59</v>
      </c>
      <c r="BT6" s="145">
        <v>60</v>
      </c>
      <c r="BU6" s="145">
        <v>61</v>
      </c>
      <c r="BV6" s="145">
        <v>62</v>
      </c>
      <c r="BW6" s="145">
        <v>63</v>
      </c>
      <c r="BX6" s="145">
        <v>64</v>
      </c>
      <c r="BY6" s="145">
        <v>65</v>
      </c>
      <c r="BZ6" s="145">
        <v>66</v>
      </c>
      <c r="CA6" s="196">
        <v>67</v>
      </c>
      <c r="CB6" s="145">
        <v>68</v>
      </c>
      <c r="CC6" s="196">
        <v>69</v>
      </c>
      <c r="CD6" s="145">
        <v>70</v>
      </c>
    </row>
    <row r="7" spans="3:84" s="38" customFormat="1" ht="10.7" customHeight="1">
      <c r="I7" s="348" t="s">
        <v>549</v>
      </c>
      <c r="J7" s="34">
        <v>35188.300000000003</v>
      </c>
      <c r="K7" s="35">
        <v>460.2</v>
      </c>
      <c r="L7" s="37">
        <f t="shared" ref="L7" si="0">J7+K7</f>
        <v>35648.5</v>
      </c>
      <c r="M7" s="35">
        <v>2958.6</v>
      </c>
      <c r="N7" s="37">
        <f t="shared" ref="N7" si="1">L7-M7</f>
        <v>32689.9</v>
      </c>
      <c r="O7" s="34">
        <v>5221.6000000000004</v>
      </c>
      <c r="P7" s="35">
        <v>15680.8</v>
      </c>
      <c r="Q7" s="35">
        <v>26517.599999999999</v>
      </c>
      <c r="R7" s="35">
        <v>189480.5</v>
      </c>
      <c r="S7" s="35">
        <f t="shared" ref="S7" si="2">Q7+R7</f>
        <v>215998.1</v>
      </c>
      <c r="T7" s="34">
        <f t="shared" ref="T7" si="3">P7+S7</f>
        <v>231678.9</v>
      </c>
      <c r="U7" s="35">
        <v>106.9</v>
      </c>
      <c r="V7" s="34">
        <f t="shared" ref="V7" si="4">N7+Q7+U7</f>
        <v>59314.400000000001</v>
      </c>
      <c r="W7" s="34">
        <f>R7+V7</f>
        <v>248794.9</v>
      </c>
      <c r="X7" s="35">
        <v>5031.3</v>
      </c>
      <c r="Y7" s="35">
        <v>253826.3</v>
      </c>
      <c r="Z7" s="348" t="s">
        <v>549</v>
      </c>
      <c r="AA7" s="37">
        <v>0</v>
      </c>
      <c r="AB7" s="35">
        <v>7117.1</v>
      </c>
      <c r="AC7" s="35">
        <v>175997.3</v>
      </c>
      <c r="AD7" s="35">
        <f t="shared" ref="AD7" si="5">AB7+AC7</f>
        <v>183114.4</v>
      </c>
      <c r="AE7" s="37">
        <v>0</v>
      </c>
      <c r="AF7" s="34">
        <v>2638.4</v>
      </c>
      <c r="AG7" s="35">
        <v>10887.8</v>
      </c>
      <c r="AH7" s="35">
        <f>AF7+AG7</f>
        <v>13526.199999999999</v>
      </c>
      <c r="AI7" s="35">
        <v>2148.6999999999998</v>
      </c>
      <c r="AJ7" s="35">
        <v>37538.400000000001</v>
      </c>
      <c r="AK7" s="34">
        <v>1553.9</v>
      </c>
      <c r="AL7" s="35">
        <f>AJ7+AK7</f>
        <v>39092.300000000003</v>
      </c>
      <c r="AM7" s="34">
        <f>AA7+AE7+AI7</f>
        <v>2148.6999999999998</v>
      </c>
      <c r="AN7" s="35">
        <f>AB7+AF7+AJ7</f>
        <v>47293.9</v>
      </c>
      <c r="AO7" s="34">
        <f>AC7+AG7+AK7</f>
        <v>188438.99999999997</v>
      </c>
      <c r="AP7" s="34">
        <f>AD7+AH7+AL7</f>
        <v>235732.90000000002</v>
      </c>
      <c r="AQ7" s="348" t="s">
        <v>549</v>
      </c>
      <c r="AR7" s="35">
        <v>758.8</v>
      </c>
      <c r="AS7" s="35">
        <v>6684.7</v>
      </c>
      <c r="AT7" s="35">
        <v>4086.1</v>
      </c>
      <c r="AU7" s="35">
        <v>1564.7</v>
      </c>
      <c r="AV7" s="35">
        <v>231718.2</v>
      </c>
      <c r="AW7" s="35">
        <v>3287.2</v>
      </c>
      <c r="AX7" s="35">
        <f t="shared" ref="AX7" si="6">AV7+AW7</f>
        <v>235005.40000000002</v>
      </c>
      <c r="AY7" s="34">
        <f>AX7*0.05</f>
        <v>11750.270000000002</v>
      </c>
      <c r="AZ7" s="336">
        <f t="shared" ref="AZ7:AZ9" si="7">BA7-AY7</f>
        <v>56.429999999998472</v>
      </c>
      <c r="BA7" s="34">
        <v>11806.7</v>
      </c>
      <c r="BB7" s="35">
        <v>601032.80000000005</v>
      </c>
      <c r="BC7" s="37">
        <f t="shared" ref="BC7" si="8">L7+BA7</f>
        <v>47455.199999999997</v>
      </c>
      <c r="BD7" s="35">
        <v>2271.4</v>
      </c>
      <c r="BE7" s="35">
        <v>23252.400000000001</v>
      </c>
      <c r="BF7" s="35">
        <v>1119.9000000000001</v>
      </c>
      <c r="BG7" s="35">
        <v>35472.699999999997</v>
      </c>
      <c r="BH7" s="35">
        <f>BD7+BE7+BF7+BG7</f>
        <v>62116.4</v>
      </c>
      <c r="BI7" s="348" t="s">
        <v>549</v>
      </c>
      <c r="BJ7" s="349">
        <v>30.41</v>
      </c>
      <c r="BK7" s="21">
        <v>-32.17</v>
      </c>
      <c r="BL7" s="21">
        <v>25.15</v>
      </c>
      <c r="BM7" s="21">
        <v>21.18</v>
      </c>
      <c r="BN7" s="21">
        <v>17.59</v>
      </c>
      <c r="BO7" s="35">
        <v>2.5299999999999998</v>
      </c>
      <c r="BP7" s="40">
        <v>479057.4</v>
      </c>
      <c r="BQ7" s="39">
        <v>24375719</v>
      </c>
      <c r="BR7" s="41">
        <v>6747</v>
      </c>
      <c r="BS7" s="35">
        <v>3383</v>
      </c>
      <c r="BT7" s="21">
        <f>AP7/AV7*100</f>
        <v>101.7325786235177</v>
      </c>
      <c r="BU7" s="21">
        <f>AV7/BR7</f>
        <v>34.343886171631837</v>
      </c>
      <c r="BV7" s="21">
        <f>AP7/BR7</f>
        <v>34.938921001926786</v>
      </c>
      <c r="BW7" s="21">
        <f>(M7+BA7)/AV7*100</f>
        <v>6.3720933444157604</v>
      </c>
      <c r="BX7" s="21">
        <v>5</v>
      </c>
      <c r="BY7" s="21">
        <v>6.95</v>
      </c>
      <c r="BZ7" s="46">
        <v>12.29</v>
      </c>
      <c r="CA7" s="36">
        <f t="shared" ref="CA7:CA12" si="9">BZ7-BY7</f>
        <v>5.339999999999999</v>
      </c>
      <c r="CB7" s="336" t="s">
        <v>481</v>
      </c>
      <c r="CC7" s="338" t="s">
        <v>481</v>
      </c>
      <c r="CD7" s="24" t="s">
        <v>481</v>
      </c>
    </row>
    <row r="8" spans="3:84" s="38" customFormat="1" ht="10.7" customHeight="1">
      <c r="I8" s="436" t="s">
        <v>102</v>
      </c>
      <c r="J8" s="432">
        <v>38970</v>
      </c>
      <c r="K8" s="437">
        <v>478.7</v>
      </c>
      <c r="L8" s="438">
        <v>39448.699999999997</v>
      </c>
      <c r="M8" s="437">
        <v>3399.5</v>
      </c>
      <c r="N8" s="438">
        <v>36049.199999999997</v>
      </c>
      <c r="O8" s="432">
        <v>7076.3</v>
      </c>
      <c r="P8" s="437">
        <v>18312.599999999999</v>
      </c>
      <c r="Q8" s="437">
        <v>30236.5</v>
      </c>
      <c r="R8" s="432">
        <v>230073</v>
      </c>
      <c r="S8" s="437">
        <v>260309.5</v>
      </c>
      <c r="T8" s="432">
        <v>278622.09999999998</v>
      </c>
      <c r="U8" s="437">
        <v>141.19999999999999</v>
      </c>
      <c r="V8" s="432">
        <v>66426.899999999994</v>
      </c>
      <c r="W8" s="432">
        <v>296499.90000000002</v>
      </c>
      <c r="X8" s="437">
        <v>6084.7</v>
      </c>
      <c r="Y8" s="437">
        <v>302584.60000000003</v>
      </c>
      <c r="Z8" s="436" t="s">
        <v>102</v>
      </c>
      <c r="AA8" s="438">
        <v>0</v>
      </c>
      <c r="AB8" s="432">
        <v>9644</v>
      </c>
      <c r="AC8" s="437">
        <v>204574.6</v>
      </c>
      <c r="AD8" s="437">
        <v>214218.6</v>
      </c>
      <c r="AE8" s="438">
        <v>0</v>
      </c>
      <c r="AF8" s="432">
        <v>2611.9</v>
      </c>
      <c r="AG8" s="437">
        <v>9103.2000000000007</v>
      </c>
      <c r="AH8" s="437">
        <v>11715.1</v>
      </c>
      <c r="AI8" s="437">
        <v>1545.7</v>
      </c>
      <c r="AJ8" s="437">
        <v>46863.8</v>
      </c>
      <c r="AK8" s="432">
        <v>2227.6</v>
      </c>
      <c r="AL8" s="437">
        <v>49091.4</v>
      </c>
      <c r="AM8" s="432">
        <v>1545.7</v>
      </c>
      <c r="AN8" s="437">
        <v>59119.700000000004</v>
      </c>
      <c r="AO8" s="432">
        <v>215905.40000000002</v>
      </c>
      <c r="AP8" s="432">
        <v>275025.10000000003</v>
      </c>
      <c r="AQ8" s="436" t="s">
        <v>102</v>
      </c>
      <c r="AR8" s="437">
        <v>1208.5</v>
      </c>
      <c r="AS8" s="432">
        <v>6102</v>
      </c>
      <c r="AT8" s="437">
        <v>2594.1999999999998</v>
      </c>
      <c r="AU8" s="437">
        <v>1213.5999999999999</v>
      </c>
      <c r="AV8" s="437">
        <v>278680.39999999997</v>
      </c>
      <c r="AW8" s="437">
        <v>3960.4</v>
      </c>
      <c r="AX8" s="437">
        <v>282640.8</v>
      </c>
      <c r="AY8" s="432">
        <f>AX8*0.05</f>
        <v>14132.04</v>
      </c>
      <c r="AZ8" s="426">
        <f t="shared" si="7"/>
        <v>9027.4599999999991</v>
      </c>
      <c r="BA8" s="432">
        <v>23159.5</v>
      </c>
      <c r="BB8" s="437">
        <v>704068.7</v>
      </c>
      <c r="BC8" s="438">
        <v>69424.600000000006</v>
      </c>
      <c r="BD8" s="432">
        <v>3973</v>
      </c>
      <c r="BE8" s="437">
        <v>28474.1</v>
      </c>
      <c r="BF8" s="437">
        <v>2797.6</v>
      </c>
      <c r="BG8" s="437">
        <v>44754.700000000004</v>
      </c>
      <c r="BH8" s="437">
        <v>79999.399999999994</v>
      </c>
      <c r="BI8" s="436" t="s">
        <v>102</v>
      </c>
      <c r="BJ8" s="439">
        <v>24.04</v>
      </c>
      <c r="BK8" s="440">
        <v>6.55</v>
      </c>
      <c r="BL8" s="440">
        <v>14.62</v>
      </c>
      <c r="BM8" s="440">
        <v>16.02</v>
      </c>
      <c r="BN8" s="440">
        <v>19.170000000000002</v>
      </c>
      <c r="BO8" s="437">
        <v>2.38</v>
      </c>
      <c r="BP8" s="440">
        <v>615413.53</v>
      </c>
      <c r="BQ8" s="437">
        <v>25624044</v>
      </c>
      <c r="BR8" s="441">
        <v>6936</v>
      </c>
      <c r="BS8" s="437">
        <v>3387</v>
      </c>
      <c r="BT8" s="440">
        <v>98.688354114605858</v>
      </c>
      <c r="BU8" s="440">
        <v>40.178835063437134</v>
      </c>
      <c r="BV8" s="440">
        <v>39.651831026528264</v>
      </c>
      <c r="BW8" s="440">
        <v>11.976227965798817</v>
      </c>
      <c r="BX8" s="440">
        <v>5</v>
      </c>
      <c r="BY8" s="440">
        <v>7.01</v>
      </c>
      <c r="BZ8" s="442">
        <v>11.87</v>
      </c>
      <c r="CA8" s="431">
        <f t="shared" si="9"/>
        <v>4.8599999999999994</v>
      </c>
      <c r="CB8" s="426" t="s">
        <v>481</v>
      </c>
      <c r="CC8" s="732" t="s">
        <v>481</v>
      </c>
      <c r="CD8" s="733" t="s">
        <v>481</v>
      </c>
    </row>
    <row r="9" spans="3:84" s="38" customFormat="1" ht="10.7" customHeight="1">
      <c r="I9" s="348" t="s">
        <v>98</v>
      </c>
      <c r="J9" s="34">
        <v>49947.3</v>
      </c>
      <c r="K9" s="35">
        <v>518.1</v>
      </c>
      <c r="L9" s="37">
        <v>50465.4</v>
      </c>
      <c r="M9" s="35">
        <v>4308.3</v>
      </c>
      <c r="N9" s="37">
        <v>46157.1</v>
      </c>
      <c r="O9" s="34">
        <v>7971.5</v>
      </c>
      <c r="P9" s="35">
        <v>20181.099999999999</v>
      </c>
      <c r="Q9" s="35">
        <v>41621.800000000003</v>
      </c>
      <c r="R9" s="34">
        <v>275042.8</v>
      </c>
      <c r="S9" s="35">
        <v>316664.59999999998</v>
      </c>
      <c r="T9" s="34">
        <v>336845.69999999995</v>
      </c>
      <c r="U9" s="35">
        <v>209.4</v>
      </c>
      <c r="V9" s="34">
        <v>87988.299999999988</v>
      </c>
      <c r="W9" s="34">
        <v>363031.1</v>
      </c>
      <c r="X9" s="35">
        <v>6935.3</v>
      </c>
      <c r="Y9" s="35">
        <v>369966.39999999997</v>
      </c>
      <c r="Z9" s="348" t="s">
        <v>98</v>
      </c>
      <c r="AA9" s="37">
        <v>0</v>
      </c>
      <c r="AB9" s="34">
        <v>10726.3</v>
      </c>
      <c r="AC9" s="35">
        <v>253455.9</v>
      </c>
      <c r="AD9" s="35">
        <v>264182.2</v>
      </c>
      <c r="AE9" s="37">
        <v>0</v>
      </c>
      <c r="AF9" s="34">
        <v>3865.2</v>
      </c>
      <c r="AG9" s="35">
        <v>10202.4</v>
      </c>
      <c r="AH9" s="35">
        <v>14067.599999999999</v>
      </c>
      <c r="AI9" s="35">
        <v>2127.4</v>
      </c>
      <c r="AJ9" s="35">
        <v>51891.3</v>
      </c>
      <c r="AK9" s="34">
        <v>4513.7</v>
      </c>
      <c r="AL9" s="34">
        <v>56405</v>
      </c>
      <c r="AM9" s="34">
        <v>2127.4</v>
      </c>
      <c r="AN9" s="35">
        <v>66482.8</v>
      </c>
      <c r="AO9" s="34">
        <v>268172</v>
      </c>
      <c r="AP9" s="34">
        <v>334654.8</v>
      </c>
      <c r="AQ9" s="348" t="s">
        <v>98</v>
      </c>
      <c r="AR9" s="35">
        <v>1749.5</v>
      </c>
      <c r="AS9" s="34">
        <v>5852.1</v>
      </c>
      <c r="AT9" s="35">
        <v>5087.3</v>
      </c>
      <c r="AU9" s="35">
        <v>1561.7</v>
      </c>
      <c r="AV9" s="35">
        <v>336869.7</v>
      </c>
      <c r="AW9" s="35">
        <v>3885.6</v>
      </c>
      <c r="AX9" s="35">
        <v>340755.3</v>
      </c>
      <c r="AY9" s="34">
        <f>AX9*0.055</f>
        <v>18741.541499999999</v>
      </c>
      <c r="AZ9" s="336">
        <f t="shared" si="7"/>
        <v>4726.4585000000006</v>
      </c>
      <c r="BA9" s="34">
        <v>23468</v>
      </c>
      <c r="BB9" s="35">
        <v>863330.4</v>
      </c>
      <c r="BC9" s="37">
        <v>81350</v>
      </c>
      <c r="BD9" s="34">
        <v>5.0999999999999996</v>
      </c>
      <c r="BE9" s="35">
        <v>21788.2</v>
      </c>
      <c r="BF9" s="35">
        <v>3141.2</v>
      </c>
      <c r="BG9" s="35">
        <v>49111.5</v>
      </c>
      <c r="BH9" s="34">
        <v>74046</v>
      </c>
      <c r="BI9" s="348" t="s">
        <v>98</v>
      </c>
      <c r="BJ9" s="349">
        <v>-6.52</v>
      </c>
      <c r="BK9" s="21">
        <v>20.77</v>
      </c>
      <c r="BL9" s="21">
        <v>24.24</v>
      </c>
      <c r="BM9" s="21">
        <v>17.89</v>
      </c>
      <c r="BN9" s="21">
        <v>22.44</v>
      </c>
      <c r="BO9" s="21">
        <v>2.2000000000000002</v>
      </c>
      <c r="BP9" s="40">
        <v>933097.39000000013</v>
      </c>
      <c r="BQ9" s="39">
        <v>30670124</v>
      </c>
      <c r="BR9" s="41">
        <v>7246</v>
      </c>
      <c r="BS9" s="35">
        <v>3394</v>
      </c>
      <c r="BT9" s="21">
        <v>99.342505425688316</v>
      </c>
      <c r="BU9" s="21">
        <v>46.490436102677343</v>
      </c>
      <c r="BV9" s="21">
        <v>46.184764007728397</v>
      </c>
      <c r="BW9" s="21">
        <v>10.447036346694286</v>
      </c>
      <c r="BX9" s="21">
        <v>5</v>
      </c>
      <c r="BY9" s="21">
        <v>6.01</v>
      </c>
      <c r="BZ9" s="46">
        <v>11.31</v>
      </c>
      <c r="CA9" s="36">
        <f t="shared" si="9"/>
        <v>5.3000000000000007</v>
      </c>
      <c r="CB9" s="336" t="s">
        <v>481</v>
      </c>
      <c r="CC9" s="338" t="s">
        <v>481</v>
      </c>
      <c r="CD9" s="24" t="s">
        <v>481</v>
      </c>
    </row>
    <row r="10" spans="3:84" s="35" customFormat="1" ht="10.7" customHeight="1">
      <c r="I10" s="436" t="s">
        <v>241</v>
      </c>
      <c r="J10" s="432">
        <v>59915.5</v>
      </c>
      <c r="K10" s="432">
        <v>611.4</v>
      </c>
      <c r="L10" s="438">
        <v>60526.9</v>
      </c>
      <c r="M10" s="432">
        <v>5731.8</v>
      </c>
      <c r="N10" s="438">
        <v>54795.1</v>
      </c>
      <c r="O10" s="432">
        <v>9482</v>
      </c>
      <c r="P10" s="432">
        <v>24919.8</v>
      </c>
      <c r="Q10" s="432">
        <v>48106.2</v>
      </c>
      <c r="R10" s="432">
        <v>337418.9</v>
      </c>
      <c r="S10" s="437">
        <v>385525.10000000003</v>
      </c>
      <c r="T10" s="432">
        <v>410444.9</v>
      </c>
      <c r="U10" s="432">
        <v>199.8</v>
      </c>
      <c r="V10" s="432">
        <v>103101.09999999999</v>
      </c>
      <c r="W10" s="432">
        <v>440520</v>
      </c>
      <c r="X10" s="432">
        <v>4976</v>
      </c>
      <c r="Y10" s="432">
        <v>445496</v>
      </c>
      <c r="Z10" s="436" t="s">
        <v>241</v>
      </c>
      <c r="AA10" s="432">
        <v>0</v>
      </c>
      <c r="AB10" s="432">
        <v>13830.7</v>
      </c>
      <c r="AC10" s="432">
        <v>312803.5</v>
      </c>
      <c r="AD10" s="432">
        <v>326634.2</v>
      </c>
      <c r="AE10" s="432">
        <v>0</v>
      </c>
      <c r="AF10" s="432">
        <v>4371.8999999999996</v>
      </c>
      <c r="AG10" s="432">
        <v>16670.400000000001</v>
      </c>
      <c r="AH10" s="432">
        <v>21042.300000000003</v>
      </c>
      <c r="AI10" s="432">
        <v>3080.3</v>
      </c>
      <c r="AJ10" s="432">
        <v>66704</v>
      </c>
      <c r="AK10" s="432">
        <v>8095.2</v>
      </c>
      <c r="AL10" s="432">
        <v>74799.199999999997</v>
      </c>
      <c r="AM10" s="432">
        <v>3080.3</v>
      </c>
      <c r="AN10" s="432">
        <v>84906.6</v>
      </c>
      <c r="AO10" s="432">
        <v>337569.10000000003</v>
      </c>
      <c r="AP10" s="432">
        <v>422475.7</v>
      </c>
      <c r="AQ10" s="436" t="s">
        <v>241</v>
      </c>
      <c r="AR10" s="432">
        <v>1959.3</v>
      </c>
      <c r="AS10" s="432">
        <v>17833.400000000001</v>
      </c>
      <c r="AT10" s="432">
        <v>3960.3</v>
      </c>
      <c r="AU10" s="432">
        <v>2329.1999999999998</v>
      </c>
      <c r="AV10" s="432">
        <v>410470.7</v>
      </c>
      <c r="AW10" s="432">
        <v>5461.7</v>
      </c>
      <c r="AX10" s="432">
        <v>415932.4</v>
      </c>
      <c r="AY10" s="432">
        <v>24955.944</v>
      </c>
      <c r="AZ10" s="426">
        <v>4051.7560000000012</v>
      </c>
      <c r="BA10" s="438">
        <v>29007.7</v>
      </c>
      <c r="BB10" s="432">
        <v>1087850.3</v>
      </c>
      <c r="BC10" s="438">
        <v>89534.6</v>
      </c>
      <c r="BD10" s="432">
        <v>10732.9</v>
      </c>
      <c r="BE10" s="432">
        <v>20625.2</v>
      </c>
      <c r="BF10" s="432">
        <v>2591</v>
      </c>
      <c r="BG10" s="432">
        <v>63715.1</v>
      </c>
      <c r="BH10" s="432">
        <v>97664.2</v>
      </c>
      <c r="BI10" s="436" t="s">
        <v>241</v>
      </c>
      <c r="BJ10" s="440">
        <v>34.89</v>
      </c>
      <c r="BK10" s="440">
        <v>28.72</v>
      </c>
      <c r="BL10" s="440">
        <v>25.84</v>
      </c>
      <c r="BM10" s="440">
        <v>27.41</v>
      </c>
      <c r="BN10" s="440">
        <v>21.34</v>
      </c>
      <c r="BO10" s="440">
        <v>2.08</v>
      </c>
      <c r="BP10" s="440">
        <v>1149439.29</v>
      </c>
      <c r="BQ10" s="441">
        <v>26162053</v>
      </c>
      <c r="BR10" s="441">
        <v>7712</v>
      </c>
      <c r="BS10" s="441">
        <v>3414</v>
      </c>
      <c r="BT10" s="440">
        <v>102.92469109244581</v>
      </c>
      <c r="BU10" s="440">
        <v>53.224935165975104</v>
      </c>
      <c r="BV10" s="440">
        <v>54.781600103734441</v>
      </c>
      <c r="BW10" s="440">
        <v>8.4633324619759698</v>
      </c>
      <c r="BX10" s="440">
        <v>5</v>
      </c>
      <c r="BY10" s="440">
        <v>7.27</v>
      </c>
      <c r="BZ10" s="440">
        <v>12.42</v>
      </c>
      <c r="CA10" s="431">
        <f t="shared" si="9"/>
        <v>5.15</v>
      </c>
      <c r="CB10" s="426" t="s">
        <v>481</v>
      </c>
      <c r="CC10" s="732" t="s">
        <v>481</v>
      </c>
      <c r="CD10" s="733" t="s">
        <v>481</v>
      </c>
    </row>
    <row r="11" spans="3:84" s="39" customFormat="1" ht="10.7" customHeight="1">
      <c r="I11" s="747" t="s">
        <v>1367</v>
      </c>
      <c r="J11" s="78">
        <v>64200.7</v>
      </c>
      <c r="K11" s="78">
        <v>695.8</v>
      </c>
      <c r="L11" s="350">
        <v>64896.5</v>
      </c>
      <c r="M11" s="78">
        <v>6479.4</v>
      </c>
      <c r="N11" s="350">
        <v>58417.1</v>
      </c>
      <c r="O11" s="78">
        <v>11992.2</v>
      </c>
      <c r="P11" s="78">
        <v>31574.2</v>
      </c>
      <c r="Q11" s="78">
        <v>51060.4</v>
      </c>
      <c r="R11" s="78">
        <v>407388.1</v>
      </c>
      <c r="S11" s="39">
        <v>458448.5</v>
      </c>
      <c r="T11" s="78">
        <v>490022.7</v>
      </c>
      <c r="U11" s="78">
        <v>243.9</v>
      </c>
      <c r="V11" s="78">
        <v>109721.4</v>
      </c>
      <c r="W11" s="78">
        <v>517109.5</v>
      </c>
      <c r="X11" s="78">
        <v>2533.6999999999998</v>
      </c>
      <c r="Y11" s="78">
        <v>519643.2</v>
      </c>
      <c r="Z11" s="747" t="s">
        <v>1367</v>
      </c>
      <c r="AA11" s="78">
        <v>0</v>
      </c>
      <c r="AB11" s="78">
        <v>14190.3</v>
      </c>
      <c r="AC11" s="78">
        <v>373614.6</v>
      </c>
      <c r="AD11" s="78">
        <v>387804.89999999997</v>
      </c>
      <c r="AE11" s="78">
        <v>0</v>
      </c>
      <c r="AF11" s="78">
        <v>2534.6999999999998</v>
      </c>
      <c r="AG11" s="78">
        <v>21317.5</v>
      </c>
      <c r="AH11" s="78">
        <v>23852.2</v>
      </c>
      <c r="AI11" s="78">
        <v>5173</v>
      </c>
      <c r="AJ11" s="78">
        <v>86057.1</v>
      </c>
      <c r="AK11" s="78">
        <v>9370.7999999999993</v>
      </c>
      <c r="AL11" s="78">
        <v>95427.900000000009</v>
      </c>
      <c r="AM11" s="78">
        <v>5173</v>
      </c>
      <c r="AN11" s="78">
        <v>102782.1</v>
      </c>
      <c r="AO11" s="78">
        <v>404302.89999999997</v>
      </c>
      <c r="AP11" s="78">
        <v>507085</v>
      </c>
      <c r="AQ11" s="747" t="s">
        <v>1367</v>
      </c>
      <c r="AR11" s="78">
        <v>2320</v>
      </c>
      <c r="AS11" s="78">
        <v>21671.599999999999</v>
      </c>
      <c r="AT11" s="78">
        <v>9197</v>
      </c>
      <c r="AU11" s="78">
        <v>3377.7</v>
      </c>
      <c r="AV11" s="78">
        <v>490038.80000000005</v>
      </c>
      <c r="AW11" s="78">
        <v>7141.5</v>
      </c>
      <c r="AX11" s="78">
        <v>497180.30000000005</v>
      </c>
      <c r="AY11" s="78">
        <v>29830.818000000003</v>
      </c>
      <c r="AZ11" s="342">
        <v>2831.4819999999963</v>
      </c>
      <c r="BA11" s="350">
        <v>32662.3</v>
      </c>
      <c r="BB11" s="78">
        <v>1296703.2</v>
      </c>
      <c r="BC11" s="350">
        <v>97558.8</v>
      </c>
      <c r="BD11" s="78">
        <v>9829.8000000000011</v>
      </c>
      <c r="BE11" s="78">
        <v>27482.100000000002</v>
      </c>
      <c r="BF11" s="78">
        <v>3379.1</v>
      </c>
      <c r="BG11" s="78">
        <v>82057.899999999994</v>
      </c>
      <c r="BH11" s="78">
        <v>122748.9</v>
      </c>
      <c r="BI11" s="747" t="s">
        <v>1367</v>
      </c>
      <c r="BJ11" s="40">
        <v>25.15</v>
      </c>
      <c r="BK11" s="40">
        <v>-5.01</v>
      </c>
      <c r="BL11" s="40">
        <v>19.72</v>
      </c>
      <c r="BM11" s="40">
        <v>19.53</v>
      </c>
      <c r="BN11" s="40">
        <v>17.39</v>
      </c>
      <c r="BO11" s="40">
        <v>2.04</v>
      </c>
      <c r="BP11" s="40">
        <v>1032945.5599999999</v>
      </c>
      <c r="BQ11" s="211">
        <v>22064500</v>
      </c>
      <c r="BR11" s="211">
        <v>8059</v>
      </c>
      <c r="BS11" s="211">
        <v>3449</v>
      </c>
      <c r="BT11" s="40">
        <v>103.47854088288517</v>
      </c>
      <c r="BU11" s="40">
        <v>60.806402779501184</v>
      </c>
      <c r="BV11" s="40">
        <v>62.921578359597966</v>
      </c>
      <c r="BW11" s="40">
        <v>7.9874695636345514</v>
      </c>
      <c r="BX11" s="40">
        <v>5</v>
      </c>
      <c r="BY11" s="40">
        <v>8.15</v>
      </c>
      <c r="BZ11" s="40">
        <v>13.75</v>
      </c>
      <c r="CA11" s="36">
        <f t="shared" si="9"/>
        <v>5.6</v>
      </c>
      <c r="CB11" s="342" t="s">
        <v>481</v>
      </c>
      <c r="CC11" s="748" t="s">
        <v>481</v>
      </c>
      <c r="CD11" s="340" t="s">
        <v>481</v>
      </c>
    </row>
    <row r="12" spans="3:84" s="39" customFormat="1" ht="10.7" customHeight="1">
      <c r="I12" s="436" t="s">
        <v>1333</v>
      </c>
      <c r="J12" s="432">
        <v>74633.600000000006</v>
      </c>
      <c r="K12" s="432">
        <v>738.7</v>
      </c>
      <c r="L12" s="438">
        <v>75372.3</v>
      </c>
      <c r="M12" s="432">
        <v>7819.4</v>
      </c>
      <c r="N12" s="438">
        <v>67552.899999999994</v>
      </c>
      <c r="O12" s="432">
        <v>16749.2</v>
      </c>
      <c r="P12" s="432">
        <v>37251.699999999997</v>
      </c>
      <c r="Q12" s="432">
        <v>55736.5</v>
      </c>
      <c r="R12" s="432">
        <v>479902.3</v>
      </c>
      <c r="S12" s="437">
        <v>535638.80000000005</v>
      </c>
      <c r="T12" s="432">
        <v>572890.5</v>
      </c>
      <c r="U12" s="432">
        <v>313.7</v>
      </c>
      <c r="V12" s="432">
        <v>123603.09999999999</v>
      </c>
      <c r="W12" s="432">
        <v>603505.4</v>
      </c>
      <c r="X12" s="432">
        <v>52.2</v>
      </c>
      <c r="Y12" s="432">
        <v>603557.6</v>
      </c>
      <c r="Z12" s="436" t="s">
        <v>1333</v>
      </c>
      <c r="AA12" s="432">
        <v>0</v>
      </c>
      <c r="AB12" s="432">
        <v>10424.6</v>
      </c>
      <c r="AC12" s="432">
        <v>417890.5</v>
      </c>
      <c r="AD12" s="432">
        <v>428315.1</v>
      </c>
      <c r="AE12" s="432">
        <v>0</v>
      </c>
      <c r="AF12" s="432">
        <v>939.6</v>
      </c>
      <c r="AG12" s="432">
        <v>18961.2</v>
      </c>
      <c r="AH12" s="432">
        <v>19900.8</v>
      </c>
      <c r="AI12" s="432">
        <v>6677.8</v>
      </c>
      <c r="AJ12" s="432">
        <v>123736.6</v>
      </c>
      <c r="AK12" s="432">
        <v>11125.2</v>
      </c>
      <c r="AL12" s="432">
        <v>134861.80000000002</v>
      </c>
      <c r="AM12" s="432">
        <v>6677.8</v>
      </c>
      <c r="AN12" s="432">
        <v>135100.80000000002</v>
      </c>
      <c r="AO12" s="432">
        <v>447976.9</v>
      </c>
      <c r="AP12" s="432">
        <v>583077.69999999995</v>
      </c>
      <c r="AQ12" s="436" t="s">
        <v>1333</v>
      </c>
      <c r="AR12" s="432">
        <v>9784.5</v>
      </c>
      <c r="AS12" s="432">
        <v>9441.9</v>
      </c>
      <c r="AT12" s="432">
        <v>9640.7999999999993</v>
      </c>
      <c r="AU12" s="432">
        <v>147</v>
      </c>
      <c r="AV12" s="432">
        <v>572957.5</v>
      </c>
      <c r="AW12" s="432">
        <v>6509</v>
      </c>
      <c r="AX12" s="432">
        <v>579466.5</v>
      </c>
      <c r="AY12" s="432">
        <v>34767.99</v>
      </c>
      <c r="AZ12" s="426">
        <v>2035.4100000000035</v>
      </c>
      <c r="BA12" s="438">
        <v>36803.4</v>
      </c>
      <c r="BB12" s="432">
        <v>1462258.7</v>
      </c>
      <c r="BC12" s="438">
        <v>112175.70000000001</v>
      </c>
      <c r="BD12" s="432">
        <v>9204.5</v>
      </c>
      <c r="BE12" s="432">
        <v>21263.200000000001</v>
      </c>
      <c r="BF12" s="432">
        <v>3720.1000000000004</v>
      </c>
      <c r="BG12" s="432">
        <v>123280</v>
      </c>
      <c r="BH12" s="432">
        <v>157467.79999999999</v>
      </c>
      <c r="BI12" s="436" t="s">
        <v>1333</v>
      </c>
      <c r="BJ12" s="440">
        <v>19.91</v>
      </c>
      <c r="BK12" s="440">
        <v>9.06</v>
      </c>
      <c r="BL12" s="440">
        <v>10.85</v>
      </c>
      <c r="BM12" s="440">
        <v>12.4</v>
      </c>
      <c r="BN12" s="440">
        <v>16.71</v>
      </c>
      <c r="BO12" s="440">
        <v>1.99</v>
      </c>
      <c r="BP12" s="440">
        <v>1206241.4000000001</v>
      </c>
      <c r="BQ12" s="441">
        <v>23019773</v>
      </c>
      <c r="BR12" s="441">
        <v>8427</v>
      </c>
      <c r="BS12" s="441">
        <v>3499</v>
      </c>
      <c r="BT12" s="440">
        <v>101.76630901942988</v>
      </c>
      <c r="BU12" s="440">
        <v>67.990684703927855</v>
      </c>
      <c r="BV12" s="440">
        <v>69.191610300225463</v>
      </c>
      <c r="BW12" s="440">
        <v>7.7881518262698375</v>
      </c>
      <c r="BX12" s="440">
        <v>5</v>
      </c>
      <c r="BY12" s="440">
        <v>8.5399999999999991</v>
      </c>
      <c r="BZ12" s="440">
        <v>13.67</v>
      </c>
      <c r="CA12" s="431">
        <f t="shared" si="9"/>
        <v>5.1300000000000008</v>
      </c>
      <c r="CB12" s="428">
        <v>14.21</v>
      </c>
      <c r="CC12" s="431">
        <v>17.440000000000001</v>
      </c>
      <c r="CD12" s="431">
        <f>CC12-CB12</f>
        <v>3.2300000000000004</v>
      </c>
      <c r="CE12" s="40"/>
      <c r="CF12" s="40"/>
    </row>
    <row r="13" spans="3:84" s="388" customFormat="1" ht="10.7" customHeight="1">
      <c r="I13" s="341" t="s">
        <v>1664</v>
      </c>
      <c r="J13" s="343">
        <v>84714.1</v>
      </c>
      <c r="K13" s="343">
        <v>771.1</v>
      </c>
      <c r="L13" s="343">
        <v>85485.200000000012</v>
      </c>
      <c r="M13" s="343">
        <v>8576.7999999999993</v>
      </c>
      <c r="N13" s="343">
        <v>76908.400000000009</v>
      </c>
      <c r="O13" s="343">
        <v>14653.7</v>
      </c>
      <c r="P13" s="343">
        <v>39217.699999999997</v>
      </c>
      <c r="Q13" s="343">
        <v>64344.3</v>
      </c>
      <c r="R13" s="343">
        <v>558978.4</v>
      </c>
      <c r="S13" s="343">
        <v>623322.70000000007</v>
      </c>
      <c r="T13" s="343">
        <v>662540.4</v>
      </c>
      <c r="U13" s="343">
        <v>392.4</v>
      </c>
      <c r="V13" s="343">
        <v>141645.1</v>
      </c>
      <c r="W13" s="343">
        <v>700623.5</v>
      </c>
      <c r="X13" s="343" t="s">
        <v>481</v>
      </c>
      <c r="Y13" s="343" t="s">
        <v>481</v>
      </c>
      <c r="Z13" s="341" t="s">
        <v>1664</v>
      </c>
      <c r="AA13" s="343">
        <v>0</v>
      </c>
      <c r="AB13" s="343">
        <v>12682.9</v>
      </c>
      <c r="AC13" s="343">
        <v>472716.79999999999</v>
      </c>
      <c r="AD13" s="343">
        <v>485399.7</v>
      </c>
      <c r="AE13" s="343">
        <v>0</v>
      </c>
      <c r="AF13" s="343">
        <v>1119.4000000000001</v>
      </c>
      <c r="AG13" s="343">
        <v>18229.8</v>
      </c>
      <c r="AH13" s="343">
        <v>19349.2</v>
      </c>
      <c r="AI13" s="343">
        <v>7694</v>
      </c>
      <c r="AJ13" s="343">
        <v>152996.79999999999</v>
      </c>
      <c r="AK13" s="343">
        <v>12420.6</v>
      </c>
      <c r="AL13" s="343">
        <v>165417.4</v>
      </c>
      <c r="AM13" s="343">
        <v>7694</v>
      </c>
      <c r="AN13" s="343">
        <v>166799.09999999998</v>
      </c>
      <c r="AO13" s="343">
        <v>503367.19999999995</v>
      </c>
      <c r="AP13" s="343">
        <v>670166.30000000005</v>
      </c>
      <c r="AQ13" s="341" t="s">
        <v>1664</v>
      </c>
      <c r="AR13" s="343">
        <v>5706.9</v>
      </c>
      <c r="AS13" s="343">
        <v>5526.6</v>
      </c>
      <c r="AT13" s="343">
        <v>9945.7000000000007</v>
      </c>
      <c r="AU13" s="343">
        <v>26.2</v>
      </c>
      <c r="AV13" s="343">
        <v>662559.30000000005</v>
      </c>
      <c r="AW13" s="343">
        <v>6612.1</v>
      </c>
      <c r="AX13" s="343">
        <v>669171.4</v>
      </c>
      <c r="AY13" s="343">
        <v>43496.141000000003</v>
      </c>
      <c r="AZ13" s="343">
        <v>501.55899999999383</v>
      </c>
      <c r="BA13" s="343">
        <v>43997.7</v>
      </c>
      <c r="BB13" s="343">
        <v>1689948.5</v>
      </c>
      <c r="BC13" s="343">
        <v>129482.90000000001</v>
      </c>
      <c r="BD13" s="343">
        <v>78.099999999999994</v>
      </c>
      <c r="BE13" s="343">
        <v>16886.2</v>
      </c>
      <c r="BF13" s="343">
        <v>2769.5</v>
      </c>
      <c r="BG13" s="343">
        <v>152495.40000000002</v>
      </c>
      <c r="BH13" s="343">
        <v>172229.2</v>
      </c>
      <c r="BI13" s="341" t="s">
        <v>1664</v>
      </c>
      <c r="BJ13" s="389">
        <v>6.72</v>
      </c>
      <c r="BK13" s="389">
        <v>34.71</v>
      </c>
      <c r="BL13" s="389">
        <v>12.27</v>
      </c>
      <c r="BM13" s="389">
        <v>11.57</v>
      </c>
      <c r="BN13" s="389">
        <v>15.46</v>
      </c>
      <c r="BO13" s="40">
        <v>1.92</v>
      </c>
      <c r="BP13" s="389">
        <v>1349860.7500000002</v>
      </c>
      <c r="BQ13" s="577">
        <v>25358417</v>
      </c>
      <c r="BR13" s="577">
        <v>8794</v>
      </c>
      <c r="BS13" s="577">
        <v>3536</v>
      </c>
      <c r="BT13" s="389">
        <v>101.14812364719657</v>
      </c>
      <c r="BU13" s="389">
        <v>75.342199226745507</v>
      </c>
      <c r="BV13" s="389">
        <v>76.20722083238573</v>
      </c>
      <c r="BW13" s="389">
        <v>7.9350633218792641</v>
      </c>
      <c r="BX13" s="389">
        <v>5</v>
      </c>
      <c r="BY13" s="389">
        <v>7.79</v>
      </c>
      <c r="BZ13" s="389">
        <v>13.1</v>
      </c>
      <c r="CA13" s="389">
        <v>5.31</v>
      </c>
      <c r="CB13" s="389">
        <v>12.52</v>
      </c>
      <c r="CC13" s="389">
        <v>16.899999999999999</v>
      </c>
      <c r="CD13" s="389">
        <v>4.38</v>
      </c>
    </row>
    <row r="14" spans="3:84" s="388" customFormat="1" ht="10.7" customHeight="1">
      <c r="I14" s="425" t="s">
        <v>1754</v>
      </c>
      <c r="J14" s="672">
        <v>97361.5</v>
      </c>
      <c r="K14" s="672">
        <v>792.4</v>
      </c>
      <c r="L14" s="672">
        <v>98153.9</v>
      </c>
      <c r="M14" s="672">
        <v>10213.1</v>
      </c>
      <c r="N14" s="672">
        <v>87940.799999999988</v>
      </c>
      <c r="O14" s="672">
        <v>13317.8</v>
      </c>
      <c r="P14" s="672">
        <v>47116.6</v>
      </c>
      <c r="Q14" s="672">
        <v>72383.7</v>
      </c>
      <c r="R14" s="672">
        <v>626799.9</v>
      </c>
      <c r="S14" s="672">
        <v>699183.6</v>
      </c>
      <c r="T14" s="672">
        <v>746300.2</v>
      </c>
      <c r="U14" s="672">
        <v>489.7</v>
      </c>
      <c r="V14" s="672">
        <v>160814.20000000001</v>
      </c>
      <c r="W14" s="672">
        <v>787614.10000000009</v>
      </c>
      <c r="X14" s="649" t="s">
        <v>481</v>
      </c>
      <c r="Y14" s="649" t="s">
        <v>481</v>
      </c>
      <c r="Z14" s="425" t="s">
        <v>1754</v>
      </c>
      <c r="AA14" s="427">
        <v>0</v>
      </c>
      <c r="AB14" s="427">
        <v>15343.1</v>
      </c>
      <c r="AC14" s="427">
        <v>537605.1</v>
      </c>
      <c r="AD14" s="427">
        <v>552948.19999999995</v>
      </c>
      <c r="AE14" s="427">
        <v>0</v>
      </c>
      <c r="AF14" s="427">
        <v>1250.4000000000001</v>
      </c>
      <c r="AG14" s="427">
        <v>18779.3</v>
      </c>
      <c r="AH14" s="427">
        <v>20029.7</v>
      </c>
      <c r="AI14" s="427">
        <v>7130.6</v>
      </c>
      <c r="AJ14" s="427">
        <v>157018.4</v>
      </c>
      <c r="AK14" s="427">
        <v>13569.3</v>
      </c>
      <c r="AL14" s="427">
        <v>170587.69999999998</v>
      </c>
      <c r="AM14" s="427">
        <v>7130.6</v>
      </c>
      <c r="AN14" s="427">
        <v>173611.9</v>
      </c>
      <c r="AO14" s="427">
        <v>569953.70000000007</v>
      </c>
      <c r="AP14" s="427">
        <v>743565.59999999986</v>
      </c>
      <c r="AQ14" s="425" t="s">
        <v>1754</v>
      </c>
      <c r="AR14" s="672">
        <v>5604.1</v>
      </c>
      <c r="AS14" s="672">
        <v>4823.6000000000004</v>
      </c>
      <c r="AT14" s="672">
        <v>7890.2</v>
      </c>
      <c r="AU14" s="672">
        <v>217.9</v>
      </c>
      <c r="AV14" s="672">
        <v>746329.9</v>
      </c>
      <c r="AW14" s="672">
        <v>6653.4</v>
      </c>
      <c r="AX14" s="672">
        <v>752983.3</v>
      </c>
      <c r="AY14" s="672">
        <v>48943.914500000006</v>
      </c>
      <c r="AZ14" s="672">
        <v>894.98549999999523</v>
      </c>
      <c r="BA14" s="672">
        <v>49838.9</v>
      </c>
      <c r="BB14" s="672">
        <v>1962638.4</v>
      </c>
      <c r="BC14" s="672">
        <v>147992.79999999999</v>
      </c>
      <c r="BD14" s="672">
        <v>2435.4</v>
      </c>
      <c r="BE14" s="672">
        <v>8796.4</v>
      </c>
      <c r="BF14" s="672">
        <v>3334.2</v>
      </c>
      <c r="BG14" s="672">
        <v>155768.70000000001</v>
      </c>
      <c r="BH14" s="672">
        <v>170334.7</v>
      </c>
      <c r="BI14" s="425" t="s">
        <v>1754</v>
      </c>
      <c r="BJ14" s="434">
        <v>-6.19</v>
      </c>
      <c r="BK14" s="434">
        <v>34.71</v>
      </c>
      <c r="BL14" s="434">
        <v>12.27</v>
      </c>
      <c r="BM14" s="434">
        <v>11.57</v>
      </c>
      <c r="BN14" s="434">
        <v>16.09</v>
      </c>
      <c r="BO14" s="440">
        <v>1.92</v>
      </c>
      <c r="BP14" s="434" t="s">
        <v>481</v>
      </c>
      <c r="BQ14" s="435" t="s">
        <v>481</v>
      </c>
      <c r="BR14" s="435">
        <v>9131</v>
      </c>
      <c r="BS14" s="435">
        <v>3669</v>
      </c>
      <c r="BT14" s="434">
        <v>99.629614196081363</v>
      </c>
      <c r="BU14" s="434">
        <v>81.735833972182675</v>
      </c>
      <c r="BV14" s="434">
        <v>81.43309604643521</v>
      </c>
      <c r="BW14" s="434">
        <v>8.0463076717146134</v>
      </c>
      <c r="BX14" s="434">
        <v>5</v>
      </c>
      <c r="BY14" s="434">
        <v>6.8</v>
      </c>
      <c r="BZ14" s="434">
        <v>11.67</v>
      </c>
      <c r="CA14" s="434">
        <v>4.87</v>
      </c>
      <c r="CB14" s="434">
        <v>10.61</v>
      </c>
      <c r="CC14" s="434">
        <v>15.12</v>
      </c>
      <c r="CD14" s="434">
        <v>4.51</v>
      </c>
    </row>
    <row r="15" spans="3:84" s="388" customFormat="1" ht="10.7" customHeight="1">
      <c r="C15" s="1759" t="s">
        <v>2608</v>
      </c>
      <c r="D15" s="1759"/>
      <c r="E15" s="1759"/>
      <c r="F15" s="1759"/>
      <c r="G15" s="1759"/>
      <c r="I15" s="737" t="s">
        <v>1954</v>
      </c>
      <c r="J15" s="820">
        <v>130728.7</v>
      </c>
      <c r="K15" s="820">
        <v>1576.5</v>
      </c>
      <c r="L15" s="820">
        <v>132305.20000000001</v>
      </c>
      <c r="M15" s="820">
        <v>10230.700000000001</v>
      </c>
      <c r="N15" s="820">
        <v>122074.50000000001</v>
      </c>
      <c r="O15" s="820">
        <v>17126.2</v>
      </c>
      <c r="P15" s="820">
        <v>55874.7</v>
      </c>
      <c r="Q15" s="820">
        <v>89759.1</v>
      </c>
      <c r="R15" s="820">
        <v>703947.2</v>
      </c>
      <c r="S15" s="820">
        <v>793706.29999999993</v>
      </c>
      <c r="T15" s="820">
        <v>849580.99999999988</v>
      </c>
      <c r="U15" s="820">
        <v>597.1</v>
      </c>
      <c r="V15" s="820">
        <v>212430.70000000004</v>
      </c>
      <c r="W15" s="820">
        <v>916377.9</v>
      </c>
      <c r="X15" s="1160" t="s">
        <v>481</v>
      </c>
      <c r="Y15" s="1160" t="s">
        <v>481</v>
      </c>
      <c r="Z15" s="737" t="s">
        <v>1954</v>
      </c>
      <c r="AA15" s="820">
        <v>0</v>
      </c>
      <c r="AB15" s="820">
        <v>14977.5</v>
      </c>
      <c r="AC15" s="820">
        <v>627918.19999999995</v>
      </c>
      <c r="AD15" s="820">
        <v>642895.69999999995</v>
      </c>
      <c r="AE15" s="820">
        <v>0</v>
      </c>
      <c r="AF15" s="820">
        <v>1589</v>
      </c>
      <c r="AG15" s="820">
        <v>22461</v>
      </c>
      <c r="AH15" s="820">
        <v>24050</v>
      </c>
      <c r="AI15" s="820">
        <v>8613</v>
      </c>
      <c r="AJ15" s="820">
        <v>157964.29999999999</v>
      </c>
      <c r="AK15" s="820">
        <v>15663.2</v>
      </c>
      <c r="AL15" s="820">
        <v>173627.5</v>
      </c>
      <c r="AM15" s="820">
        <v>8613</v>
      </c>
      <c r="AN15" s="820">
        <v>174530.8</v>
      </c>
      <c r="AO15" s="820">
        <v>666042.39999999991</v>
      </c>
      <c r="AP15" s="820">
        <v>840573.2</v>
      </c>
      <c r="AQ15" s="737" t="s">
        <v>1954</v>
      </c>
      <c r="AR15" s="820">
        <v>5436.7</v>
      </c>
      <c r="AS15" s="820">
        <v>18388.400000000001</v>
      </c>
      <c r="AT15" s="820">
        <v>12975.5</v>
      </c>
      <c r="AU15" s="820">
        <v>50.7</v>
      </c>
      <c r="AV15" s="820">
        <v>849617.20000000007</v>
      </c>
      <c r="AW15" s="820">
        <v>6908.3</v>
      </c>
      <c r="AX15" s="820">
        <v>856525.50000000012</v>
      </c>
      <c r="AY15" s="820">
        <v>55674.157500000008</v>
      </c>
      <c r="AZ15" s="820">
        <v>4624.8424999999916</v>
      </c>
      <c r="BA15" s="820">
        <v>60299</v>
      </c>
      <c r="BB15" s="820">
        <v>2370730.1</v>
      </c>
      <c r="BC15" s="820">
        <v>192604.2</v>
      </c>
      <c r="BD15" s="820">
        <v>4000</v>
      </c>
      <c r="BE15" s="820">
        <v>15984.8</v>
      </c>
      <c r="BF15" s="820">
        <v>3911.6</v>
      </c>
      <c r="BG15" s="820">
        <v>156583.5</v>
      </c>
      <c r="BH15" s="820">
        <v>180479.9</v>
      </c>
      <c r="BI15" s="737" t="s">
        <v>1954</v>
      </c>
      <c r="BJ15" s="819">
        <v>3.59</v>
      </c>
      <c r="BK15" s="819">
        <v>-3.71</v>
      </c>
      <c r="BL15" s="819">
        <v>16.78</v>
      </c>
      <c r="BM15" s="819">
        <v>14.22</v>
      </c>
      <c r="BN15" s="819">
        <v>16.350000000000001</v>
      </c>
      <c r="BO15" s="523">
        <v>1.8909927880190038</v>
      </c>
      <c r="BP15" s="523" t="s">
        <v>481</v>
      </c>
      <c r="BQ15" s="524" t="s">
        <v>481</v>
      </c>
      <c r="BR15" s="1030">
        <v>9453</v>
      </c>
      <c r="BS15" s="1030">
        <v>3700</v>
      </c>
      <c r="BT15" s="819">
        <v>98.935520608575231</v>
      </c>
      <c r="BU15" s="819">
        <v>89.878049296519634</v>
      </c>
      <c r="BV15" s="819">
        <v>88.921315984343593</v>
      </c>
      <c r="BW15" s="819">
        <v>8.3013503022302277</v>
      </c>
      <c r="BX15" s="819">
        <v>5</v>
      </c>
      <c r="BY15" s="819">
        <v>5.54</v>
      </c>
      <c r="BZ15" s="819">
        <v>10.39</v>
      </c>
      <c r="CA15" s="819">
        <v>4.8500000000000005</v>
      </c>
      <c r="CB15" s="819">
        <v>8.9499999999999993</v>
      </c>
      <c r="CC15" s="819">
        <v>13.07</v>
      </c>
      <c r="CD15" s="819">
        <v>4.120000000000001</v>
      </c>
    </row>
    <row r="16" spans="3:84" s="388" customFormat="1" ht="10.7" customHeight="1">
      <c r="C16" s="1759"/>
      <c r="D16" s="1759"/>
      <c r="E16" s="1759"/>
      <c r="F16" s="1759"/>
      <c r="G16" s="1759"/>
      <c r="I16" s="508" t="s">
        <v>2046</v>
      </c>
      <c r="J16" s="823">
        <f>J28</f>
        <v>149724.70000000001</v>
      </c>
      <c r="K16" s="823">
        <f t="shared" ref="K16:W16" si="10">K28</f>
        <v>1540.5</v>
      </c>
      <c r="L16" s="823">
        <f t="shared" si="10"/>
        <v>151265.20000000001</v>
      </c>
      <c r="M16" s="823">
        <f t="shared" si="10"/>
        <v>13733.4</v>
      </c>
      <c r="N16" s="823">
        <f t="shared" si="10"/>
        <v>137531.80000000002</v>
      </c>
      <c r="O16" s="823">
        <f t="shared" si="10"/>
        <v>22096.9</v>
      </c>
      <c r="P16" s="823">
        <f t="shared" si="10"/>
        <v>64651.3</v>
      </c>
      <c r="Q16" s="823">
        <f t="shared" si="10"/>
        <v>101885.2</v>
      </c>
      <c r="R16" s="823">
        <f t="shared" si="10"/>
        <v>775997.6</v>
      </c>
      <c r="S16" s="823">
        <f t="shared" si="10"/>
        <v>877882.79999999993</v>
      </c>
      <c r="T16" s="823">
        <f t="shared" si="10"/>
        <v>942534.1</v>
      </c>
      <c r="U16" s="823">
        <f t="shared" si="10"/>
        <v>661.5</v>
      </c>
      <c r="V16" s="823">
        <f t="shared" si="10"/>
        <v>240078.5</v>
      </c>
      <c r="W16" s="823">
        <f t="shared" si="10"/>
        <v>1016076.1</v>
      </c>
      <c r="X16" s="935" t="s">
        <v>481</v>
      </c>
      <c r="Y16" s="935" t="s">
        <v>481</v>
      </c>
      <c r="Z16" s="508" t="s">
        <v>2046</v>
      </c>
      <c r="AA16" s="823">
        <f t="shared" ref="AA16:AP16" si="11">AA28</f>
        <v>0</v>
      </c>
      <c r="AB16" s="823">
        <f t="shared" si="11"/>
        <v>15533.2</v>
      </c>
      <c r="AC16" s="823">
        <f t="shared" si="11"/>
        <v>728117</v>
      </c>
      <c r="AD16" s="823">
        <f t="shared" si="11"/>
        <v>743650.2</v>
      </c>
      <c r="AE16" s="823">
        <f t="shared" si="11"/>
        <v>0</v>
      </c>
      <c r="AF16" s="823">
        <f t="shared" si="11"/>
        <v>1726.2</v>
      </c>
      <c r="AG16" s="823">
        <f t="shared" si="11"/>
        <v>27218.5</v>
      </c>
      <c r="AH16" s="823">
        <f t="shared" si="11"/>
        <v>28944.7</v>
      </c>
      <c r="AI16" s="823">
        <f t="shared" si="11"/>
        <v>14073.4</v>
      </c>
      <c r="AJ16" s="823">
        <f t="shared" si="11"/>
        <v>152329.70000000001</v>
      </c>
      <c r="AK16" s="823">
        <f t="shared" si="11"/>
        <v>15744.2</v>
      </c>
      <c r="AL16" s="823">
        <f t="shared" si="11"/>
        <v>168073.90000000002</v>
      </c>
      <c r="AM16" s="823">
        <f t="shared" si="11"/>
        <v>14073.4</v>
      </c>
      <c r="AN16" s="823">
        <f t="shared" si="11"/>
        <v>169589.1</v>
      </c>
      <c r="AO16" s="823">
        <f t="shared" si="11"/>
        <v>771079.7</v>
      </c>
      <c r="AP16" s="823">
        <f t="shared" si="11"/>
        <v>940668.79999999993</v>
      </c>
      <c r="AQ16" s="508" t="s">
        <v>2046</v>
      </c>
      <c r="AR16" s="823">
        <f t="shared" ref="AR16:BH16" si="12">AR28</f>
        <v>7470.4</v>
      </c>
      <c r="AS16" s="823">
        <f t="shared" si="12"/>
        <v>24394.1</v>
      </c>
      <c r="AT16" s="823">
        <f t="shared" si="12"/>
        <v>20759.3</v>
      </c>
      <c r="AU16" s="823">
        <f t="shared" si="12"/>
        <v>62.9</v>
      </c>
      <c r="AV16" s="823">
        <f t="shared" si="12"/>
        <v>942558.51</v>
      </c>
      <c r="AW16" s="823">
        <f t="shared" si="12"/>
        <v>5784.1</v>
      </c>
      <c r="AX16" s="823">
        <f t="shared" si="12"/>
        <v>948342.61</v>
      </c>
      <c r="AY16" s="823">
        <f t="shared" si="12"/>
        <v>61642.269650000002</v>
      </c>
      <c r="AZ16" s="823">
        <f t="shared" si="12"/>
        <v>11090.430349999995</v>
      </c>
      <c r="BA16" s="823">
        <f t="shared" si="12"/>
        <v>72732.7</v>
      </c>
      <c r="BB16" s="823">
        <f t="shared" si="12"/>
        <v>2223734.2999999998</v>
      </c>
      <c r="BC16" s="823">
        <f t="shared" si="12"/>
        <v>223997.90000000002</v>
      </c>
      <c r="BD16" s="823">
        <f t="shared" si="12"/>
        <v>3015.6</v>
      </c>
      <c r="BE16" s="823">
        <f t="shared" si="12"/>
        <v>10964.5</v>
      </c>
      <c r="BF16" s="823">
        <f t="shared" si="12"/>
        <v>3364.4</v>
      </c>
      <c r="BG16" s="823">
        <f t="shared" si="12"/>
        <v>151102.29999999999</v>
      </c>
      <c r="BH16" s="823">
        <f t="shared" si="12"/>
        <v>168446.8</v>
      </c>
      <c r="BI16" s="508" t="s">
        <v>2046</v>
      </c>
      <c r="BJ16" s="1028">
        <f>BJ28</f>
        <v>-14.78</v>
      </c>
      <c r="BK16" s="1028">
        <f>BK28</f>
        <v>7.66</v>
      </c>
      <c r="BL16" s="1028">
        <f>BL28</f>
        <v>15.66</v>
      </c>
      <c r="BM16" s="1028">
        <f>BM28</f>
        <v>11.16</v>
      </c>
      <c r="BN16" s="1028">
        <f>BN28</f>
        <v>10.88</v>
      </c>
      <c r="BO16" s="510">
        <v>1.94</v>
      </c>
      <c r="BP16" s="510" t="s">
        <v>481</v>
      </c>
      <c r="BQ16" s="720" t="s">
        <v>481</v>
      </c>
      <c r="BR16" s="1159">
        <f t="shared" ref="BR16:CD16" si="13">BR28</f>
        <v>9720</v>
      </c>
      <c r="BS16" s="1159">
        <f t="shared" si="13"/>
        <v>3713</v>
      </c>
      <c r="BT16" s="1028">
        <f t="shared" si="13"/>
        <v>99.799512711417776</v>
      </c>
      <c r="BU16" s="1028">
        <f t="shared" si="13"/>
        <v>96.971040123456788</v>
      </c>
      <c r="BV16" s="1028">
        <f t="shared" si="13"/>
        <v>96.776625514403278</v>
      </c>
      <c r="BW16" s="1028">
        <f t="shared" si="13"/>
        <v>9.1735525256676098</v>
      </c>
      <c r="BX16" s="1028">
        <f t="shared" si="13"/>
        <v>5</v>
      </c>
      <c r="BY16" s="1028">
        <f t="shared" si="13"/>
        <v>4.84</v>
      </c>
      <c r="BZ16" s="1028">
        <f t="shared" si="13"/>
        <v>9.56</v>
      </c>
      <c r="CA16" s="1028">
        <f t="shared" si="13"/>
        <v>4.7200000000000006</v>
      </c>
      <c r="CB16" s="1028">
        <f t="shared" si="13"/>
        <v>8.3699999999999992</v>
      </c>
      <c r="CC16" s="1028">
        <f t="shared" si="13"/>
        <v>11.69</v>
      </c>
      <c r="CD16" s="1028">
        <f t="shared" si="13"/>
        <v>3.3200000000000003</v>
      </c>
    </row>
    <row r="17" spans="8:84" s="388" customFormat="1" ht="10.7" customHeight="1">
      <c r="I17" s="251" t="s">
        <v>818</v>
      </c>
      <c r="J17" s="678">
        <v>118091.1</v>
      </c>
      <c r="K17" s="678">
        <v>1572.3</v>
      </c>
      <c r="L17" s="678">
        <f t="shared" ref="L17:L52" si="14">J17+K17</f>
        <v>119663.40000000001</v>
      </c>
      <c r="M17" s="678">
        <v>10638.4</v>
      </c>
      <c r="N17" s="678">
        <f t="shared" ref="N17:N52" si="15">L17-M17</f>
        <v>109025.00000000001</v>
      </c>
      <c r="O17" s="678">
        <v>12227.5</v>
      </c>
      <c r="P17" s="678">
        <v>50841</v>
      </c>
      <c r="Q17" s="678">
        <v>87334.8</v>
      </c>
      <c r="R17" s="682">
        <v>716365.2</v>
      </c>
      <c r="S17" s="343">
        <f t="shared" ref="S17:S38" si="16">Q17+R17</f>
        <v>803700</v>
      </c>
      <c r="T17" s="343">
        <f t="shared" ref="T17:T38" si="17">P17+S17</f>
        <v>854541</v>
      </c>
      <c r="U17" s="678">
        <v>579.79999999999995</v>
      </c>
      <c r="V17" s="343">
        <f t="shared" ref="V17:V28" si="18">N17+Q17+U17</f>
        <v>196939.6</v>
      </c>
      <c r="W17" s="343">
        <f t="shared" ref="W17:W28" si="19">R17+V17</f>
        <v>913304.79999999993</v>
      </c>
      <c r="X17" s="682" t="s">
        <v>481</v>
      </c>
      <c r="Y17" s="682" t="s">
        <v>481</v>
      </c>
      <c r="Z17" s="251" t="s">
        <v>818</v>
      </c>
      <c r="AA17" s="343">
        <v>0</v>
      </c>
      <c r="AB17" s="678">
        <v>15146.9</v>
      </c>
      <c r="AC17" s="678">
        <v>621769.9</v>
      </c>
      <c r="AD17" s="343">
        <f t="shared" ref="AD17:AD52" si="20">AB17+AC17</f>
        <v>636916.80000000005</v>
      </c>
      <c r="AE17" s="343">
        <v>0</v>
      </c>
      <c r="AF17" s="678">
        <v>1558.7</v>
      </c>
      <c r="AG17" s="678">
        <v>22009.8</v>
      </c>
      <c r="AH17" s="343">
        <f t="shared" ref="AH17:AH52" si="21">AF17+AG17</f>
        <v>23568.5</v>
      </c>
      <c r="AI17" s="703">
        <v>8033.4</v>
      </c>
      <c r="AJ17" s="703">
        <v>167339.5</v>
      </c>
      <c r="AK17" s="703">
        <v>16609</v>
      </c>
      <c r="AL17" s="653">
        <f t="shared" ref="AL17:AL52" si="22">AJ17+AK17</f>
        <v>183948.5</v>
      </c>
      <c r="AM17" s="343">
        <f t="shared" ref="AM17:AP18" si="23">AA17+AE17+AI17</f>
        <v>8033.4</v>
      </c>
      <c r="AN17" s="343">
        <f t="shared" si="23"/>
        <v>184045.1</v>
      </c>
      <c r="AO17" s="343">
        <f t="shared" si="23"/>
        <v>660388.70000000007</v>
      </c>
      <c r="AP17" s="343">
        <f t="shared" si="23"/>
        <v>844433.8</v>
      </c>
      <c r="AQ17" s="251" t="s">
        <v>818</v>
      </c>
      <c r="AR17" s="678">
        <v>4063.9</v>
      </c>
      <c r="AS17" s="678">
        <v>16849.900000000001</v>
      </c>
      <c r="AT17" s="678">
        <v>9507</v>
      </c>
      <c r="AU17" s="678">
        <v>70.599999999999994</v>
      </c>
      <c r="AV17" s="678">
        <f>854592.3-13.2</f>
        <v>854579.10000000009</v>
      </c>
      <c r="AW17" s="678">
        <v>6858.8</v>
      </c>
      <c r="AX17" s="343">
        <f t="shared" ref="AX17:AX38" si="24">AV17+AW17</f>
        <v>861437.90000000014</v>
      </c>
      <c r="AY17" s="343">
        <f t="shared" ref="AY17:AY28" si="25">0.065*AX17</f>
        <v>55993.463500000013</v>
      </c>
      <c r="AZ17" s="342">
        <f t="shared" ref="AZ17:AZ28" si="26">BA17-AY17</f>
        <v>5621.5364999999874</v>
      </c>
      <c r="BA17" s="678">
        <v>61615</v>
      </c>
      <c r="BB17" s="678">
        <v>2397613</v>
      </c>
      <c r="BC17" s="342">
        <f t="shared" ref="BC17:BC52" si="27">L17+BA17</f>
        <v>181278.40000000002</v>
      </c>
      <c r="BD17" s="678">
        <v>0</v>
      </c>
      <c r="BE17" s="678">
        <v>13234</v>
      </c>
      <c r="BF17" s="678">
        <v>4099.1000000000004</v>
      </c>
      <c r="BG17" s="678">
        <v>165954.20000000001</v>
      </c>
      <c r="BH17" s="343">
        <f t="shared" ref="BH17:BH52" si="28">BG17+BF17+BE17+BD17</f>
        <v>183287.30000000002</v>
      </c>
      <c r="BI17" s="251" t="s">
        <v>818</v>
      </c>
      <c r="BJ17" s="389">
        <v>2.13</v>
      </c>
      <c r="BK17" s="389">
        <v>-0.33</v>
      </c>
      <c r="BL17" s="389">
        <v>-0.85</v>
      </c>
      <c r="BM17" s="389">
        <v>-0.41</v>
      </c>
      <c r="BN17" s="389">
        <v>-0.34</v>
      </c>
      <c r="BO17" s="389" t="s">
        <v>481</v>
      </c>
      <c r="BP17" s="389" t="s">
        <v>481</v>
      </c>
      <c r="BQ17" s="577" t="s">
        <v>481</v>
      </c>
      <c r="BR17" s="577">
        <v>9480</v>
      </c>
      <c r="BS17" s="577">
        <v>3704</v>
      </c>
      <c r="BT17" s="389">
        <f t="shared" ref="BT17:BT22" si="29">AP17/AV17*100</f>
        <v>98.812830784183689</v>
      </c>
      <c r="BU17" s="389">
        <f t="shared" ref="BU17:BU28" si="30">AV17/BR17</f>
        <v>90.145474683544307</v>
      </c>
      <c r="BV17" s="389">
        <f t="shared" ref="BV17:BV28" si="31">AP17/BR17</f>
        <v>89.075295358649797</v>
      </c>
      <c r="BW17" s="389">
        <f t="shared" ref="BW17:BW28" si="32">(M17+BA17)/AV17*100</f>
        <v>8.4548522190631612</v>
      </c>
      <c r="BX17" s="389">
        <v>5</v>
      </c>
      <c r="BY17" s="389">
        <v>5.48</v>
      </c>
      <c r="BZ17" s="389">
        <v>10.32</v>
      </c>
      <c r="CA17" s="389">
        <f>BZ17-BY17</f>
        <v>4.84</v>
      </c>
      <c r="CB17" s="389">
        <v>8.9</v>
      </c>
      <c r="CC17" s="389">
        <v>12.89</v>
      </c>
      <c r="CD17" s="389">
        <f>CC17-CB17</f>
        <v>3.99</v>
      </c>
      <c r="CE17" s="389"/>
      <c r="CF17" s="389"/>
    </row>
    <row r="18" spans="8:84" s="388" customFormat="1" ht="10.7" customHeight="1">
      <c r="I18" s="446" t="s">
        <v>819</v>
      </c>
      <c r="J18" s="672">
        <v>120558.2</v>
      </c>
      <c r="K18" s="672">
        <v>1565.6</v>
      </c>
      <c r="L18" s="672">
        <f t="shared" si="14"/>
        <v>122123.8</v>
      </c>
      <c r="M18" s="672">
        <v>10010</v>
      </c>
      <c r="N18" s="672">
        <f t="shared" si="15"/>
        <v>112113.8</v>
      </c>
      <c r="O18" s="672">
        <v>11558.1</v>
      </c>
      <c r="P18" s="672">
        <v>53439.8</v>
      </c>
      <c r="Q18" s="672">
        <v>85653.9</v>
      </c>
      <c r="R18" s="649">
        <v>724519.6</v>
      </c>
      <c r="S18" s="427">
        <f t="shared" si="16"/>
        <v>810173.5</v>
      </c>
      <c r="T18" s="427">
        <f t="shared" si="17"/>
        <v>863613.3</v>
      </c>
      <c r="U18" s="672">
        <v>595.79999999999995</v>
      </c>
      <c r="V18" s="427">
        <f t="shared" si="18"/>
        <v>198363.5</v>
      </c>
      <c r="W18" s="427">
        <f t="shared" si="19"/>
        <v>922883.1</v>
      </c>
      <c r="X18" s="649" t="s">
        <v>481</v>
      </c>
      <c r="Y18" s="649" t="s">
        <v>481</v>
      </c>
      <c r="Z18" s="446" t="s">
        <v>819</v>
      </c>
      <c r="AA18" s="427">
        <v>0</v>
      </c>
      <c r="AB18" s="672">
        <v>15296.3</v>
      </c>
      <c r="AC18" s="672">
        <v>629272.9</v>
      </c>
      <c r="AD18" s="427">
        <f t="shared" si="20"/>
        <v>644569.20000000007</v>
      </c>
      <c r="AE18" s="427">
        <v>0</v>
      </c>
      <c r="AF18" s="672">
        <v>1600.1</v>
      </c>
      <c r="AG18" s="672">
        <v>21455.4</v>
      </c>
      <c r="AH18" s="427">
        <f t="shared" si="21"/>
        <v>23055.5</v>
      </c>
      <c r="AI18" s="676">
        <v>7729.7</v>
      </c>
      <c r="AJ18" s="676">
        <v>167391.4</v>
      </c>
      <c r="AK18" s="676">
        <v>16375.6</v>
      </c>
      <c r="AL18" s="677">
        <f t="shared" si="22"/>
        <v>183767</v>
      </c>
      <c r="AM18" s="427">
        <f t="shared" si="23"/>
        <v>7729.7</v>
      </c>
      <c r="AN18" s="427">
        <f t="shared" si="23"/>
        <v>184287.8</v>
      </c>
      <c r="AO18" s="427">
        <f t="shared" si="23"/>
        <v>667103.9</v>
      </c>
      <c r="AP18" s="427">
        <f t="shared" si="23"/>
        <v>851391.70000000007</v>
      </c>
      <c r="AQ18" s="446" t="s">
        <v>819</v>
      </c>
      <c r="AR18" s="672">
        <v>3663.4</v>
      </c>
      <c r="AS18" s="672">
        <v>17593</v>
      </c>
      <c r="AT18" s="672">
        <v>9476.2000000000007</v>
      </c>
      <c r="AU18" s="672">
        <v>60.4</v>
      </c>
      <c r="AV18" s="672">
        <f>863661.8-14.2</f>
        <v>863647.60000000009</v>
      </c>
      <c r="AW18" s="672">
        <v>6832</v>
      </c>
      <c r="AX18" s="427">
        <f t="shared" si="24"/>
        <v>870479.60000000009</v>
      </c>
      <c r="AY18" s="427">
        <f t="shared" si="25"/>
        <v>56581.174000000006</v>
      </c>
      <c r="AZ18" s="426">
        <f t="shared" si="26"/>
        <v>3417.8259999999937</v>
      </c>
      <c r="BA18" s="672">
        <v>59999</v>
      </c>
      <c r="BB18" s="672">
        <v>2437927.2999999998</v>
      </c>
      <c r="BC18" s="426">
        <f t="shared" si="27"/>
        <v>182122.8</v>
      </c>
      <c r="BD18" s="672">
        <v>0</v>
      </c>
      <c r="BE18" s="672">
        <v>13256.8</v>
      </c>
      <c r="BF18" s="672">
        <v>4186.1000000000004</v>
      </c>
      <c r="BG18" s="672">
        <v>166001.5</v>
      </c>
      <c r="BH18" s="427">
        <f t="shared" si="28"/>
        <v>183444.4</v>
      </c>
      <c r="BI18" s="446" t="s">
        <v>819</v>
      </c>
      <c r="BJ18" s="434">
        <v>-0.78</v>
      </c>
      <c r="BK18" s="434">
        <v>0.37</v>
      </c>
      <c r="BL18" s="434">
        <v>0.14000000000000001</v>
      </c>
      <c r="BM18" s="434">
        <v>0.01</v>
      </c>
      <c r="BN18" s="434">
        <v>0.71</v>
      </c>
      <c r="BO18" s="434" t="s">
        <v>481</v>
      </c>
      <c r="BP18" s="434" t="s">
        <v>481</v>
      </c>
      <c r="BQ18" s="435" t="s">
        <v>481</v>
      </c>
      <c r="BR18" s="435">
        <v>9498</v>
      </c>
      <c r="BS18" s="435">
        <v>3704</v>
      </c>
      <c r="BT18" s="434">
        <f t="shared" si="29"/>
        <v>98.580914252526142</v>
      </c>
      <c r="BU18" s="434">
        <f t="shared" si="30"/>
        <v>90.929416719309344</v>
      </c>
      <c r="BV18" s="434">
        <f t="shared" si="31"/>
        <v>89.639050326384506</v>
      </c>
      <c r="BW18" s="434">
        <f t="shared" si="32"/>
        <v>8.1061997972321116</v>
      </c>
      <c r="BX18" s="434">
        <v>5</v>
      </c>
      <c r="BY18" s="434">
        <v>5.44</v>
      </c>
      <c r="BZ18" s="434">
        <v>10.24</v>
      </c>
      <c r="CA18" s="434">
        <f t="shared" ref="CA18:CA52" si="33">BZ18-BY18</f>
        <v>4.8</v>
      </c>
      <c r="CB18" s="434">
        <v>8.84</v>
      </c>
      <c r="CC18" s="434">
        <v>12.8</v>
      </c>
      <c r="CD18" s="434">
        <f t="shared" ref="CD18:CD52" si="34">CC18-CB18</f>
        <v>3.9600000000000009</v>
      </c>
      <c r="CE18" s="389"/>
      <c r="CF18" s="389"/>
    </row>
    <row r="19" spans="8:84" s="388" customFormat="1" ht="10.7" customHeight="1">
      <c r="I19" s="251" t="s">
        <v>813</v>
      </c>
      <c r="J19" s="678">
        <v>126687.4</v>
      </c>
      <c r="K19" s="678">
        <v>1562.2</v>
      </c>
      <c r="L19" s="678">
        <f t="shared" si="14"/>
        <v>128249.59999999999</v>
      </c>
      <c r="M19" s="678">
        <v>10120.299999999999</v>
      </c>
      <c r="N19" s="678">
        <f t="shared" si="15"/>
        <v>118129.29999999999</v>
      </c>
      <c r="O19" s="678">
        <v>11698.4</v>
      </c>
      <c r="P19" s="678">
        <v>52756.4</v>
      </c>
      <c r="Q19" s="678">
        <v>82620.3</v>
      </c>
      <c r="R19" s="682">
        <v>730134.7</v>
      </c>
      <c r="S19" s="343">
        <f t="shared" si="16"/>
        <v>812755</v>
      </c>
      <c r="T19" s="343">
        <f t="shared" si="17"/>
        <v>865511.4</v>
      </c>
      <c r="U19" s="678">
        <v>638.79999999999995</v>
      </c>
      <c r="V19" s="343">
        <f t="shared" si="18"/>
        <v>201388.39999999997</v>
      </c>
      <c r="W19" s="343">
        <f t="shared" si="19"/>
        <v>931523.09999999986</v>
      </c>
      <c r="X19" s="682" t="s">
        <v>481</v>
      </c>
      <c r="Y19" s="682" t="s">
        <v>481</v>
      </c>
      <c r="Z19" s="251" t="s">
        <v>813</v>
      </c>
      <c r="AA19" s="343">
        <v>0</v>
      </c>
      <c r="AB19" s="678">
        <v>14914.6</v>
      </c>
      <c r="AC19" s="678">
        <v>636572.80000000005</v>
      </c>
      <c r="AD19" s="343">
        <f t="shared" si="20"/>
        <v>651487.4</v>
      </c>
      <c r="AE19" s="343">
        <v>0</v>
      </c>
      <c r="AF19" s="678">
        <v>1736.1</v>
      </c>
      <c r="AG19" s="678">
        <v>21916.1</v>
      </c>
      <c r="AH19" s="343">
        <f t="shared" si="21"/>
        <v>23652.199999999997</v>
      </c>
      <c r="AI19" s="703">
        <v>8474.5</v>
      </c>
      <c r="AJ19" s="703">
        <v>165355.29999999999</v>
      </c>
      <c r="AK19" s="703">
        <v>16817.3</v>
      </c>
      <c r="AL19" s="653">
        <f t="shared" si="22"/>
        <v>182172.59999999998</v>
      </c>
      <c r="AM19" s="343">
        <f t="shared" ref="AM19:AP28" si="35">AA19+AE19+AI19</f>
        <v>8474.5</v>
      </c>
      <c r="AN19" s="343">
        <f t="shared" si="35"/>
        <v>182006</v>
      </c>
      <c r="AO19" s="343">
        <f t="shared" si="35"/>
        <v>675306.20000000007</v>
      </c>
      <c r="AP19" s="343">
        <f t="shared" si="35"/>
        <v>857312.2</v>
      </c>
      <c r="AQ19" s="251" t="s">
        <v>813</v>
      </c>
      <c r="AR19" s="678">
        <v>4420.7</v>
      </c>
      <c r="AS19" s="678">
        <v>17923.400000000001</v>
      </c>
      <c r="AT19" s="678">
        <v>10963.6</v>
      </c>
      <c r="AU19" s="678">
        <v>120.4</v>
      </c>
      <c r="AV19" s="678">
        <f>865563.6-13.7</f>
        <v>865549.9</v>
      </c>
      <c r="AW19" s="678">
        <v>6938.1</v>
      </c>
      <c r="AX19" s="343">
        <f t="shared" si="24"/>
        <v>872488</v>
      </c>
      <c r="AY19" s="343">
        <f t="shared" si="25"/>
        <v>56711.72</v>
      </c>
      <c r="AZ19" s="342">
        <f t="shared" si="26"/>
        <v>4207.9799999999959</v>
      </c>
      <c r="BA19" s="678">
        <v>60919.7</v>
      </c>
      <c r="BB19" s="678">
        <v>2468283.2999999998</v>
      </c>
      <c r="BC19" s="342">
        <f t="shared" si="27"/>
        <v>189169.3</v>
      </c>
      <c r="BD19" s="678">
        <v>0</v>
      </c>
      <c r="BE19" s="678">
        <v>12689.2</v>
      </c>
      <c r="BF19" s="678">
        <v>4120.6000000000004</v>
      </c>
      <c r="BG19" s="678">
        <v>163959.29999999999</v>
      </c>
      <c r="BH19" s="343">
        <f t="shared" si="28"/>
        <v>180769.1</v>
      </c>
      <c r="BI19" s="251" t="s">
        <v>813</v>
      </c>
      <c r="BJ19" s="389">
        <v>-0.49</v>
      </c>
      <c r="BK19" s="389">
        <v>-0.86</v>
      </c>
      <c r="BL19" s="389">
        <v>1.36</v>
      </c>
      <c r="BM19" s="389">
        <v>1.05</v>
      </c>
      <c r="BN19" s="389">
        <v>1.65</v>
      </c>
      <c r="BO19" s="389" t="s">
        <v>481</v>
      </c>
      <c r="BP19" s="389" t="s">
        <v>481</v>
      </c>
      <c r="BQ19" s="577" t="s">
        <v>481</v>
      </c>
      <c r="BR19" s="577">
        <v>9515</v>
      </c>
      <c r="BS19" s="577">
        <v>3706</v>
      </c>
      <c r="BT19" s="389">
        <f t="shared" si="29"/>
        <v>99.048269776242819</v>
      </c>
      <c r="BU19" s="389">
        <f t="shared" si="30"/>
        <v>90.966883867577508</v>
      </c>
      <c r="BV19" s="389">
        <f t="shared" si="31"/>
        <v>90.101124540199677</v>
      </c>
      <c r="BW19" s="389">
        <f t="shared" si="32"/>
        <v>8.207499070821914</v>
      </c>
      <c r="BX19" s="389">
        <v>5</v>
      </c>
      <c r="BY19" s="389">
        <v>5.39</v>
      </c>
      <c r="BZ19" s="389">
        <v>10.11</v>
      </c>
      <c r="CA19" s="389">
        <f t="shared" si="33"/>
        <v>4.72</v>
      </c>
      <c r="CB19" s="389">
        <v>8.7100000000000009</v>
      </c>
      <c r="CC19" s="389">
        <v>12.68</v>
      </c>
      <c r="CD19" s="389">
        <f t="shared" si="34"/>
        <v>3.9699999999999989</v>
      </c>
      <c r="CE19" s="389"/>
      <c r="CF19" s="389"/>
    </row>
    <row r="20" spans="8:84" s="388" customFormat="1" ht="10.7" customHeight="1">
      <c r="I20" s="446" t="s">
        <v>820</v>
      </c>
      <c r="J20" s="672">
        <v>121857.60000000001</v>
      </c>
      <c r="K20" s="672">
        <v>1556.6</v>
      </c>
      <c r="L20" s="672">
        <f t="shared" si="14"/>
        <v>123414.20000000001</v>
      </c>
      <c r="M20" s="672">
        <v>10709.7</v>
      </c>
      <c r="N20" s="672">
        <f t="shared" si="15"/>
        <v>112704.50000000001</v>
      </c>
      <c r="O20" s="672">
        <v>11232.2</v>
      </c>
      <c r="P20" s="672">
        <v>54965.3</v>
      </c>
      <c r="Q20" s="672">
        <v>84391.1</v>
      </c>
      <c r="R20" s="649">
        <v>735498.4</v>
      </c>
      <c r="S20" s="427">
        <f t="shared" si="16"/>
        <v>819889.5</v>
      </c>
      <c r="T20" s="427">
        <f t="shared" si="17"/>
        <v>874854.8</v>
      </c>
      <c r="U20" s="672">
        <v>632.6</v>
      </c>
      <c r="V20" s="427">
        <f t="shared" si="18"/>
        <v>197728.20000000004</v>
      </c>
      <c r="W20" s="427">
        <f t="shared" si="19"/>
        <v>933226.60000000009</v>
      </c>
      <c r="X20" s="649" t="s">
        <v>481</v>
      </c>
      <c r="Y20" s="649" t="s">
        <v>481</v>
      </c>
      <c r="Z20" s="446" t="s">
        <v>820</v>
      </c>
      <c r="AA20" s="427">
        <v>0</v>
      </c>
      <c r="AB20" s="672">
        <v>14580.6</v>
      </c>
      <c r="AC20" s="672">
        <v>642011.1</v>
      </c>
      <c r="AD20" s="427">
        <f t="shared" si="20"/>
        <v>656591.69999999995</v>
      </c>
      <c r="AE20" s="427">
        <v>0</v>
      </c>
      <c r="AF20" s="672">
        <v>1664.2</v>
      </c>
      <c r="AG20" s="672">
        <v>21770.400000000001</v>
      </c>
      <c r="AH20" s="427">
        <f t="shared" si="21"/>
        <v>23434.600000000002</v>
      </c>
      <c r="AI20" s="676">
        <v>8750.2000000000007</v>
      </c>
      <c r="AJ20" s="676">
        <v>163960.4</v>
      </c>
      <c r="AK20" s="676">
        <v>16438.7</v>
      </c>
      <c r="AL20" s="677">
        <f t="shared" si="22"/>
        <v>180399.1</v>
      </c>
      <c r="AM20" s="427">
        <f t="shared" si="35"/>
        <v>8750.2000000000007</v>
      </c>
      <c r="AN20" s="427">
        <f t="shared" si="35"/>
        <v>180205.19999999998</v>
      </c>
      <c r="AO20" s="427">
        <f t="shared" si="35"/>
        <v>680220.2</v>
      </c>
      <c r="AP20" s="427">
        <f t="shared" si="35"/>
        <v>860425.39999999991</v>
      </c>
      <c r="AQ20" s="446" t="s">
        <v>820</v>
      </c>
      <c r="AR20" s="672">
        <v>4892.7</v>
      </c>
      <c r="AS20" s="672">
        <v>19741.2</v>
      </c>
      <c r="AT20" s="672">
        <v>10007</v>
      </c>
      <c r="AU20" s="672">
        <v>98.3</v>
      </c>
      <c r="AV20" s="672">
        <f>874906-13.5</f>
        <v>874892.5</v>
      </c>
      <c r="AW20" s="672">
        <v>6395.8</v>
      </c>
      <c r="AX20" s="427">
        <f t="shared" si="24"/>
        <v>881288.3</v>
      </c>
      <c r="AY20" s="427">
        <f t="shared" si="25"/>
        <v>57283.739500000003</v>
      </c>
      <c r="AZ20" s="426">
        <f t="shared" si="26"/>
        <v>5317.9604999999938</v>
      </c>
      <c r="BA20" s="672">
        <v>62601.7</v>
      </c>
      <c r="BB20" s="672">
        <v>2510307.1</v>
      </c>
      <c r="BC20" s="426">
        <f t="shared" si="27"/>
        <v>186015.90000000002</v>
      </c>
      <c r="BD20" s="672">
        <v>0</v>
      </c>
      <c r="BE20" s="672">
        <v>12292.8</v>
      </c>
      <c r="BF20" s="672">
        <v>4111.6000000000004</v>
      </c>
      <c r="BG20" s="672">
        <v>162665</v>
      </c>
      <c r="BH20" s="427">
        <f t="shared" si="28"/>
        <v>179069.4</v>
      </c>
      <c r="BI20" s="446" t="s">
        <v>820</v>
      </c>
      <c r="BJ20" s="434">
        <v>-3.68</v>
      </c>
      <c r="BK20" s="434">
        <v>-3.95</v>
      </c>
      <c r="BL20" s="434">
        <v>2.1</v>
      </c>
      <c r="BM20" s="434">
        <v>1.1499999999999999</v>
      </c>
      <c r="BN20" s="434">
        <v>1.84</v>
      </c>
      <c r="BO20" s="434" t="s">
        <v>481</v>
      </c>
      <c r="BP20" s="434" t="s">
        <v>481</v>
      </c>
      <c r="BQ20" s="435" t="s">
        <v>481</v>
      </c>
      <c r="BR20" s="435">
        <v>9538</v>
      </c>
      <c r="BS20" s="435">
        <v>3706</v>
      </c>
      <c r="BT20" s="434">
        <f t="shared" si="29"/>
        <v>98.34641398800423</v>
      </c>
      <c r="BU20" s="434">
        <f t="shared" si="30"/>
        <v>91.727039211574748</v>
      </c>
      <c r="BV20" s="434">
        <f t="shared" si="31"/>
        <v>90.210253721954274</v>
      </c>
      <c r="BW20" s="434">
        <f t="shared" si="32"/>
        <v>8.3794751926665274</v>
      </c>
      <c r="BX20" s="434">
        <v>5</v>
      </c>
      <c r="BY20" s="434">
        <v>5.33</v>
      </c>
      <c r="BZ20" s="434">
        <v>10.029999999999999</v>
      </c>
      <c r="CA20" s="434">
        <f t="shared" si="33"/>
        <v>4.6999999999999993</v>
      </c>
      <c r="CB20" s="434">
        <v>8.61</v>
      </c>
      <c r="CC20" s="434">
        <v>12.73</v>
      </c>
      <c r="CD20" s="434">
        <f t="shared" si="34"/>
        <v>4.120000000000001</v>
      </c>
      <c r="CE20" s="389"/>
      <c r="CF20" s="389"/>
    </row>
    <row r="21" spans="8:84" s="388" customFormat="1" ht="10.7" customHeight="1">
      <c r="I21" s="251" t="s">
        <v>821</v>
      </c>
      <c r="J21" s="678">
        <v>119912.2</v>
      </c>
      <c r="K21" s="678">
        <v>1546.3</v>
      </c>
      <c r="L21" s="678">
        <f t="shared" si="14"/>
        <v>121458.5</v>
      </c>
      <c r="M21" s="678">
        <v>10216.5</v>
      </c>
      <c r="N21" s="678">
        <f t="shared" si="15"/>
        <v>111242</v>
      </c>
      <c r="O21" s="678">
        <v>10005.6</v>
      </c>
      <c r="P21" s="678">
        <v>55685.3</v>
      </c>
      <c r="Q21" s="678">
        <v>85570.1</v>
      </c>
      <c r="R21" s="678">
        <v>741270</v>
      </c>
      <c r="S21" s="343">
        <f t="shared" si="16"/>
        <v>826840.1</v>
      </c>
      <c r="T21" s="343">
        <f t="shared" si="17"/>
        <v>882525.4</v>
      </c>
      <c r="U21" s="678">
        <v>639.29999999999995</v>
      </c>
      <c r="V21" s="343">
        <f t="shared" si="18"/>
        <v>197451.4</v>
      </c>
      <c r="W21" s="343">
        <f t="shared" si="19"/>
        <v>938721.4</v>
      </c>
      <c r="X21" s="682" t="s">
        <v>481</v>
      </c>
      <c r="Y21" s="682" t="s">
        <v>481</v>
      </c>
      <c r="Z21" s="251" t="s">
        <v>821</v>
      </c>
      <c r="AA21" s="343">
        <v>0</v>
      </c>
      <c r="AB21" s="678">
        <v>14961.7</v>
      </c>
      <c r="AC21" s="678">
        <v>652611.1</v>
      </c>
      <c r="AD21" s="343">
        <f t="shared" si="20"/>
        <v>667572.79999999993</v>
      </c>
      <c r="AE21" s="343">
        <v>0</v>
      </c>
      <c r="AF21" s="678">
        <v>1596.2</v>
      </c>
      <c r="AG21" s="678">
        <v>21940.7</v>
      </c>
      <c r="AH21" s="343">
        <f t="shared" si="21"/>
        <v>23536.9</v>
      </c>
      <c r="AI21" s="703">
        <v>9891.4</v>
      </c>
      <c r="AJ21" s="703">
        <v>161707.29999999999</v>
      </c>
      <c r="AK21" s="703">
        <v>15129.2</v>
      </c>
      <c r="AL21" s="653">
        <f t="shared" si="22"/>
        <v>176836.5</v>
      </c>
      <c r="AM21" s="343">
        <f t="shared" si="35"/>
        <v>9891.4</v>
      </c>
      <c r="AN21" s="343">
        <f t="shared" si="35"/>
        <v>178265.19999999998</v>
      </c>
      <c r="AO21" s="343">
        <f t="shared" si="35"/>
        <v>689680.99999999988</v>
      </c>
      <c r="AP21" s="343">
        <f t="shared" si="35"/>
        <v>867946.2</v>
      </c>
      <c r="AQ21" s="251" t="s">
        <v>821</v>
      </c>
      <c r="AR21" s="678">
        <v>5135.3999999999996</v>
      </c>
      <c r="AS21" s="678">
        <v>20784</v>
      </c>
      <c r="AT21" s="678">
        <v>10439</v>
      </c>
      <c r="AU21" s="678">
        <v>71.400000000000006</v>
      </c>
      <c r="AV21" s="678">
        <f>882582.2-12.66</f>
        <v>882569.53999999992</v>
      </c>
      <c r="AW21" s="678">
        <v>6272.3</v>
      </c>
      <c r="AX21" s="343">
        <f t="shared" si="24"/>
        <v>888841.84</v>
      </c>
      <c r="AY21" s="343">
        <f t="shared" si="25"/>
        <v>57774.719599999997</v>
      </c>
      <c r="AZ21" s="343">
        <f t="shared" si="26"/>
        <v>7051.2804000000033</v>
      </c>
      <c r="BA21" s="678">
        <v>64826</v>
      </c>
      <c r="BB21" s="678">
        <v>2560472.7999999998</v>
      </c>
      <c r="BC21" s="342">
        <f t="shared" si="27"/>
        <v>186284.5</v>
      </c>
      <c r="BD21" s="678">
        <v>0</v>
      </c>
      <c r="BE21" s="678">
        <v>12302.1</v>
      </c>
      <c r="BF21" s="678">
        <v>4097.7</v>
      </c>
      <c r="BG21" s="678">
        <v>160416</v>
      </c>
      <c r="BH21" s="343">
        <f t="shared" si="28"/>
        <v>176815.80000000002</v>
      </c>
      <c r="BI21" s="251" t="s">
        <v>821</v>
      </c>
      <c r="BJ21" s="389">
        <v>-4.88</v>
      </c>
      <c r="BK21" s="389">
        <v>-1.9</v>
      </c>
      <c r="BL21" s="389">
        <v>3.51</v>
      </c>
      <c r="BM21" s="389">
        <v>2.2000000000000002</v>
      </c>
      <c r="BN21" s="389">
        <v>2.44</v>
      </c>
      <c r="BO21" s="389" t="s">
        <v>481</v>
      </c>
      <c r="BP21" s="389" t="s">
        <v>481</v>
      </c>
      <c r="BQ21" s="577" t="s">
        <v>481</v>
      </c>
      <c r="BR21" s="577">
        <v>9576</v>
      </c>
      <c r="BS21" s="577">
        <v>3707</v>
      </c>
      <c r="BT21" s="389">
        <f t="shared" si="29"/>
        <v>98.343094868195891</v>
      </c>
      <c r="BU21" s="389">
        <f t="shared" si="30"/>
        <v>92.164738930659979</v>
      </c>
      <c r="BV21" s="389">
        <f t="shared" si="31"/>
        <v>90.637656641604011</v>
      </c>
      <c r="BW21" s="389">
        <f t="shared" si="32"/>
        <v>8.5027294279836596</v>
      </c>
      <c r="BX21" s="389">
        <v>5</v>
      </c>
      <c r="BY21" s="389">
        <v>5.29</v>
      </c>
      <c r="BZ21" s="389">
        <v>9.94</v>
      </c>
      <c r="CA21" s="389">
        <f t="shared" si="33"/>
        <v>4.6499999999999995</v>
      </c>
      <c r="CB21" s="389">
        <v>8.5299999999999994</v>
      </c>
      <c r="CC21" s="389">
        <v>12.35</v>
      </c>
      <c r="CD21" s="389">
        <f t="shared" si="34"/>
        <v>3.8200000000000003</v>
      </c>
      <c r="CE21" s="389"/>
      <c r="CF21" s="389"/>
    </row>
    <row r="22" spans="8:84" s="388" customFormat="1" ht="10.7" customHeight="1">
      <c r="I22" s="446" t="s">
        <v>814</v>
      </c>
      <c r="J22" s="672">
        <v>121819.4</v>
      </c>
      <c r="K22" s="672">
        <v>1537.1</v>
      </c>
      <c r="L22" s="672">
        <f t="shared" si="14"/>
        <v>123356.5</v>
      </c>
      <c r="M22" s="672">
        <v>10203.1</v>
      </c>
      <c r="N22" s="672">
        <f t="shared" si="15"/>
        <v>113153.4</v>
      </c>
      <c r="O22" s="672">
        <v>16042.7</v>
      </c>
      <c r="P22" s="672">
        <v>59153.3</v>
      </c>
      <c r="Q22" s="672">
        <v>90660.7</v>
      </c>
      <c r="R22" s="649">
        <v>749607.5</v>
      </c>
      <c r="S22" s="427">
        <f t="shared" si="16"/>
        <v>840268.2</v>
      </c>
      <c r="T22" s="672">
        <f t="shared" si="17"/>
        <v>899421.5</v>
      </c>
      <c r="U22" s="672">
        <v>632.20000000000005</v>
      </c>
      <c r="V22" s="427">
        <f t="shared" si="18"/>
        <v>204446.3</v>
      </c>
      <c r="W22" s="427">
        <f t="shared" si="19"/>
        <v>954053.8</v>
      </c>
      <c r="X22" s="649" t="s">
        <v>481</v>
      </c>
      <c r="Y22" s="649" t="s">
        <v>481</v>
      </c>
      <c r="Z22" s="446" t="s">
        <v>814</v>
      </c>
      <c r="AA22" s="427">
        <v>0</v>
      </c>
      <c r="AB22" s="672">
        <v>15103.6</v>
      </c>
      <c r="AC22" s="672">
        <v>673766.5</v>
      </c>
      <c r="AD22" s="427">
        <f t="shared" si="20"/>
        <v>688870.1</v>
      </c>
      <c r="AE22" s="427">
        <v>0</v>
      </c>
      <c r="AF22" s="672">
        <v>1456.2</v>
      </c>
      <c r="AG22" s="672">
        <v>22786.7</v>
      </c>
      <c r="AH22" s="427">
        <f t="shared" si="21"/>
        <v>24242.9</v>
      </c>
      <c r="AI22" s="676">
        <v>10449</v>
      </c>
      <c r="AJ22" s="676">
        <v>154758.1</v>
      </c>
      <c r="AK22" s="676">
        <v>15544.9</v>
      </c>
      <c r="AL22" s="677">
        <f t="shared" si="22"/>
        <v>170303</v>
      </c>
      <c r="AM22" s="427">
        <f t="shared" si="35"/>
        <v>10449</v>
      </c>
      <c r="AN22" s="427">
        <f t="shared" si="35"/>
        <v>171317.9</v>
      </c>
      <c r="AO22" s="427">
        <f t="shared" si="35"/>
        <v>712098.1</v>
      </c>
      <c r="AP22" s="427">
        <f t="shared" si="35"/>
        <v>883416</v>
      </c>
      <c r="AQ22" s="446" t="s">
        <v>814</v>
      </c>
      <c r="AR22" s="672">
        <v>5751.9</v>
      </c>
      <c r="AS22" s="672">
        <v>22994.6</v>
      </c>
      <c r="AT22" s="672">
        <v>10276.5</v>
      </c>
      <c r="AU22" s="672">
        <v>101.6</v>
      </c>
      <c r="AV22" s="672">
        <f>899473.3-13.7</f>
        <v>899459.60000000009</v>
      </c>
      <c r="AW22" s="672">
        <v>6050.4</v>
      </c>
      <c r="AX22" s="427">
        <f t="shared" si="24"/>
        <v>905510.00000000012</v>
      </c>
      <c r="AY22" s="427">
        <f t="shared" si="25"/>
        <v>58858.150000000009</v>
      </c>
      <c r="AZ22" s="427">
        <f t="shared" si="26"/>
        <v>8651.3499999999913</v>
      </c>
      <c r="BA22" s="672">
        <v>67509.5</v>
      </c>
      <c r="BB22" s="672">
        <v>2461740.5</v>
      </c>
      <c r="BC22" s="426">
        <f t="shared" si="27"/>
        <v>190866</v>
      </c>
      <c r="BD22" s="672">
        <v>0</v>
      </c>
      <c r="BE22" s="672">
        <v>12245.2</v>
      </c>
      <c r="BF22" s="672">
        <v>3398.5</v>
      </c>
      <c r="BG22" s="672">
        <v>153465.79999999999</v>
      </c>
      <c r="BH22" s="427">
        <f t="shared" si="28"/>
        <v>169109.5</v>
      </c>
      <c r="BI22" s="446" t="s">
        <v>814</v>
      </c>
      <c r="BJ22" s="434">
        <v>-13.64</v>
      </c>
      <c r="BK22" s="434">
        <v>2.0499999999999998</v>
      </c>
      <c r="BL22" s="434">
        <v>6.86</v>
      </c>
      <c r="BM22" s="434">
        <v>3.84</v>
      </c>
      <c r="BN22" s="434">
        <v>4.1100000000000003</v>
      </c>
      <c r="BO22" s="434" t="s">
        <v>481</v>
      </c>
      <c r="BP22" s="434" t="s">
        <v>481</v>
      </c>
      <c r="BQ22" s="435" t="s">
        <v>481</v>
      </c>
      <c r="BR22" s="435">
        <v>9654</v>
      </c>
      <c r="BS22" s="435">
        <v>3710</v>
      </c>
      <c r="BT22" s="434">
        <f t="shared" si="29"/>
        <v>98.216306769086671</v>
      </c>
      <c r="BU22" s="434">
        <f t="shared" si="30"/>
        <v>93.169629169256282</v>
      </c>
      <c r="BV22" s="434">
        <f t="shared" si="31"/>
        <v>91.507768800497203</v>
      </c>
      <c r="BW22" s="434">
        <f t="shared" si="32"/>
        <v>8.6399211259738617</v>
      </c>
      <c r="BX22" s="434">
        <v>5</v>
      </c>
      <c r="BY22" s="434">
        <v>5.22</v>
      </c>
      <c r="BZ22" s="434">
        <v>9.93</v>
      </c>
      <c r="CA22" s="434">
        <f t="shared" si="33"/>
        <v>4.71</v>
      </c>
      <c r="CB22" s="434">
        <v>8.4700000000000006</v>
      </c>
      <c r="CC22" s="434">
        <v>12.32</v>
      </c>
      <c r="CD22" s="434">
        <f t="shared" si="34"/>
        <v>3.8499999999999996</v>
      </c>
      <c r="CE22" s="389"/>
      <c r="CF22" s="389"/>
    </row>
    <row r="23" spans="8:84" s="388" customFormat="1" ht="10.7" customHeight="1">
      <c r="I23" s="251" t="s">
        <v>822</v>
      </c>
      <c r="J23" s="678">
        <v>121448.2</v>
      </c>
      <c r="K23" s="678">
        <v>1530.9</v>
      </c>
      <c r="L23" s="678">
        <f t="shared" si="14"/>
        <v>122979.09999999999</v>
      </c>
      <c r="M23" s="678">
        <v>10411.5</v>
      </c>
      <c r="N23" s="678">
        <f t="shared" si="15"/>
        <v>112567.59999999999</v>
      </c>
      <c r="O23" s="678">
        <v>13996.6</v>
      </c>
      <c r="P23" s="678">
        <v>56584.7</v>
      </c>
      <c r="Q23" s="678">
        <v>85567.2</v>
      </c>
      <c r="R23" s="682">
        <v>752788.2</v>
      </c>
      <c r="S23" s="343">
        <f t="shared" si="16"/>
        <v>838355.39999999991</v>
      </c>
      <c r="T23" s="343">
        <f t="shared" si="17"/>
        <v>894940.09999999986</v>
      </c>
      <c r="U23" s="678">
        <v>659.9</v>
      </c>
      <c r="V23" s="343">
        <f t="shared" si="18"/>
        <v>198794.69999999998</v>
      </c>
      <c r="W23" s="343">
        <f t="shared" si="19"/>
        <v>951582.89999999991</v>
      </c>
      <c r="X23" s="682" t="s">
        <v>481</v>
      </c>
      <c r="Y23" s="682" t="s">
        <v>481</v>
      </c>
      <c r="Z23" s="251" t="s">
        <v>822</v>
      </c>
      <c r="AA23" s="343">
        <v>0</v>
      </c>
      <c r="AB23" s="678">
        <v>15074.9</v>
      </c>
      <c r="AC23" s="678">
        <v>676993.6</v>
      </c>
      <c r="AD23" s="343">
        <f t="shared" si="20"/>
        <v>692068.5</v>
      </c>
      <c r="AE23" s="343">
        <v>0</v>
      </c>
      <c r="AF23" s="678">
        <v>1503.8</v>
      </c>
      <c r="AG23" s="678">
        <v>22208.1</v>
      </c>
      <c r="AH23" s="343">
        <f t="shared" si="21"/>
        <v>23711.899999999998</v>
      </c>
      <c r="AI23" s="703">
        <v>10186.700000000001</v>
      </c>
      <c r="AJ23" s="703">
        <v>153571.1</v>
      </c>
      <c r="AK23" s="703">
        <v>15285.6</v>
      </c>
      <c r="AL23" s="653">
        <f t="shared" si="22"/>
        <v>168856.7</v>
      </c>
      <c r="AM23" s="343">
        <f t="shared" si="35"/>
        <v>10186.700000000001</v>
      </c>
      <c r="AN23" s="343">
        <f t="shared" si="35"/>
        <v>170149.80000000002</v>
      </c>
      <c r="AO23" s="343">
        <f t="shared" si="35"/>
        <v>714487.29999999993</v>
      </c>
      <c r="AP23" s="343">
        <f t="shared" si="35"/>
        <v>884637.10000000009</v>
      </c>
      <c r="AQ23" s="251" t="s">
        <v>822</v>
      </c>
      <c r="AR23" s="678">
        <v>5672.9</v>
      </c>
      <c r="AS23" s="678">
        <v>23582.7</v>
      </c>
      <c r="AT23" s="678">
        <v>11833.9</v>
      </c>
      <c r="AU23" s="678">
        <v>91.4</v>
      </c>
      <c r="AV23" s="678">
        <f>894989.4-18.3</f>
        <v>894971.1</v>
      </c>
      <c r="AW23" s="678">
        <v>5691.9</v>
      </c>
      <c r="AX23" s="343">
        <f t="shared" si="24"/>
        <v>900663</v>
      </c>
      <c r="AY23" s="343">
        <f t="shared" si="25"/>
        <v>58543.095000000001</v>
      </c>
      <c r="AZ23" s="343">
        <f t="shared" si="26"/>
        <v>6380.1049999999959</v>
      </c>
      <c r="BA23" s="678">
        <v>64923.199999999997</v>
      </c>
      <c r="BB23" s="678">
        <v>2488204.2000000002</v>
      </c>
      <c r="BC23" s="342">
        <f t="shared" si="27"/>
        <v>187902.3</v>
      </c>
      <c r="BD23" s="678">
        <v>0</v>
      </c>
      <c r="BE23" s="678">
        <v>10096.6</v>
      </c>
      <c r="BF23" s="678">
        <v>3503</v>
      </c>
      <c r="BG23" s="678">
        <v>152278.1</v>
      </c>
      <c r="BH23" s="343">
        <f t="shared" si="28"/>
        <v>165877.70000000001</v>
      </c>
      <c r="BI23" s="251" t="s">
        <v>822</v>
      </c>
      <c r="BJ23" s="389">
        <v>-15.64</v>
      </c>
      <c r="BK23" s="389">
        <v>1.1599999999999999</v>
      </c>
      <c r="BL23" s="389">
        <v>7.2</v>
      </c>
      <c r="BM23" s="389">
        <v>3.83</v>
      </c>
      <c r="BN23" s="389">
        <v>3.84</v>
      </c>
      <c r="BO23" s="389" t="s">
        <v>481</v>
      </c>
      <c r="BP23" s="389" t="s">
        <v>481</v>
      </c>
      <c r="BQ23" s="577" t="s">
        <v>481</v>
      </c>
      <c r="BR23" s="577">
        <v>9663</v>
      </c>
      <c r="BS23" s="577">
        <v>3710</v>
      </c>
      <c r="BT23" s="389">
        <f t="shared" ref="BT23:BT24" si="36">AP23/AV23*100</f>
        <v>98.845325843482556</v>
      </c>
      <c r="BU23" s="389">
        <f t="shared" si="30"/>
        <v>92.618348339025147</v>
      </c>
      <c r="BV23" s="389">
        <f t="shared" si="31"/>
        <v>91.548908206561123</v>
      </c>
      <c r="BW23" s="389">
        <f t="shared" si="32"/>
        <v>8.4175567233400059</v>
      </c>
      <c r="BX23" s="389">
        <v>5</v>
      </c>
      <c r="BY23" s="389">
        <v>5.13</v>
      </c>
      <c r="BZ23" s="389">
        <v>9.85</v>
      </c>
      <c r="CA23" s="389">
        <f t="shared" si="33"/>
        <v>4.72</v>
      </c>
      <c r="CB23" s="389">
        <v>8.42</v>
      </c>
      <c r="CC23" s="389">
        <v>12.26</v>
      </c>
      <c r="CD23" s="389">
        <f t="shared" si="34"/>
        <v>3.84</v>
      </c>
      <c r="CE23" s="389"/>
      <c r="CF23" s="389"/>
    </row>
    <row r="24" spans="8:84" s="388" customFormat="1" ht="10.7" customHeight="1">
      <c r="I24" s="446" t="s">
        <v>823</v>
      </c>
      <c r="J24" s="672">
        <v>121980.9</v>
      </c>
      <c r="K24" s="672">
        <v>1526.9</v>
      </c>
      <c r="L24" s="672">
        <f t="shared" si="14"/>
        <v>123507.79999999999</v>
      </c>
      <c r="M24" s="672">
        <v>11008.1</v>
      </c>
      <c r="N24" s="672">
        <f t="shared" si="15"/>
        <v>112499.69999999998</v>
      </c>
      <c r="O24" s="672">
        <v>13553.8</v>
      </c>
      <c r="P24" s="672">
        <v>56185.7</v>
      </c>
      <c r="Q24" s="672">
        <v>87571.7</v>
      </c>
      <c r="R24" s="649">
        <v>757175.2</v>
      </c>
      <c r="S24" s="649">
        <f t="shared" si="16"/>
        <v>844746.89999999991</v>
      </c>
      <c r="T24" s="649">
        <f t="shared" si="17"/>
        <v>900932.59999999986</v>
      </c>
      <c r="U24" s="672">
        <v>639.9</v>
      </c>
      <c r="V24" s="427">
        <f t="shared" si="18"/>
        <v>200711.29999999996</v>
      </c>
      <c r="W24" s="427">
        <f t="shared" si="19"/>
        <v>957886.49999999988</v>
      </c>
      <c r="X24" s="649" t="s">
        <v>481</v>
      </c>
      <c r="Y24" s="649" t="s">
        <v>481</v>
      </c>
      <c r="Z24" s="446" t="s">
        <v>823</v>
      </c>
      <c r="AA24" s="427">
        <v>0</v>
      </c>
      <c r="AB24" s="672">
        <v>14269.2</v>
      </c>
      <c r="AC24" s="672">
        <v>682365.3</v>
      </c>
      <c r="AD24" s="427">
        <f t="shared" si="20"/>
        <v>696634.5</v>
      </c>
      <c r="AE24" s="427">
        <v>0</v>
      </c>
      <c r="AF24" s="672">
        <v>1512.7</v>
      </c>
      <c r="AG24" s="672">
        <v>25338.400000000001</v>
      </c>
      <c r="AH24" s="427">
        <f t="shared" si="21"/>
        <v>26851.100000000002</v>
      </c>
      <c r="AI24" s="676">
        <v>11546.2</v>
      </c>
      <c r="AJ24" s="676">
        <v>152293.5</v>
      </c>
      <c r="AK24" s="676">
        <v>15157.7</v>
      </c>
      <c r="AL24" s="677">
        <f t="shared" si="22"/>
        <v>167451.20000000001</v>
      </c>
      <c r="AM24" s="427">
        <f t="shared" si="35"/>
        <v>11546.2</v>
      </c>
      <c r="AN24" s="427">
        <f t="shared" si="35"/>
        <v>168075.4</v>
      </c>
      <c r="AO24" s="427">
        <f t="shared" si="35"/>
        <v>722861.4</v>
      </c>
      <c r="AP24" s="427">
        <f t="shared" si="35"/>
        <v>890936.8</v>
      </c>
      <c r="AQ24" s="446" t="s">
        <v>823</v>
      </c>
      <c r="AR24" s="672">
        <v>6046.6</v>
      </c>
      <c r="AS24" s="672">
        <v>23421.4</v>
      </c>
      <c r="AT24" s="672">
        <v>14419.1</v>
      </c>
      <c r="AU24" s="672">
        <v>148.9</v>
      </c>
      <c r="AV24" s="672">
        <f>900982.2-18.3</f>
        <v>900963.89999999991</v>
      </c>
      <c r="AW24" s="672">
        <v>5639.1</v>
      </c>
      <c r="AX24" s="427">
        <f t="shared" si="24"/>
        <v>906602.99999999988</v>
      </c>
      <c r="AY24" s="427">
        <f t="shared" si="25"/>
        <v>58929.194999999992</v>
      </c>
      <c r="AZ24" s="427">
        <f t="shared" si="26"/>
        <v>8176.0050000000047</v>
      </c>
      <c r="BA24" s="672">
        <v>67105.2</v>
      </c>
      <c r="BB24" s="672">
        <v>2254175.5</v>
      </c>
      <c r="BC24" s="426">
        <f t="shared" si="27"/>
        <v>190613</v>
      </c>
      <c r="BD24" s="672">
        <v>0</v>
      </c>
      <c r="BE24" s="672">
        <v>10111</v>
      </c>
      <c r="BF24" s="672">
        <v>3287.3</v>
      </c>
      <c r="BG24" s="672">
        <v>151005.79999999999</v>
      </c>
      <c r="BH24" s="427">
        <f t="shared" si="28"/>
        <v>164404.09999999998</v>
      </c>
      <c r="BI24" s="446" t="s">
        <v>823</v>
      </c>
      <c r="BJ24" s="434">
        <v>-18.12</v>
      </c>
      <c r="BK24" s="434">
        <v>-2.48</v>
      </c>
      <c r="BL24" s="434">
        <v>8.4499999999999993</v>
      </c>
      <c r="BM24" s="434">
        <v>4.4400000000000004</v>
      </c>
      <c r="BN24" s="434">
        <v>4.53</v>
      </c>
      <c r="BO24" s="434" t="s">
        <v>481</v>
      </c>
      <c r="BP24" s="434" t="s">
        <v>481</v>
      </c>
      <c r="BQ24" s="435" t="s">
        <v>481</v>
      </c>
      <c r="BR24" s="435">
        <v>9667</v>
      </c>
      <c r="BS24" s="435">
        <v>3710</v>
      </c>
      <c r="BT24" s="434">
        <f t="shared" si="36"/>
        <v>98.887069726101146</v>
      </c>
      <c r="BU24" s="434">
        <f t="shared" si="30"/>
        <v>93.199948277645589</v>
      </c>
      <c r="BV24" s="434">
        <f t="shared" si="31"/>
        <v>92.162697838005585</v>
      </c>
      <c r="BW24" s="434">
        <f t="shared" si="32"/>
        <v>8.6699700176666354</v>
      </c>
      <c r="BX24" s="434">
        <v>5</v>
      </c>
      <c r="BY24" s="434">
        <v>5.08</v>
      </c>
      <c r="BZ24" s="434">
        <v>9.77</v>
      </c>
      <c r="CA24" s="434">
        <f t="shared" si="33"/>
        <v>4.6899999999999995</v>
      </c>
      <c r="CB24" s="434">
        <v>8.3800000000000008</v>
      </c>
      <c r="CC24" s="434">
        <v>12.19</v>
      </c>
      <c r="CD24" s="434">
        <f t="shared" si="34"/>
        <v>3.8099999999999987</v>
      </c>
      <c r="CE24" s="389"/>
      <c r="CF24" s="389"/>
    </row>
    <row r="25" spans="8:84" s="388" customFormat="1" ht="10.7" customHeight="1">
      <c r="I25" s="251" t="s">
        <v>815</v>
      </c>
      <c r="J25" s="678">
        <v>122950.3</v>
      </c>
      <c r="K25" s="678">
        <v>1524.5</v>
      </c>
      <c r="L25" s="678">
        <f t="shared" si="14"/>
        <v>124474.8</v>
      </c>
      <c r="M25" s="678">
        <v>10364.9</v>
      </c>
      <c r="N25" s="678">
        <f t="shared" si="15"/>
        <v>114109.90000000001</v>
      </c>
      <c r="O25" s="678">
        <v>14867.7</v>
      </c>
      <c r="P25" s="678">
        <v>55992.2</v>
      </c>
      <c r="Q25" s="678">
        <v>87858.8</v>
      </c>
      <c r="R25" s="682">
        <v>762214.40000000002</v>
      </c>
      <c r="S25" s="682">
        <f t="shared" si="16"/>
        <v>850073.20000000007</v>
      </c>
      <c r="T25" s="682">
        <f t="shared" si="17"/>
        <v>906065.4</v>
      </c>
      <c r="U25" s="678">
        <v>640</v>
      </c>
      <c r="V25" s="343">
        <f t="shared" si="18"/>
        <v>202608.7</v>
      </c>
      <c r="W25" s="343">
        <f t="shared" si="19"/>
        <v>964823.10000000009</v>
      </c>
      <c r="X25" s="682" t="s">
        <v>481</v>
      </c>
      <c r="Y25" s="682" t="s">
        <v>481</v>
      </c>
      <c r="Z25" s="251" t="s">
        <v>815</v>
      </c>
      <c r="AA25" s="343">
        <v>0</v>
      </c>
      <c r="AB25" s="678">
        <v>14859.8</v>
      </c>
      <c r="AC25" s="678">
        <v>692987</v>
      </c>
      <c r="AD25" s="343">
        <f t="shared" si="20"/>
        <v>707846.8</v>
      </c>
      <c r="AE25" s="343">
        <v>0</v>
      </c>
      <c r="AF25" s="678">
        <v>1491</v>
      </c>
      <c r="AG25" s="678">
        <v>25630.9</v>
      </c>
      <c r="AH25" s="343">
        <f t="shared" si="21"/>
        <v>27121.9</v>
      </c>
      <c r="AI25" s="703">
        <v>12271.2</v>
      </c>
      <c r="AJ25" s="703">
        <v>149580.9</v>
      </c>
      <c r="AK25" s="703">
        <v>15156.1</v>
      </c>
      <c r="AL25" s="653">
        <f t="shared" si="22"/>
        <v>164737</v>
      </c>
      <c r="AM25" s="343">
        <f t="shared" si="35"/>
        <v>12271.2</v>
      </c>
      <c r="AN25" s="343">
        <f t="shared" si="35"/>
        <v>165931.69999999998</v>
      </c>
      <c r="AO25" s="343">
        <f t="shared" si="35"/>
        <v>733774</v>
      </c>
      <c r="AP25" s="343">
        <f t="shared" si="35"/>
        <v>899705.70000000007</v>
      </c>
      <c r="AQ25" s="251" t="s">
        <v>815</v>
      </c>
      <c r="AR25" s="678">
        <v>6911.3</v>
      </c>
      <c r="AS25" s="678">
        <v>23591.8</v>
      </c>
      <c r="AT25" s="678">
        <v>15950</v>
      </c>
      <c r="AU25" s="678">
        <v>117.2</v>
      </c>
      <c r="AV25" s="678">
        <f>906113.9-18</f>
        <v>906095.9</v>
      </c>
      <c r="AW25" s="678">
        <v>5632.4</v>
      </c>
      <c r="AX25" s="343">
        <f t="shared" si="24"/>
        <v>911728.3</v>
      </c>
      <c r="AY25" s="343">
        <f t="shared" si="25"/>
        <v>59262.339500000002</v>
      </c>
      <c r="AZ25" s="343">
        <f t="shared" si="26"/>
        <v>8236.0604999999923</v>
      </c>
      <c r="BA25" s="678">
        <v>67498.399999999994</v>
      </c>
      <c r="BB25" s="678">
        <v>2107250</v>
      </c>
      <c r="BC25" s="342">
        <f t="shared" si="27"/>
        <v>191973.2</v>
      </c>
      <c r="BD25" s="678">
        <v>0</v>
      </c>
      <c r="BE25" s="678">
        <v>10017.5</v>
      </c>
      <c r="BF25" s="678">
        <v>3182.7</v>
      </c>
      <c r="BG25" s="678">
        <v>148310</v>
      </c>
      <c r="BH25" s="343">
        <f t="shared" si="28"/>
        <v>161510.20000000001</v>
      </c>
      <c r="BI25" s="251" t="s">
        <v>815</v>
      </c>
      <c r="BJ25" s="389">
        <v>-20.93</v>
      </c>
      <c r="BK25" s="389">
        <v>1.48</v>
      </c>
      <c r="BL25" s="389">
        <v>10.08</v>
      </c>
      <c r="BM25" s="389">
        <v>5.49</v>
      </c>
      <c r="BN25" s="389">
        <v>5.29</v>
      </c>
      <c r="BO25" s="389" t="s">
        <v>481</v>
      </c>
      <c r="BP25" s="389" t="s">
        <v>481</v>
      </c>
      <c r="BQ25" s="577" t="s">
        <v>481</v>
      </c>
      <c r="BR25" s="577">
        <v>9680</v>
      </c>
      <c r="BS25" s="577">
        <v>3712</v>
      </c>
      <c r="BT25" s="389">
        <f t="shared" ref="BT25:BT26" si="37">AP25/AV25*100</f>
        <v>99.294754561851576</v>
      </c>
      <c r="BU25" s="389">
        <f t="shared" si="30"/>
        <v>93.604948347107438</v>
      </c>
      <c r="BV25" s="389">
        <f t="shared" si="31"/>
        <v>92.944803719008277</v>
      </c>
      <c r="BW25" s="389">
        <f t="shared" si="32"/>
        <v>8.5932736258932394</v>
      </c>
      <c r="BX25" s="389">
        <v>5</v>
      </c>
      <c r="BY25" s="389">
        <v>5.01</v>
      </c>
      <c r="BZ25" s="389">
        <v>9.6999999999999993</v>
      </c>
      <c r="CA25" s="389">
        <f t="shared" si="33"/>
        <v>4.6899999999999995</v>
      </c>
      <c r="CB25" s="389">
        <v>8.34</v>
      </c>
      <c r="CC25" s="389">
        <v>12.07</v>
      </c>
      <c r="CD25" s="389">
        <f t="shared" si="34"/>
        <v>3.7300000000000004</v>
      </c>
      <c r="CE25" s="389"/>
      <c r="CF25" s="389"/>
    </row>
    <row r="26" spans="8:84" s="388" customFormat="1" ht="10.7" customHeight="1">
      <c r="I26" s="446" t="s">
        <v>824</v>
      </c>
      <c r="J26" s="672">
        <v>123343.2</v>
      </c>
      <c r="K26" s="672">
        <v>1519.5</v>
      </c>
      <c r="L26" s="672">
        <f t="shared" si="14"/>
        <v>124862.7</v>
      </c>
      <c r="M26" s="672">
        <v>11105.2</v>
      </c>
      <c r="N26" s="672">
        <f t="shared" si="15"/>
        <v>113757.5</v>
      </c>
      <c r="O26" s="672">
        <v>16205.6</v>
      </c>
      <c r="P26" s="672">
        <v>60389.9</v>
      </c>
      <c r="Q26" s="672">
        <v>89877.1</v>
      </c>
      <c r="R26" s="649">
        <v>766967.7</v>
      </c>
      <c r="S26" s="649">
        <f t="shared" si="16"/>
        <v>856844.79999999993</v>
      </c>
      <c r="T26" s="649">
        <f t="shared" si="17"/>
        <v>917234.7</v>
      </c>
      <c r="U26" s="672">
        <v>661.4</v>
      </c>
      <c r="V26" s="427">
        <f t="shared" si="18"/>
        <v>204296</v>
      </c>
      <c r="W26" s="427">
        <f t="shared" si="19"/>
        <v>971263.7</v>
      </c>
      <c r="X26" s="649" t="s">
        <v>481</v>
      </c>
      <c r="Y26" s="649" t="s">
        <v>481</v>
      </c>
      <c r="Z26" s="446" t="s">
        <v>824</v>
      </c>
      <c r="AA26" s="427">
        <v>0</v>
      </c>
      <c r="AB26" s="672">
        <v>15362.5</v>
      </c>
      <c r="AC26" s="672">
        <v>702753.8</v>
      </c>
      <c r="AD26" s="427">
        <f t="shared" si="20"/>
        <v>718116.3</v>
      </c>
      <c r="AE26" s="427">
        <v>0</v>
      </c>
      <c r="AF26" s="672">
        <v>1534.1</v>
      </c>
      <c r="AG26" s="672">
        <v>25793.200000000001</v>
      </c>
      <c r="AH26" s="427">
        <f t="shared" si="21"/>
        <v>27327.3</v>
      </c>
      <c r="AI26" s="676">
        <v>11555.4</v>
      </c>
      <c r="AJ26" s="676">
        <v>144420.9</v>
      </c>
      <c r="AK26" s="676">
        <v>15827.9</v>
      </c>
      <c r="AL26" s="677">
        <f t="shared" si="22"/>
        <v>160248.79999999999</v>
      </c>
      <c r="AM26" s="427">
        <f t="shared" si="35"/>
        <v>11555.4</v>
      </c>
      <c r="AN26" s="427">
        <f t="shared" si="35"/>
        <v>161317.5</v>
      </c>
      <c r="AO26" s="427">
        <f t="shared" si="35"/>
        <v>744374.9</v>
      </c>
      <c r="AP26" s="427">
        <f t="shared" si="35"/>
        <v>905692.40000000014</v>
      </c>
      <c r="AQ26" s="446" t="s">
        <v>824</v>
      </c>
      <c r="AR26" s="672">
        <v>6672.1</v>
      </c>
      <c r="AS26" s="672">
        <v>23479.7</v>
      </c>
      <c r="AT26" s="672">
        <v>16417.5</v>
      </c>
      <c r="AU26" s="672">
        <v>40.1</v>
      </c>
      <c r="AV26" s="672">
        <f>917283.4-17.9</f>
        <v>917265.5</v>
      </c>
      <c r="AW26" s="672">
        <v>5665.6</v>
      </c>
      <c r="AX26" s="427">
        <f t="shared" si="24"/>
        <v>922931.1</v>
      </c>
      <c r="AY26" s="427">
        <f t="shared" si="25"/>
        <v>59990.521500000003</v>
      </c>
      <c r="AZ26" s="427">
        <f t="shared" si="26"/>
        <v>5989.6784999999945</v>
      </c>
      <c r="BA26" s="672">
        <v>65980.2</v>
      </c>
      <c r="BB26" s="672">
        <v>2121313.7000000002</v>
      </c>
      <c r="BC26" s="426">
        <f t="shared" si="27"/>
        <v>190842.9</v>
      </c>
      <c r="BD26" s="672">
        <v>0</v>
      </c>
      <c r="BE26" s="672">
        <v>10016.200000000001</v>
      </c>
      <c r="BF26" s="672">
        <v>3131.6</v>
      </c>
      <c r="BG26" s="672">
        <v>143183.6</v>
      </c>
      <c r="BH26" s="427">
        <f t="shared" si="28"/>
        <v>156331.40000000002</v>
      </c>
      <c r="BI26" s="446" t="s">
        <v>824</v>
      </c>
      <c r="BJ26" s="434">
        <v>-26.31</v>
      </c>
      <c r="BK26" s="434">
        <v>5</v>
      </c>
      <c r="BL26" s="434">
        <v>11.66</v>
      </c>
      <c r="BM26" s="434">
        <v>6.11</v>
      </c>
      <c r="BN26" s="434">
        <v>5.99</v>
      </c>
      <c r="BO26" s="434" t="s">
        <v>481</v>
      </c>
      <c r="BP26" s="434" t="s">
        <v>481</v>
      </c>
      <c r="BQ26" s="435" t="s">
        <v>481</v>
      </c>
      <c r="BR26" s="435">
        <v>9691</v>
      </c>
      <c r="BS26" s="435">
        <v>3713</v>
      </c>
      <c r="BT26" s="434">
        <f t="shared" si="37"/>
        <v>98.738304231435734</v>
      </c>
      <c r="BU26" s="434">
        <f t="shared" si="30"/>
        <v>94.651274378289131</v>
      </c>
      <c r="BV26" s="434">
        <f t="shared" si="31"/>
        <v>93.457063254566108</v>
      </c>
      <c r="BW26" s="434">
        <f t="shared" si="32"/>
        <v>8.4038263730621061</v>
      </c>
      <c r="BX26" s="434">
        <v>5</v>
      </c>
      <c r="BY26" s="434">
        <v>4.97</v>
      </c>
      <c r="BZ26" s="434">
        <v>9.6199999999999992</v>
      </c>
      <c r="CA26" s="434">
        <f t="shared" si="33"/>
        <v>4.6499999999999995</v>
      </c>
      <c r="CB26" s="434">
        <v>8.35</v>
      </c>
      <c r="CC26" s="434">
        <v>11.98</v>
      </c>
      <c r="CD26" s="434">
        <f t="shared" si="34"/>
        <v>3.6300000000000008</v>
      </c>
      <c r="CE26" s="389"/>
      <c r="CF26" s="389"/>
    </row>
    <row r="27" spans="8:84" s="388" customFormat="1" ht="10.7" customHeight="1">
      <c r="I27" s="251" t="s">
        <v>825</v>
      </c>
      <c r="J27" s="678">
        <v>127364.5</v>
      </c>
      <c r="K27" s="678">
        <v>1516.8</v>
      </c>
      <c r="L27" s="678">
        <f t="shared" si="14"/>
        <v>128881.3</v>
      </c>
      <c r="M27" s="678">
        <v>11744.8</v>
      </c>
      <c r="N27" s="678">
        <f t="shared" si="15"/>
        <v>117136.5</v>
      </c>
      <c r="O27" s="678">
        <v>17453.900000000001</v>
      </c>
      <c r="P27" s="678">
        <v>63710.6</v>
      </c>
      <c r="Q27" s="678">
        <v>91234.7</v>
      </c>
      <c r="R27" s="682">
        <v>769468.3</v>
      </c>
      <c r="S27" s="678">
        <f t="shared" si="16"/>
        <v>860703</v>
      </c>
      <c r="T27" s="678">
        <f t="shared" si="17"/>
        <v>924413.6</v>
      </c>
      <c r="U27" s="678">
        <v>640.6</v>
      </c>
      <c r="V27" s="343">
        <f t="shared" si="18"/>
        <v>209011.80000000002</v>
      </c>
      <c r="W27" s="343">
        <f t="shared" si="19"/>
        <v>978480.10000000009</v>
      </c>
      <c r="X27" s="682" t="s">
        <v>481</v>
      </c>
      <c r="Y27" s="682" t="s">
        <v>481</v>
      </c>
      <c r="Z27" s="251" t="s">
        <v>825</v>
      </c>
      <c r="AA27" s="343">
        <v>0</v>
      </c>
      <c r="AB27" s="678">
        <v>15656.6</v>
      </c>
      <c r="AC27" s="678">
        <v>712156.9</v>
      </c>
      <c r="AD27" s="343">
        <f t="shared" si="20"/>
        <v>727813.5</v>
      </c>
      <c r="AE27" s="343">
        <v>0</v>
      </c>
      <c r="AF27" s="678">
        <v>1647</v>
      </c>
      <c r="AG27" s="678">
        <v>26112.9</v>
      </c>
      <c r="AH27" s="343">
        <f t="shared" si="21"/>
        <v>27759.9</v>
      </c>
      <c r="AI27" s="703">
        <v>11632.9</v>
      </c>
      <c r="AJ27" s="703">
        <v>140677.6</v>
      </c>
      <c r="AK27" s="703">
        <v>15597</v>
      </c>
      <c r="AL27" s="653">
        <f t="shared" si="22"/>
        <v>156274.6</v>
      </c>
      <c r="AM27" s="343">
        <f t="shared" si="35"/>
        <v>11632.9</v>
      </c>
      <c r="AN27" s="343">
        <f t="shared" si="35"/>
        <v>157981.20000000001</v>
      </c>
      <c r="AO27" s="343">
        <f t="shared" si="35"/>
        <v>753866.8</v>
      </c>
      <c r="AP27" s="343">
        <f t="shared" si="35"/>
        <v>911848</v>
      </c>
      <c r="AQ27" s="251" t="s">
        <v>825</v>
      </c>
      <c r="AR27" s="678">
        <v>6870</v>
      </c>
      <c r="AS27" s="678">
        <v>22930.2</v>
      </c>
      <c r="AT27" s="678">
        <v>17212.099999999999</v>
      </c>
      <c r="AU27" s="678">
        <v>29.9</v>
      </c>
      <c r="AV27" s="678">
        <f>924462.3-22.29</f>
        <v>924440.01</v>
      </c>
      <c r="AW27" s="678">
        <v>6034.8</v>
      </c>
      <c r="AX27" s="343">
        <f t="shared" si="24"/>
        <v>930474.81</v>
      </c>
      <c r="AY27" s="343">
        <f t="shared" si="25"/>
        <v>60480.862650000003</v>
      </c>
      <c r="AZ27" s="343">
        <f t="shared" si="26"/>
        <v>5965.8373499999943</v>
      </c>
      <c r="BA27" s="678">
        <v>66446.7</v>
      </c>
      <c r="BB27" s="678">
        <v>2165057.9</v>
      </c>
      <c r="BC27" s="342">
        <f t="shared" si="27"/>
        <v>195328</v>
      </c>
      <c r="BD27" s="678">
        <v>435.9</v>
      </c>
      <c r="BE27" s="678">
        <v>10023.200000000001</v>
      </c>
      <c r="BF27" s="678">
        <v>3301.7</v>
      </c>
      <c r="BG27" s="678">
        <v>139446.1</v>
      </c>
      <c r="BH27" s="343">
        <f t="shared" si="28"/>
        <v>153206.90000000002</v>
      </c>
      <c r="BI27" s="251" t="s">
        <v>825</v>
      </c>
      <c r="BJ27" s="389">
        <v>-27.69</v>
      </c>
      <c r="BK27" s="389">
        <v>8.33</v>
      </c>
      <c r="BL27" s="389">
        <v>13.09</v>
      </c>
      <c r="BM27" s="389">
        <v>7.18</v>
      </c>
      <c r="BN27" s="389">
        <v>6.78</v>
      </c>
      <c r="BO27" s="389" t="s">
        <v>481</v>
      </c>
      <c r="BP27" s="389" t="s">
        <v>481</v>
      </c>
      <c r="BQ27" s="577" t="s">
        <v>481</v>
      </c>
      <c r="BR27" s="577">
        <v>9703</v>
      </c>
      <c r="BS27" s="577">
        <v>3713</v>
      </c>
      <c r="BT27" s="389">
        <f t="shared" ref="BT27" si="38">AP27/AV27*100</f>
        <v>98.637876999720078</v>
      </c>
      <c r="BU27" s="389">
        <f t="shared" si="30"/>
        <v>95.273627743996698</v>
      </c>
      <c r="BV27" s="389">
        <f t="shared" si="31"/>
        <v>93.975883747294645</v>
      </c>
      <c r="BW27" s="389">
        <f t="shared" si="32"/>
        <v>8.4582557174261641</v>
      </c>
      <c r="BX27" s="389">
        <v>5</v>
      </c>
      <c r="BY27" s="389">
        <v>4.93</v>
      </c>
      <c r="BZ27" s="389">
        <v>9.66</v>
      </c>
      <c r="CA27" s="389">
        <f t="shared" si="33"/>
        <v>4.7300000000000004</v>
      </c>
      <c r="CB27" s="389">
        <v>8.3699999999999992</v>
      </c>
      <c r="CC27" s="389">
        <v>11.79</v>
      </c>
      <c r="CD27" s="389">
        <f t="shared" si="34"/>
        <v>3.42</v>
      </c>
      <c r="CE27" s="389"/>
      <c r="CF27" s="389"/>
    </row>
    <row r="28" spans="8:84" s="388" customFormat="1" ht="10.7" customHeight="1">
      <c r="I28" s="446" t="s">
        <v>816</v>
      </c>
      <c r="J28" s="672">
        <v>149724.70000000001</v>
      </c>
      <c r="K28" s="672">
        <v>1540.5</v>
      </c>
      <c r="L28" s="672">
        <f t="shared" si="14"/>
        <v>151265.20000000001</v>
      </c>
      <c r="M28" s="672">
        <v>13733.4</v>
      </c>
      <c r="N28" s="672">
        <f t="shared" si="15"/>
        <v>137531.80000000002</v>
      </c>
      <c r="O28" s="672">
        <v>22096.9</v>
      </c>
      <c r="P28" s="672">
        <v>64651.3</v>
      </c>
      <c r="Q28" s="672">
        <v>101885.2</v>
      </c>
      <c r="R28" s="649">
        <v>775997.6</v>
      </c>
      <c r="S28" s="649">
        <f t="shared" si="16"/>
        <v>877882.79999999993</v>
      </c>
      <c r="T28" s="672">
        <f t="shared" si="17"/>
        <v>942534.1</v>
      </c>
      <c r="U28" s="672">
        <v>661.5</v>
      </c>
      <c r="V28" s="427">
        <f t="shared" si="18"/>
        <v>240078.5</v>
      </c>
      <c r="W28" s="427">
        <f t="shared" si="19"/>
        <v>1016076.1</v>
      </c>
      <c r="X28" s="649" t="s">
        <v>481</v>
      </c>
      <c r="Y28" s="649" t="s">
        <v>481</v>
      </c>
      <c r="Z28" s="446" t="s">
        <v>816</v>
      </c>
      <c r="AA28" s="427">
        <v>0</v>
      </c>
      <c r="AB28" s="672">
        <v>15533.2</v>
      </c>
      <c r="AC28" s="672">
        <v>728117</v>
      </c>
      <c r="AD28" s="427">
        <f t="shared" si="20"/>
        <v>743650.2</v>
      </c>
      <c r="AE28" s="427">
        <v>0</v>
      </c>
      <c r="AF28" s="672">
        <v>1726.2</v>
      </c>
      <c r="AG28" s="672">
        <v>27218.5</v>
      </c>
      <c r="AH28" s="427">
        <f t="shared" si="21"/>
        <v>28944.7</v>
      </c>
      <c r="AI28" s="676">
        <v>14073.4</v>
      </c>
      <c r="AJ28" s="676">
        <v>152329.70000000001</v>
      </c>
      <c r="AK28" s="676">
        <v>15744.2</v>
      </c>
      <c r="AL28" s="677">
        <f t="shared" si="22"/>
        <v>168073.90000000002</v>
      </c>
      <c r="AM28" s="427">
        <f t="shared" si="35"/>
        <v>14073.4</v>
      </c>
      <c r="AN28" s="427">
        <f t="shared" si="35"/>
        <v>169589.1</v>
      </c>
      <c r="AO28" s="427">
        <f t="shared" si="35"/>
        <v>771079.7</v>
      </c>
      <c r="AP28" s="427">
        <f t="shared" si="35"/>
        <v>940668.79999999993</v>
      </c>
      <c r="AQ28" s="446" t="s">
        <v>816</v>
      </c>
      <c r="AR28" s="672">
        <v>7470.4</v>
      </c>
      <c r="AS28" s="672">
        <v>24394.1</v>
      </c>
      <c r="AT28" s="672">
        <v>20759.3</v>
      </c>
      <c r="AU28" s="672">
        <v>62.9</v>
      </c>
      <c r="AV28" s="672">
        <f>942582.9-24.39</f>
        <v>942558.51</v>
      </c>
      <c r="AW28" s="672">
        <v>5784.1</v>
      </c>
      <c r="AX28" s="427">
        <f t="shared" si="24"/>
        <v>948342.61</v>
      </c>
      <c r="AY28" s="427">
        <f t="shared" si="25"/>
        <v>61642.269650000002</v>
      </c>
      <c r="AZ28" s="427">
        <f t="shared" si="26"/>
        <v>11090.430349999995</v>
      </c>
      <c r="BA28" s="672">
        <v>72732.7</v>
      </c>
      <c r="BB28" s="672">
        <v>2223734.2999999998</v>
      </c>
      <c r="BC28" s="426">
        <f t="shared" si="27"/>
        <v>223997.90000000002</v>
      </c>
      <c r="BD28" s="672">
        <v>3015.6</v>
      </c>
      <c r="BE28" s="672">
        <v>10964.5</v>
      </c>
      <c r="BF28" s="672">
        <v>3364.4</v>
      </c>
      <c r="BG28" s="672">
        <v>151102.29999999999</v>
      </c>
      <c r="BH28" s="427">
        <f t="shared" si="28"/>
        <v>168446.8</v>
      </c>
      <c r="BI28" s="446" t="s">
        <v>816</v>
      </c>
      <c r="BJ28" s="434">
        <v>-14.78</v>
      </c>
      <c r="BK28" s="434">
        <v>7.66</v>
      </c>
      <c r="BL28" s="434">
        <v>15.66</v>
      </c>
      <c r="BM28" s="434">
        <v>11.16</v>
      </c>
      <c r="BN28" s="434">
        <v>10.88</v>
      </c>
      <c r="BO28" s="434" t="s">
        <v>481</v>
      </c>
      <c r="BP28" s="434" t="s">
        <v>481</v>
      </c>
      <c r="BQ28" s="435" t="s">
        <v>481</v>
      </c>
      <c r="BR28" s="435">
        <v>9720</v>
      </c>
      <c r="BS28" s="435">
        <v>3713</v>
      </c>
      <c r="BT28" s="434">
        <f t="shared" ref="BT28" si="39">AP28/AV28*100</f>
        <v>99.799512711417776</v>
      </c>
      <c r="BU28" s="434">
        <f t="shared" si="30"/>
        <v>96.971040123456788</v>
      </c>
      <c r="BV28" s="434">
        <f t="shared" si="31"/>
        <v>96.776625514403278</v>
      </c>
      <c r="BW28" s="434">
        <f t="shared" si="32"/>
        <v>9.1735525256676098</v>
      </c>
      <c r="BX28" s="434">
        <v>5</v>
      </c>
      <c r="BY28" s="434">
        <v>4.84</v>
      </c>
      <c r="BZ28" s="434">
        <v>9.56</v>
      </c>
      <c r="CA28" s="434">
        <f t="shared" si="33"/>
        <v>4.7200000000000006</v>
      </c>
      <c r="CB28" s="434">
        <v>8.3699999999999992</v>
      </c>
      <c r="CC28" s="434">
        <v>11.69</v>
      </c>
      <c r="CD28" s="434">
        <f t="shared" si="34"/>
        <v>3.3200000000000003</v>
      </c>
      <c r="CE28" s="389"/>
      <c r="CF28" s="389"/>
    </row>
    <row r="29" spans="8:84" s="388" customFormat="1" ht="10.7" customHeight="1">
      <c r="H29" s="251"/>
      <c r="I29" s="1255" t="s">
        <v>2268</v>
      </c>
      <c r="J29" s="820">
        <f>J41</f>
        <v>153411.20000000001</v>
      </c>
      <c r="K29" s="820">
        <f t="shared" ref="K29:W29" si="40">K41</f>
        <v>1529.3</v>
      </c>
      <c r="L29" s="820">
        <f t="shared" si="40"/>
        <v>154940.5</v>
      </c>
      <c r="M29" s="820">
        <f t="shared" si="40"/>
        <v>14023</v>
      </c>
      <c r="N29" s="820">
        <f t="shared" si="40"/>
        <v>140917.5</v>
      </c>
      <c r="O29" s="820">
        <f t="shared" si="40"/>
        <v>33411</v>
      </c>
      <c r="P29" s="820">
        <f t="shared" si="40"/>
        <v>75790.3</v>
      </c>
      <c r="Q29" s="820">
        <f t="shared" si="40"/>
        <v>113217.1</v>
      </c>
      <c r="R29" s="820">
        <f t="shared" si="40"/>
        <v>855087.3</v>
      </c>
      <c r="S29" s="820">
        <f t="shared" si="40"/>
        <v>968304.4</v>
      </c>
      <c r="T29" s="820">
        <f t="shared" si="40"/>
        <v>1044094.7000000001</v>
      </c>
      <c r="U29" s="820">
        <f t="shared" si="40"/>
        <v>759.1</v>
      </c>
      <c r="V29" s="820">
        <f t="shared" si="40"/>
        <v>254893.7</v>
      </c>
      <c r="W29" s="820">
        <f t="shared" si="40"/>
        <v>1109981</v>
      </c>
      <c r="X29" s="1160" t="s">
        <v>481</v>
      </c>
      <c r="Y29" s="1160" t="s">
        <v>481</v>
      </c>
      <c r="Z29" s="1255" t="s">
        <v>2268</v>
      </c>
      <c r="AA29" s="820">
        <f t="shared" ref="AA29:AP29" si="41">AA41</f>
        <v>0</v>
      </c>
      <c r="AB29" s="820">
        <f t="shared" si="41"/>
        <v>18543.400000000001</v>
      </c>
      <c r="AC29" s="820">
        <f t="shared" si="41"/>
        <v>859131.1</v>
      </c>
      <c r="AD29" s="820">
        <f t="shared" si="41"/>
        <v>877674.5</v>
      </c>
      <c r="AE29" s="820">
        <f t="shared" si="41"/>
        <v>0</v>
      </c>
      <c r="AF29" s="820">
        <f t="shared" si="41"/>
        <v>1666.1</v>
      </c>
      <c r="AG29" s="820">
        <f t="shared" si="41"/>
        <v>26533.1</v>
      </c>
      <c r="AH29" s="820">
        <f t="shared" si="41"/>
        <v>28199.199999999997</v>
      </c>
      <c r="AI29" s="820">
        <f t="shared" si="41"/>
        <v>17367.400000000001</v>
      </c>
      <c r="AJ29" s="820">
        <f t="shared" si="41"/>
        <v>152836.79999999999</v>
      </c>
      <c r="AK29" s="820">
        <f t="shared" si="41"/>
        <v>16721.3</v>
      </c>
      <c r="AL29" s="820">
        <f t="shared" si="41"/>
        <v>169558.09999999998</v>
      </c>
      <c r="AM29" s="820">
        <f t="shared" si="41"/>
        <v>17367.400000000001</v>
      </c>
      <c r="AN29" s="820">
        <f t="shared" si="41"/>
        <v>173046.3</v>
      </c>
      <c r="AO29" s="820">
        <f t="shared" si="41"/>
        <v>902385.5</v>
      </c>
      <c r="AP29" s="820">
        <f t="shared" si="41"/>
        <v>1075431.7999999998</v>
      </c>
      <c r="AQ29" s="1255" t="s">
        <v>2268</v>
      </c>
      <c r="AR29" s="820">
        <f t="shared" ref="AR29:BH29" si="42">AR41</f>
        <v>9988.7999999999993</v>
      </c>
      <c r="AS29" s="820">
        <f t="shared" si="42"/>
        <v>32329.9</v>
      </c>
      <c r="AT29" s="820">
        <f t="shared" si="42"/>
        <v>25777.8</v>
      </c>
      <c r="AU29" s="820">
        <f t="shared" si="42"/>
        <v>59.2</v>
      </c>
      <c r="AV29" s="820">
        <f t="shared" si="42"/>
        <v>1044113.46</v>
      </c>
      <c r="AW29" s="820">
        <f t="shared" si="42"/>
        <v>7577.6</v>
      </c>
      <c r="AX29" s="820">
        <f t="shared" si="42"/>
        <v>1051691.06</v>
      </c>
      <c r="AY29" s="820">
        <f t="shared" si="42"/>
        <v>55721.048349999997</v>
      </c>
      <c r="AZ29" s="820">
        <f t="shared" si="42"/>
        <v>22320.841650000002</v>
      </c>
      <c r="BA29" s="820">
        <f t="shared" si="42"/>
        <v>78041.89</v>
      </c>
      <c r="BB29" s="820">
        <f t="shared" si="42"/>
        <v>2680520.5</v>
      </c>
      <c r="BC29" s="820">
        <f t="shared" si="42"/>
        <v>232982.39</v>
      </c>
      <c r="BD29" s="820">
        <f t="shared" si="42"/>
        <v>4000</v>
      </c>
      <c r="BE29" s="820">
        <f t="shared" si="42"/>
        <v>17878.900000000001</v>
      </c>
      <c r="BF29" s="820">
        <f t="shared" si="42"/>
        <v>4818</v>
      </c>
      <c r="BG29" s="820">
        <f t="shared" si="42"/>
        <v>151396</v>
      </c>
      <c r="BH29" s="820">
        <f t="shared" si="42"/>
        <v>178092.9</v>
      </c>
      <c r="BI29" s="1255" t="s">
        <v>2268</v>
      </c>
      <c r="BJ29" s="819">
        <f>BJ41</f>
        <v>-2.5099999999999998</v>
      </c>
      <c r="BK29" s="819">
        <f>BK41</f>
        <v>11.11</v>
      </c>
      <c r="BL29" s="819">
        <f>BL41</f>
        <v>16.940000000000001</v>
      </c>
      <c r="BM29" s="819">
        <f>BM41</f>
        <v>14.71</v>
      </c>
      <c r="BN29" s="819">
        <f>BN41</f>
        <v>9.24</v>
      </c>
      <c r="BO29" s="523">
        <v>2.0299999999999998</v>
      </c>
      <c r="BP29" s="523" t="s">
        <v>481</v>
      </c>
      <c r="BQ29" s="524" t="s">
        <v>481</v>
      </c>
      <c r="BR29" s="1030">
        <f t="shared" ref="BR29:CD29" si="43">BR41</f>
        <v>10114</v>
      </c>
      <c r="BS29" s="1030">
        <f t="shared" si="43"/>
        <v>3741</v>
      </c>
      <c r="BT29" s="819">
        <f t="shared" si="43"/>
        <v>102.99951501439315</v>
      </c>
      <c r="BU29" s="819">
        <f t="shared" si="43"/>
        <v>103.23447300771208</v>
      </c>
      <c r="BV29" s="819">
        <f t="shared" si="43"/>
        <v>106.33100652560805</v>
      </c>
      <c r="BW29" s="819">
        <f t="shared" si="43"/>
        <v>8.8175177820234207</v>
      </c>
      <c r="BX29" s="819">
        <f t="shared" si="43"/>
        <v>5</v>
      </c>
      <c r="BY29" s="819">
        <f t="shared" si="43"/>
        <v>5.5</v>
      </c>
      <c r="BZ29" s="819">
        <f t="shared" si="43"/>
        <v>9.9499999999999993</v>
      </c>
      <c r="CA29" s="819">
        <f t="shared" si="43"/>
        <v>4.4499999999999993</v>
      </c>
      <c r="CB29" s="819">
        <f t="shared" si="43"/>
        <v>10.14</v>
      </c>
      <c r="CC29" s="819">
        <f t="shared" si="43"/>
        <v>12.67</v>
      </c>
      <c r="CD29" s="819">
        <f t="shared" si="43"/>
        <v>2.5299999999999994</v>
      </c>
      <c r="CE29" s="389"/>
      <c r="CF29" s="389"/>
    </row>
    <row r="30" spans="8:84" s="388" customFormat="1" ht="10.7" customHeight="1">
      <c r="I30" s="446" t="s">
        <v>818</v>
      </c>
      <c r="J30" s="672">
        <v>136956.29999999999</v>
      </c>
      <c r="K30" s="672">
        <v>1540.2</v>
      </c>
      <c r="L30" s="672">
        <f t="shared" si="14"/>
        <v>138496.5</v>
      </c>
      <c r="M30" s="672">
        <v>12238.1</v>
      </c>
      <c r="N30" s="672">
        <f t="shared" si="15"/>
        <v>126258.4</v>
      </c>
      <c r="O30" s="672">
        <v>18811</v>
      </c>
      <c r="P30" s="672">
        <v>60959.199999999997</v>
      </c>
      <c r="Q30" s="672">
        <v>98980.800000000003</v>
      </c>
      <c r="R30" s="649">
        <v>783688.3</v>
      </c>
      <c r="S30" s="649">
        <f t="shared" si="16"/>
        <v>882669.10000000009</v>
      </c>
      <c r="T30" s="672">
        <f t="shared" si="17"/>
        <v>943628.3</v>
      </c>
      <c r="U30" s="672">
        <v>664.2</v>
      </c>
      <c r="V30" s="427">
        <f t="shared" ref="V30:V52" si="44">N30+Q30+U30</f>
        <v>225903.40000000002</v>
      </c>
      <c r="W30" s="427">
        <f t="shared" ref="W30:W52" si="45">R30+V30</f>
        <v>1009591.7000000001</v>
      </c>
      <c r="X30" s="649" t="s">
        <v>481</v>
      </c>
      <c r="Y30" s="649" t="s">
        <v>481</v>
      </c>
      <c r="Z30" s="446" t="s">
        <v>818</v>
      </c>
      <c r="AA30" s="427">
        <v>0</v>
      </c>
      <c r="AB30" s="672">
        <v>15772.1</v>
      </c>
      <c r="AC30" s="672">
        <v>729968</v>
      </c>
      <c r="AD30" s="427">
        <f t="shared" si="20"/>
        <v>745740.1</v>
      </c>
      <c r="AE30" s="427">
        <v>0</v>
      </c>
      <c r="AF30" s="672">
        <v>1717.7</v>
      </c>
      <c r="AG30" s="672">
        <v>27379.7</v>
      </c>
      <c r="AH30" s="427">
        <f t="shared" si="21"/>
        <v>29097.4</v>
      </c>
      <c r="AI30" s="676">
        <v>13287.6</v>
      </c>
      <c r="AJ30" s="676">
        <v>153991.70000000001</v>
      </c>
      <c r="AK30" s="676">
        <v>15747.8</v>
      </c>
      <c r="AL30" s="677">
        <f t="shared" si="22"/>
        <v>169739.5</v>
      </c>
      <c r="AM30" s="427">
        <f t="shared" ref="AM30:AM52" si="46">AA30+AE30+AI30</f>
        <v>13287.6</v>
      </c>
      <c r="AN30" s="427">
        <f t="shared" ref="AN30:AN52" si="47">AB30+AF30+AJ30</f>
        <v>171481.5</v>
      </c>
      <c r="AO30" s="427">
        <f t="shared" ref="AO30:AO52" si="48">AC30+AG30+AK30</f>
        <v>773095.5</v>
      </c>
      <c r="AP30" s="427">
        <f t="shared" ref="AP30:AP52" si="49">AD30+AH30+AL30</f>
        <v>944577</v>
      </c>
      <c r="AQ30" s="446" t="s">
        <v>818</v>
      </c>
      <c r="AR30" s="672">
        <v>5912.2</v>
      </c>
      <c r="AS30" s="672">
        <v>24569.7</v>
      </c>
      <c r="AT30" s="672">
        <v>19157.2</v>
      </c>
      <c r="AU30" s="672">
        <v>63.3</v>
      </c>
      <c r="AV30" s="672">
        <f>943677.1-24.03</f>
        <v>943653.07</v>
      </c>
      <c r="AW30" s="672">
        <v>6202.7</v>
      </c>
      <c r="AX30" s="427">
        <f t="shared" si="24"/>
        <v>949855.7699999999</v>
      </c>
      <c r="AY30" s="427">
        <f t="shared" ref="AY30:AY31" si="50">0.065*AX30</f>
        <v>61740.625049999995</v>
      </c>
      <c r="AZ30" s="427">
        <f t="shared" ref="AZ30:AZ33" si="51">BA30-AY30</f>
        <v>9386.4749500000107</v>
      </c>
      <c r="BA30" s="672">
        <v>71127.100000000006</v>
      </c>
      <c r="BB30" s="672">
        <v>2240565.5</v>
      </c>
      <c r="BC30" s="426">
        <f t="shared" si="27"/>
        <v>209623.6</v>
      </c>
      <c r="BD30" s="672">
        <v>0</v>
      </c>
      <c r="BE30" s="672">
        <v>10818</v>
      </c>
      <c r="BF30" s="672">
        <v>3297.4</v>
      </c>
      <c r="BG30" s="672">
        <v>152766.79999999999</v>
      </c>
      <c r="BH30" s="427">
        <f t="shared" si="28"/>
        <v>166882.19999999998</v>
      </c>
      <c r="BI30" s="446" t="s">
        <v>818</v>
      </c>
      <c r="BJ30" s="434">
        <v>-2.64</v>
      </c>
      <c r="BK30" s="434">
        <v>1.66</v>
      </c>
      <c r="BL30" s="434">
        <v>0.25</v>
      </c>
      <c r="BM30" s="434">
        <v>-0.04</v>
      </c>
      <c r="BN30" s="434">
        <v>-0.64</v>
      </c>
      <c r="BO30" s="434" t="s">
        <v>481</v>
      </c>
      <c r="BP30" s="434" t="s">
        <v>481</v>
      </c>
      <c r="BQ30" s="435" t="s">
        <v>481</v>
      </c>
      <c r="BR30" s="435">
        <v>9740</v>
      </c>
      <c r="BS30" s="435">
        <v>3713</v>
      </c>
      <c r="BT30" s="434">
        <f t="shared" ref="BT30" si="52">AP30/AV30*100</f>
        <v>100.09790992361206</v>
      </c>
      <c r="BU30" s="434">
        <f t="shared" ref="BU30:BU44" si="53">AV30/BR30</f>
        <v>96.884298767967138</v>
      </c>
      <c r="BV30" s="434">
        <f t="shared" ref="BV30:BV52" si="54">AP30/BR30</f>
        <v>96.979158110882963</v>
      </c>
      <c r="BW30" s="434">
        <f t="shared" ref="BW30:BW52" si="55">(M30+BA30)/AV30*100</f>
        <v>8.8343060230811332</v>
      </c>
      <c r="BX30" s="434">
        <v>5</v>
      </c>
      <c r="BY30" s="434">
        <v>4.8899999999999997</v>
      </c>
      <c r="BZ30" s="434">
        <v>9.51</v>
      </c>
      <c r="CA30" s="434">
        <f t="shared" si="33"/>
        <v>4.62</v>
      </c>
      <c r="CB30" s="434">
        <v>8.34</v>
      </c>
      <c r="CC30" s="434">
        <v>11.61</v>
      </c>
      <c r="CD30" s="434">
        <f t="shared" si="34"/>
        <v>3.2699999999999996</v>
      </c>
      <c r="CE30" s="389"/>
      <c r="CF30" s="389"/>
    </row>
    <row r="31" spans="8:84" s="388" customFormat="1" ht="10.7" customHeight="1">
      <c r="I31" s="251" t="s">
        <v>819</v>
      </c>
      <c r="J31" s="678">
        <v>157654.70000000001</v>
      </c>
      <c r="K31" s="678">
        <v>1544.6</v>
      </c>
      <c r="L31" s="678">
        <f t="shared" si="14"/>
        <v>159199.30000000002</v>
      </c>
      <c r="M31" s="678">
        <v>11375.9</v>
      </c>
      <c r="N31" s="678">
        <f t="shared" si="15"/>
        <v>147823.40000000002</v>
      </c>
      <c r="O31" s="678">
        <v>20104.900000000001</v>
      </c>
      <c r="P31" s="678">
        <v>63109.4</v>
      </c>
      <c r="Q31" s="678">
        <v>94907</v>
      </c>
      <c r="R31" s="682">
        <v>787748.4</v>
      </c>
      <c r="S31" s="682">
        <f t="shared" si="16"/>
        <v>882655.4</v>
      </c>
      <c r="T31" s="682">
        <f t="shared" si="17"/>
        <v>945764.8</v>
      </c>
      <c r="U31" s="678">
        <v>672.9</v>
      </c>
      <c r="V31" s="343">
        <f t="shared" si="44"/>
        <v>243403.30000000002</v>
      </c>
      <c r="W31" s="343">
        <f t="shared" si="45"/>
        <v>1031151.7000000001</v>
      </c>
      <c r="X31" s="682" t="s">
        <v>481</v>
      </c>
      <c r="Y31" s="682" t="s">
        <v>481</v>
      </c>
      <c r="Z31" s="251" t="s">
        <v>819</v>
      </c>
      <c r="AA31" s="343">
        <v>0</v>
      </c>
      <c r="AB31" s="678">
        <v>15760</v>
      </c>
      <c r="AC31" s="678">
        <v>742507.7</v>
      </c>
      <c r="AD31" s="343">
        <f t="shared" si="20"/>
        <v>758267.7</v>
      </c>
      <c r="AE31" s="343">
        <v>0</v>
      </c>
      <c r="AF31" s="678">
        <v>1941.9</v>
      </c>
      <c r="AG31" s="678">
        <v>28040.3</v>
      </c>
      <c r="AH31" s="343">
        <f t="shared" si="21"/>
        <v>29982.2</v>
      </c>
      <c r="AI31" s="703">
        <v>13156.9</v>
      </c>
      <c r="AJ31" s="703">
        <v>152296.1</v>
      </c>
      <c r="AK31" s="703">
        <v>16425.3</v>
      </c>
      <c r="AL31" s="653">
        <f t="shared" si="22"/>
        <v>168721.4</v>
      </c>
      <c r="AM31" s="343">
        <f t="shared" si="46"/>
        <v>13156.9</v>
      </c>
      <c r="AN31" s="343">
        <f t="shared" si="47"/>
        <v>169998</v>
      </c>
      <c r="AO31" s="343">
        <f t="shared" si="48"/>
        <v>786973.3</v>
      </c>
      <c r="AP31" s="343">
        <f t="shared" si="49"/>
        <v>956971.29999999993</v>
      </c>
      <c r="AQ31" s="251" t="s">
        <v>819</v>
      </c>
      <c r="AR31" s="678">
        <v>6760.9</v>
      </c>
      <c r="AS31" s="678">
        <v>23427.7</v>
      </c>
      <c r="AT31" s="678">
        <v>22323.4</v>
      </c>
      <c r="AU31" s="678">
        <v>68.400000000000006</v>
      </c>
      <c r="AV31" s="678">
        <f>945813.5-23.72</f>
        <v>945789.78</v>
      </c>
      <c r="AW31" s="678">
        <v>6586.7</v>
      </c>
      <c r="AX31" s="343">
        <f t="shared" si="24"/>
        <v>952376.48</v>
      </c>
      <c r="AY31" s="343">
        <f t="shared" si="50"/>
        <v>61904.4712</v>
      </c>
      <c r="AZ31" s="343">
        <f t="shared" si="51"/>
        <v>8418.9287999999942</v>
      </c>
      <c r="BA31" s="678">
        <v>70323.399999999994</v>
      </c>
      <c r="BB31" s="678">
        <v>2258622.1</v>
      </c>
      <c r="BC31" s="342">
        <f t="shared" si="27"/>
        <v>229522.7</v>
      </c>
      <c r="BD31" s="678">
        <v>4000</v>
      </c>
      <c r="BE31" s="678">
        <v>12718.1</v>
      </c>
      <c r="BF31" s="678">
        <v>3443</v>
      </c>
      <c r="BG31" s="678">
        <v>151013.5</v>
      </c>
      <c r="BH31" s="343">
        <f t="shared" si="28"/>
        <v>171174.6</v>
      </c>
      <c r="BI31" s="251" t="s">
        <v>819</v>
      </c>
      <c r="BJ31" s="389">
        <v>4.0599999999999996</v>
      </c>
      <c r="BK31" s="389">
        <v>2.38</v>
      </c>
      <c r="BL31" s="389">
        <v>2.0299999999999998</v>
      </c>
      <c r="BM31" s="389">
        <v>2.2599999999999998</v>
      </c>
      <c r="BN31" s="389">
        <v>1.48</v>
      </c>
      <c r="BO31" s="389" t="s">
        <v>481</v>
      </c>
      <c r="BP31" s="389" t="s">
        <v>481</v>
      </c>
      <c r="BQ31" s="577" t="s">
        <v>481</v>
      </c>
      <c r="BR31" s="577">
        <v>9752</v>
      </c>
      <c r="BS31" s="577">
        <v>3713</v>
      </c>
      <c r="BT31" s="389">
        <f t="shared" ref="BT31:BT41" si="56">AP31/AV31*100</f>
        <v>101.18224157592397</v>
      </c>
      <c r="BU31" s="389">
        <f t="shared" si="53"/>
        <v>96.984185808039385</v>
      </c>
      <c r="BV31" s="389">
        <f t="shared" si="54"/>
        <v>98.130773174733378</v>
      </c>
      <c r="BW31" s="389">
        <f t="shared" si="55"/>
        <v>8.6382092223495999</v>
      </c>
      <c r="BX31" s="389">
        <v>5</v>
      </c>
      <c r="BY31" s="389">
        <v>4.93</v>
      </c>
      <c r="BZ31" s="389">
        <v>9.4600000000000009</v>
      </c>
      <c r="CA31" s="389">
        <f t="shared" si="33"/>
        <v>4.5300000000000011</v>
      </c>
      <c r="CB31" s="389">
        <v>8.33</v>
      </c>
      <c r="CC31" s="389">
        <v>11.59</v>
      </c>
      <c r="CD31" s="389">
        <f t="shared" si="34"/>
        <v>3.26</v>
      </c>
      <c r="CE31" s="389"/>
      <c r="CF31" s="389"/>
    </row>
    <row r="32" spans="8:84" s="388" customFormat="1" ht="10.7" customHeight="1">
      <c r="I32" s="446" t="s">
        <v>813</v>
      </c>
      <c r="J32" s="672">
        <v>142587.20000000001</v>
      </c>
      <c r="K32" s="672">
        <v>1543.9</v>
      </c>
      <c r="L32" s="672">
        <f t="shared" si="14"/>
        <v>144131.1</v>
      </c>
      <c r="M32" s="672">
        <v>11307.9</v>
      </c>
      <c r="N32" s="672">
        <f t="shared" si="15"/>
        <v>132823.20000000001</v>
      </c>
      <c r="O32" s="672">
        <v>22254</v>
      </c>
      <c r="P32" s="672">
        <v>63544.1</v>
      </c>
      <c r="Q32" s="672">
        <v>97812.800000000003</v>
      </c>
      <c r="R32" s="649">
        <v>797377.4</v>
      </c>
      <c r="S32" s="649">
        <f t="shared" si="16"/>
        <v>895190.20000000007</v>
      </c>
      <c r="T32" s="649">
        <f t="shared" si="17"/>
        <v>958734.3</v>
      </c>
      <c r="U32" s="672">
        <v>687.4</v>
      </c>
      <c r="V32" s="427">
        <f t="shared" si="44"/>
        <v>231323.4</v>
      </c>
      <c r="W32" s="427">
        <f t="shared" si="45"/>
        <v>1028700.8</v>
      </c>
      <c r="X32" s="649" t="s">
        <v>481</v>
      </c>
      <c r="Y32" s="649" t="s">
        <v>481</v>
      </c>
      <c r="Z32" s="446" t="s">
        <v>813</v>
      </c>
      <c r="AA32" s="427">
        <v>0</v>
      </c>
      <c r="AB32" s="672">
        <v>15603.8</v>
      </c>
      <c r="AC32" s="672">
        <v>753085.6</v>
      </c>
      <c r="AD32" s="427">
        <f t="shared" si="20"/>
        <v>768689.4</v>
      </c>
      <c r="AE32" s="427">
        <v>0</v>
      </c>
      <c r="AF32" s="672">
        <v>1908.3</v>
      </c>
      <c r="AG32" s="672">
        <v>27191.7</v>
      </c>
      <c r="AH32" s="427">
        <f t="shared" si="21"/>
        <v>29100</v>
      </c>
      <c r="AI32" s="676">
        <v>13914.6</v>
      </c>
      <c r="AJ32" s="676">
        <v>153759.6</v>
      </c>
      <c r="AK32" s="676">
        <v>16103.9</v>
      </c>
      <c r="AL32" s="677">
        <f t="shared" si="22"/>
        <v>169863.5</v>
      </c>
      <c r="AM32" s="427">
        <f t="shared" si="46"/>
        <v>13914.6</v>
      </c>
      <c r="AN32" s="427">
        <f t="shared" si="47"/>
        <v>171271.7</v>
      </c>
      <c r="AO32" s="427">
        <f t="shared" si="48"/>
        <v>796381.2</v>
      </c>
      <c r="AP32" s="427">
        <f t="shared" si="49"/>
        <v>967652.9</v>
      </c>
      <c r="AQ32" s="446" t="s">
        <v>813</v>
      </c>
      <c r="AR32" s="672">
        <v>6395.4</v>
      </c>
      <c r="AS32" s="672">
        <v>23246.6</v>
      </c>
      <c r="AT32" s="672">
        <v>22200.9</v>
      </c>
      <c r="AU32" s="672">
        <v>49.6</v>
      </c>
      <c r="AV32" s="672">
        <f>958783.1-27.8</f>
        <v>958755.29999999993</v>
      </c>
      <c r="AW32" s="672">
        <v>6274.7</v>
      </c>
      <c r="AX32" s="427">
        <f t="shared" si="24"/>
        <v>965029.99999999988</v>
      </c>
      <c r="AY32" s="427">
        <f t="shared" ref="AY32:AY36" si="57">0.065*AX30</f>
        <v>61740.625049999995</v>
      </c>
      <c r="AZ32" s="427">
        <f t="shared" si="51"/>
        <v>8699.7449500000002</v>
      </c>
      <c r="BA32" s="672">
        <f>70441.7-1.33</f>
        <v>70440.37</v>
      </c>
      <c r="BB32" s="672">
        <v>2301412.7000000002</v>
      </c>
      <c r="BC32" s="426">
        <f t="shared" si="27"/>
        <v>214571.47</v>
      </c>
      <c r="BD32" s="672">
        <v>0</v>
      </c>
      <c r="BE32" s="672">
        <v>10848.6</v>
      </c>
      <c r="BF32" s="672">
        <v>3279.9</v>
      </c>
      <c r="BG32" s="672">
        <v>152467.1</v>
      </c>
      <c r="BH32" s="427">
        <f t="shared" si="28"/>
        <v>166595.6</v>
      </c>
      <c r="BI32" s="446" t="s">
        <v>813</v>
      </c>
      <c r="BJ32" s="434">
        <v>-2.97</v>
      </c>
      <c r="BK32" s="434">
        <v>2.2999999999999998</v>
      </c>
      <c r="BL32" s="434">
        <v>3.24</v>
      </c>
      <c r="BM32" s="434">
        <v>2.5499999999999998</v>
      </c>
      <c r="BN32" s="434">
        <v>1.24</v>
      </c>
      <c r="BO32" s="434" t="s">
        <v>481</v>
      </c>
      <c r="BP32" s="434" t="s">
        <v>481</v>
      </c>
      <c r="BQ32" s="435" t="s">
        <v>481</v>
      </c>
      <c r="BR32" s="435">
        <v>9774</v>
      </c>
      <c r="BS32" s="435">
        <v>3714</v>
      </c>
      <c r="BT32" s="434">
        <f t="shared" si="56"/>
        <v>100.92803659077556</v>
      </c>
      <c r="BU32" s="434">
        <f t="shared" si="53"/>
        <v>98.092418661755673</v>
      </c>
      <c r="BV32" s="434">
        <f t="shared" si="54"/>
        <v>99.002752199713527</v>
      </c>
      <c r="BW32" s="434">
        <f t="shared" si="55"/>
        <v>8.5264999317344063</v>
      </c>
      <c r="BX32" s="434">
        <v>5</v>
      </c>
      <c r="BY32" s="434">
        <v>4.9000000000000004</v>
      </c>
      <c r="BZ32" s="434">
        <v>9.4499999999999993</v>
      </c>
      <c r="CA32" s="434">
        <f t="shared" si="33"/>
        <v>4.5499999999999989</v>
      </c>
      <c r="CB32" s="434">
        <v>8.31</v>
      </c>
      <c r="CC32" s="434">
        <v>11.49</v>
      </c>
      <c r="CD32" s="434">
        <f t="shared" si="34"/>
        <v>3.1799999999999997</v>
      </c>
      <c r="CE32" s="389"/>
      <c r="CF32" s="389"/>
    </row>
    <row r="33" spans="1:84" s="388" customFormat="1" ht="10.7" customHeight="1">
      <c r="I33" s="251" t="s">
        <v>820</v>
      </c>
      <c r="J33" s="678">
        <v>137533.29999999999</v>
      </c>
      <c r="K33" s="678">
        <v>1542</v>
      </c>
      <c r="L33" s="678">
        <f t="shared" si="14"/>
        <v>139075.29999999999</v>
      </c>
      <c r="M33" s="678">
        <v>12310.7</v>
      </c>
      <c r="N33" s="678">
        <f t="shared" si="15"/>
        <v>126764.59999999999</v>
      </c>
      <c r="O33" s="678">
        <v>23083.8</v>
      </c>
      <c r="P33" s="678">
        <v>65252.800000000003</v>
      </c>
      <c r="Q33" s="678">
        <v>99301.3</v>
      </c>
      <c r="R33" s="682">
        <v>806477.3</v>
      </c>
      <c r="S33" s="682">
        <f t="shared" si="16"/>
        <v>905778.60000000009</v>
      </c>
      <c r="T33" s="682">
        <f t="shared" si="17"/>
        <v>971031.40000000014</v>
      </c>
      <c r="U33" s="678">
        <v>678.6</v>
      </c>
      <c r="V33" s="343">
        <f t="shared" si="44"/>
        <v>226744.5</v>
      </c>
      <c r="W33" s="343">
        <f t="shared" si="45"/>
        <v>1033221.8</v>
      </c>
      <c r="X33" s="682" t="s">
        <v>481</v>
      </c>
      <c r="Y33" s="682" t="s">
        <v>481</v>
      </c>
      <c r="Z33" s="251" t="s">
        <v>820</v>
      </c>
      <c r="AA33" s="343">
        <v>0</v>
      </c>
      <c r="AB33" s="678">
        <v>16260.5</v>
      </c>
      <c r="AC33" s="678">
        <v>763828.5</v>
      </c>
      <c r="AD33" s="343">
        <f t="shared" si="20"/>
        <v>780089</v>
      </c>
      <c r="AE33" s="343">
        <v>0</v>
      </c>
      <c r="AF33" s="678">
        <v>1781.6</v>
      </c>
      <c r="AG33" s="678">
        <v>28083.7</v>
      </c>
      <c r="AH33" s="343">
        <f t="shared" si="21"/>
        <v>29865.3</v>
      </c>
      <c r="AI33" s="703">
        <v>13494</v>
      </c>
      <c r="AJ33" s="703">
        <v>151132.9</v>
      </c>
      <c r="AK33" s="703">
        <v>15918.7</v>
      </c>
      <c r="AL33" s="653">
        <f t="shared" si="22"/>
        <v>167051.6</v>
      </c>
      <c r="AM33" s="343">
        <f t="shared" si="46"/>
        <v>13494</v>
      </c>
      <c r="AN33" s="343">
        <f t="shared" si="47"/>
        <v>169175</v>
      </c>
      <c r="AO33" s="343">
        <f t="shared" si="48"/>
        <v>807830.89999999991</v>
      </c>
      <c r="AP33" s="343">
        <f t="shared" si="49"/>
        <v>977005.9</v>
      </c>
      <c r="AQ33" s="251" t="s">
        <v>820</v>
      </c>
      <c r="AR33" s="678">
        <v>6336.9</v>
      </c>
      <c r="AS33" s="678">
        <v>25941.3</v>
      </c>
      <c r="AT33" s="678">
        <v>20672.3</v>
      </c>
      <c r="AU33" s="678">
        <v>21.3</v>
      </c>
      <c r="AV33" s="678">
        <f>971080.3-27.3</f>
        <v>971053</v>
      </c>
      <c r="AW33" s="678">
        <v>5839.5</v>
      </c>
      <c r="AX33" s="343">
        <f t="shared" si="24"/>
        <v>976892.5</v>
      </c>
      <c r="AY33" s="343">
        <f t="shared" si="57"/>
        <v>61904.4712</v>
      </c>
      <c r="AZ33" s="343">
        <f t="shared" si="51"/>
        <v>8615.9187999999995</v>
      </c>
      <c r="BA33" s="678">
        <f>70523.1-2.71</f>
        <v>70520.39</v>
      </c>
      <c r="BB33" s="678">
        <v>2398339.9</v>
      </c>
      <c r="BC33" s="342">
        <f t="shared" si="27"/>
        <v>209595.69</v>
      </c>
      <c r="BD33" s="678">
        <v>0</v>
      </c>
      <c r="BE33" s="678">
        <v>10719.8</v>
      </c>
      <c r="BF33" s="678">
        <v>3456.7</v>
      </c>
      <c r="BG33" s="678">
        <v>149841.70000000001</v>
      </c>
      <c r="BH33" s="343">
        <f t="shared" si="28"/>
        <v>164018.20000000001</v>
      </c>
      <c r="BI33" s="251" t="s">
        <v>820</v>
      </c>
      <c r="BJ33" s="389">
        <v>-5.29</v>
      </c>
      <c r="BK33" s="389">
        <v>4.3499999999999996</v>
      </c>
      <c r="BL33" s="389">
        <v>4.72</v>
      </c>
      <c r="BM33" s="389">
        <v>3.62</v>
      </c>
      <c r="BN33" s="389">
        <v>1.69</v>
      </c>
      <c r="BO33" s="389" t="s">
        <v>481</v>
      </c>
      <c r="BP33" s="389" t="s">
        <v>481</v>
      </c>
      <c r="BQ33" s="577" t="s">
        <v>481</v>
      </c>
      <c r="BR33" s="577">
        <v>9793</v>
      </c>
      <c r="BS33" s="577">
        <v>3718</v>
      </c>
      <c r="BT33" s="389">
        <f t="shared" si="56"/>
        <v>100.61303553976973</v>
      </c>
      <c r="BU33" s="389">
        <f t="shared" si="53"/>
        <v>99.157867864801389</v>
      </c>
      <c r="BV33" s="389">
        <f t="shared" si="54"/>
        <v>99.765740835290515</v>
      </c>
      <c r="BW33" s="389">
        <f t="shared" si="55"/>
        <v>8.5300277121846069</v>
      </c>
      <c r="BX33" s="389">
        <v>5</v>
      </c>
      <c r="BY33" s="389">
        <v>4.8899999999999997</v>
      </c>
      <c r="BZ33" s="389">
        <v>9.39</v>
      </c>
      <c r="CA33" s="389">
        <f t="shared" si="33"/>
        <v>4.5000000000000009</v>
      </c>
      <c r="CB33" s="389">
        <v>8.33</v>
      </c>
      <c r="CC33" s="389">
        <v>11.35</v>
      </c>
      <c r="CD33" s="389">
        <f t="shared" si="34"/>
        <v>3.0199999999999996</v>
      </c>
      <c r="CE33" s="389"/>
      <c r="CF33" s="389"/>
    </row>
    <row r="34" spans="1:84" s="388" customFormat="1" ht="10.7" customHeight="1">
      <c r="I34" s="446" t="s">
        <v>821</v>
      </c>
      <c r="J34" s="672">
        <v>136701.5</v>
      </c>
      <c r="K34" s="672">
        <v>1539.2</v>
      </c>
      <c r="L34" s="672">
        <f t="shared" si="14"/>
        <v>138240.70000000001</v>
      </c>
      <c r="M34" s="672">
        <v>11357.5</v>
      </c>
      <c r="N34" s="672">
        <f t="shared" si="15"/>
        <v>126883.20000000001</v>
      </c>
      <c r="O34" s="672">
        <v>24155.7</v>
      </c>
      <c r="P34" s="672">
        <v>65117.7</v>
      </c>
      <c r="Q34" s="672">
        <v>99526.6</v>
      </c>
      <c r="R34" s="649">
        <v>813273.3</v>
      </c>
      <c r="S34" s="649">
        <f t="shared" si="16"/>
        <v>912799.9</v>
      </c>
      <c r="T34" s="649">
        <f t="shared" si="17"/>
        <v>977917.6</v>
      </c>
      <c r="U34" s="672">
        <v>682.1</v>
      </c>
      <c r="V34" s="427">
        <f t="shared" si="44"/>
        <v>227091.90000000002</v>
      </c>
      <c r="W34" s="427">
        <f t="shared" si="45"/>
        <v>1040365.2000000001</v>
      </c>
      <c r="X34" s="649" t="s">
        <v>481</v>
      </c>
      <c r="Y34" s="649" t="s">
        <v>481</v>
      </c>
      <c r="Z34" s="446" t="s">
        <v>821</v>
      </c>
      <c r="AA34" s="427">
        <v>0</v>
      </c>
      <c r="AB34" s="672">
        <v>16620.7</v>
      </c>
      <c r="AC34" s="672">
        <v>777632.2</v>
      </c>
      <c r="AD34" s="427">
        <f t="shared" si="20"/>
        <v>794252.89999999991</v>
      </c>
      <c r="AE34" s="427">
        <v>0</v>
      </c>
      <c r="AF34" s="672">
        <v>1696.9</v>
      </c>
      <c r="AG34" s="672">
        <v>28742.6</v>
      </c>
      <c r="AH34" s="427">
        <f t="shared" si="21"/>
        <v>30439.5</v>
      </c>
      <c r="AI34" s="676">
        <v>12814.8</v>
      </c>
      <c r="AJ34" s="676">
        <v>151117.6</v>
      </c>
      <c r="AK34" s="676">
        <v>15683.2</v>
      </c>
      <c r="AL34" s="677">
        <f t="shared" si="22"/>
        <v>166800.80000000002</v>
      </c>
      <c r="AM34" s="427">
        <f t="shared" si="46"/>
        <v>12814.8</v>
      </c>
      <c r="AN34" s="427">
        <f t="shared" si="47"/>
        <v>169435.2</v>
      </c>
      <c r="AO34" s="427">
        <f t="shared" si="48"/>
        <v>822057.99999999988</v>
      </c>
      <c r="AP34" s="427">
        <f t="shared" si="49"/>
        <v>991493.2</v>
      </c>
      <c r="AQ34" s="446" t="s">
        <v>821</v>
      </c>
      <c r="AR34" s="672">
        <v>6722.8</v>
      </c>
      <c r="AS34" s="672">
        <v>26851.7</v>
      </c>
      <c r="AT34" s="672">
        <v>18797.599999999999</v>
      </c>
      <c r="AU34" s="672">
        <v>75.400000000000006</v>
      </c>
      <c r="AV34" s="672">
        <f>977966.3-31.97</f>
        <v>977934.33000000007</v>
      </c>
      <c r="AW34" s="672">
        <v>6738.9</v>
      </c>
      <c r="AX34" s="427">
        <f t="shared" si="24"/>
        <v>984673.2300000001</v>
      </c>
      <c r="AY34" s="427">
        <f t="shared" si="57"/>
        <v>62726.95</v>
      </c>
      <c r="AZ34" s="427">
        <f t="shared" ref="AZ34:AZ35" si="58">BA34-AY34</f>
        <v>7368</v>
      </c>
      <c r="BA34" s="672">
        <f>70096.5-1.55</f>
        <v>70094.95</v>
      </c>
      <c r="BB34" s="672">
        <v>2529328</v>
      </c>
      <c r="BC34" s="426">
        <f t="shared" si="27"/>
        <v>208335.65000000002</v>
      </c>
      <c r="BD34" s="672">
        <v>734.4</v>
      </c>
      <c r="BE34" s="672">
        <v>10726</v>
      </c>
      <c r="BF34" s="672">
        <v>3629.4</v>
      </c>
      <c r="BG34" s="672">
        <v>149821.70000000001</v>
      </c>
      <c r="BH34" s="427">
        <f t="shared" si="28"/>
        <v>164911.5</v>
      </c>
      <c r="BI34" s="446" t="s">
        <v>821</v>
      </c>
      <c r="BJ34" s="434">
        <v>-4.8600000000000003</v>
      </c>
      <c r="BK34" s="434">
        <v>4.9800000000000004</v>
      </c>
      <c r="BL34" s="434">
        <v>6.56</v>
      </c>
      <c r="BM34" s="434">
        <v>5.28</v>
      </c>
      <c r="BN34" s="434">
        <v>2.39</v>
      </c>
      <c r="BO34" s="434" t="s">
        <v>481</v>
      </c>
      <c r="BP34" s="434" t="s">
        <v>481</v>
      </c>
      <c r="BQ34" s="435" t="s">
        <v>481</v>
      </c>
      <c r="BR34" s="435">
        <v>9843</v>
      </c>
      <c r="BS34" s="435">
        <v>3718</v>
      </c>
      <c r="BT34" s="434">
        <f t="shared" si="56"/>
        <v>101.38648062390854</v>
      </c>
      <c r="BU34" s="434">
        <f t="shared" si="53"/>
        <v>99.35327948796099</v>
      </c>
      <c r="BV34" s="434">
        <f t="shared" si="54"/>
        <v>100.73079345727928</v>
      </c>
      <c r="BW34" s="434">
        <f t="shared" si="55"/>
        <v>8.3290306415564732</v>
      </c>
      <c r="BX34" s="434">
        <v>5</v>
      </c>
      <c r="BY34" s="434">
        <v>4.9000000000000004</v>
      </c>
      <c r="BZ34" s="434">
        <v>9.3000000000000007</v>
      </c>
      <c r="CA34" s="434">
        <f t="shared" si="33"/>
        <v>4.4000000000000004</v>
      </c>
      <c r="CB34" s="434">
        <v>8.39</v>
      </c>
      <c r="CC34" s="434">
        <v>11.34</v>
      </c>
      <c r="CD34" s="434">
        <f t="shared" si="34"/>
        <v>2.9499999999999993</v>
      </c>
      <c r="CE34" s="389"/>
      <c r="CF34" s="389"/>
    </row>
    <row r="35" spans="1:84" s="388" customFormat="1" ht="10.7" customHeight="1">
      <c r="I35" s="251" t="s">
        <v>814</v>
      </c>
      <c r="J35" s="678">
        <v>139150.9</v>
      </c>
      <c r="K35" s="678">
        <v>1535.6</v>
      </c>
      <c r="L35" s="678">
        <f t="shared" si="14"/>
        <v>140686.5</v>
      </c>
      <c r="M35" s="678">
        <v>11537.3</v>
      </c>
      <c r="N35" s="678">
        <f t="shared" si="15"/>
        <v>129149.2</v>
      </c>
      <c r="O35" s="678">
        <v>26128.6</v>
      </c>
      <c r="P35" s="678">
        <v>65966.7</v>
      </c>
      <c r="Q35" s="678">
        <v>103970.1</v>
      </c>
      <c r="R35" s="682">
        <v>822209.2</v>
      </c>
      <c r="S35" s="682">
        <f t="shared" si="16"/>
        <v>926179.29999999993</v>
      </c>
      <c r="T35" s="678">
        <f t="shared" si="17"/>
        <v>992145.99999999988</v>
      </c>
      <c r="U35" s="678">
        <v>670.4</v>
      </c>
      <c r="V35" s="343">
        <f t="shared" si="44"/>
        <v>233789.69999999998</v>
      </c>
      <c r="W35" s="343">
        <f t="shared" si="45"/>
        <v>1055998.8999999999</v>
      </c>
      <c r="X35" s="682" t="s">
        <v>481</v>
      </c>
      <c r="Y35" s="682" t="s">
        <v>481</v>
      </c>
      <c r="Z35" s="251" t="s">
        <v>814</v>
      </c>
      <c r="AA35" s="343">
        <v>0</v>
      </c>
      <c r="AB35" s="678">
        <v>17760.8</v>
      </c>
      <c r="AC35" s="678">
        <v>794854.7</v>
      </c>
      <c r="AD35" s="343">
        <f t="shared" si="20"/>
        <v>812615.5</v>
      </c>
      <c r="AE35" s="343">
        <v>0</v>
      </c>
      <c r="AF35" s="678">
        <v>1520.4</v>
      </c>
      <c r="AG35" s="678">
        <v>30299.7</v>
      </c>
      <c r="AH35" s="343">
        <f t="shared" si="21"/>
        <v>31820.100000000002</v>
      </c>
      <c r="AI35" s="703">
        <v>15313.6</v>
      </c>
      <c r="AJ35" s="703">
        <v>147858.5</v>
      </c>
      <c r="AK35" s="703">
        <v>15946.6</v>
      </c>
      <c r="AL35" s="653">
        <f t="shared" si="22"/>
        <v>163805.1</v>
      </c>
      <c r="AM35" s="343">
        <f t="shared" si="46"/>
        <v>15313.6</v>
      </c>
      <c r="AN35" s="343">
        <f t="shared" si="47"/>
        <v>167139.70000000001</v>
      </c>
      <c r="AO35" s="343">
        <f t="shared" si="48"/>
        <v>841100.99999999988</v>
      </c>
      <c r="AP35" s="343">
        <f t="shared" si="49"/>
        <v>1008240.7</v>
      </c>
      <c r="AQ35" s="251" t="s">
        <v>814</v>
      </c>
      <c r="AR35" s="678">
        <v>8716.2000000000007</v>
      </c>
      <c r="AS35" s="678">
        <v>27608.6</v>
      </c>
      <c r="AT35" s="678">
        <v>22145.9</v>
      </c>
      <c r="AU35" s="678">
        <v>60.9</v>
      </c>
      <c r="AV35" s="678">
        <f>992193.8-34.82</f>
        <v>992158.9800000001</v>
      </c>
      <c r="AW35" s="678">
        <v>6981.5</v>
      </c>
      <c r="AX35" s="343">
        <f t="shared" si="24"/>
        <v>999140.4800000001</v>
      </c>
      <c r="AY35" s="343">
        <f>0.065*AX33</f>
        <v>63498.012500000004</v>
      </c>
      <c r="AZ35" s="343">
        <f t="shared" si="58"/>
        <v>12127.617499999986</v>
      </c>
      <c r="BA35" s="678">
        <f>75626.9-1.27</f>
        <v>75625.62999999999</v>
      </c>
      <c r="BB35" s="678">
        <v>2426236.2999999998</v>
      </c>
      <c r="BC35" s="342">
        <f t="shared" si="27"/>
        <v>216312.13</v>
      </c>
      <c r="BD35" s="678">
        <v>0</v>
      </c>
      <c r="BE35" s="678">
        <v>11325.9</v>
      </c>
      <c r="BF35" s="678">
        <v>4096.7</v>
      </c>
      <c r="BG35" s="678">
        <v>146577.5</v>
      </c>
      <c r="BH35" s="343">
        <f t="shared" si="28"/>
        <v>162000.1</v>
      </c>
      <c r="BI35" s="251" t="s">
        <v>814</v>
      </c>
      <c r="BJ35" s="389">
        <v>-10.33</v>
      </c>
      <c r="BK35" s="389">
        <v>7.79</v>
      </c>
      <c r="BL35" s="389">
        <v>9.02</v>
      </c>
      <c r="BM35" s="389">
        <v>6.88</v>
      </c>
      <c r="BN35" s="389">
        <v>3.93</v>
      </c>
      <c r="BO35" s="389" t="s">
        <v>481</v>
      </c>
      <c r="BP35" s="389" t="s">
        <v>481</v>
      </c>
      <c r="BQ35" s="577" t="s">
        <v>481</v>
      </c>
      <c r="BR35" s="577">
        <v>9955</v>
      </c>
      <c r="BS35" s="577">
        <v>3721</v>
      </c>
      <c r="BT35" s="389">
        <f t="shared" si="56"/>
        <v>101.62088136318637</v>
      </c>
      <c r="BU35" s="389">
        <f t="shared" si="53"/>
        <v>99.664387744851837</v>
      </c>
      <c r="BV35" s="389">
        <f t="shared" si="54"/>
        <v>101.27982923154194</v>
      </c>
      <c r="BW35" s="389">
        <f t="shared" si="55"/>
        <v>8.785177754476404</v>
      </c>
      <c r="BX35" s="389">
        <v>5</v>
      </c>
      <c r="BY35" s="389">
        <v>4.91</v>
      </c>
      <c r="BZ35" s="389">
        <v>9.35</v>
      </c>
      <c r="CA35" s="389">
        <f t="shared" si="33"/>
        <v>4.4399999999999995</v>
      </c>
      <c r="CB35" s="389">
        <v>8.48</v>
      </c>
      <c r="CC35" s="389">
        <v>11.41</v>
      </c>
      <c r="CD35" s="389">
        <f t="shared" si="34"/>
        <v>2.9299999999999997</v>
      </c>
      <c r="CE35" s="389"/>
      <c r="CF35" s="389"/>
    </row>
    <row r="36" spans="1:84" s="388" customFormat="1" ht="10.7" customHeight="1">
      <c r="I36" s="446" t="s">
        <v>822</v>
      </c>
      <c r="J36" s="672">
        <v>138759.29999999999</v>
      </c>
      <c r="K36" s="672">
        <v>1532.1</v>
      </c>
      <c r="L36" s="672">
        <f t="shared" si="14"/>
        <v>140291.4</v>
      </c>
      <c r="M36" s="672">
        <v>12043.1</v>
      </c>
      <c r="N36" s="672">
        <f t="shared" si="15"/>
        <v>128248.29999999999</v>
      </c>
      <c r="O36" s="672">
        <v>23567.4</v>
      </c>
      <c r="P36" s="672">
        <v>67912.899999999994</v>
      </c>
      <c r="Q36" s="672">
        <v>97526.3</v>
      </c>
      <c r="R36" s="649">
        <v>821620.1</v>
      </c>
      <c r="S36" s="649">
        <f t="shared" si="16"/>
        <v>919146.4</v>
      </c>
      <c r="T36" s="649">
        <f t="shared" si="17"/>
        <v>987059.3</v>
      </c>
      <c r="U36" s="672">
        <v>667.5</v>
      </c>
      <c r="V36" s="427">
        <f t="shared" si="44"/>
        <v>226442.09999999998</v>
      </c>
      <c r="W36" s="427">
        <f t="shared" si="45"/>
        <v>1048062.2</v>
      </c>
      <c r="X36" s="649" t="s">
        <v>481</v>
      </c>
      <c r="Y36" s="649" t="s">
        <v>481</v>
      </c>
      <c r="Z36" s="446" t="s">
        <v>822</v>
      </c>
      <c r="AA36" s="427">
        <v>0</v>
      </c>
      <c r="AB36" s="672">
        <v>17924.2</v>
      </c>
      <c r="AC36" s="672">
        <v>802763.2</v>
      </c>
      <c r="AD36" s="427">
        <f t="shared" si="20"/>
        <v>820687.39999999991</v>
      </c>
      <c r="AE36" s="427">
        <v>0</v>
      </c>
      <c r="AF36" s="672">
        <v>1525.6</v>
      </c>
      <c r="AG36" s="672">
        <v>27429.200000000001</v>
      </c>
      <c r="AH36" s="427">
        <f t="shared" si="21"/>
        <v>28954.799999999999</v>
      </c>
      <c r="AI36" s="676">
        <v>15452.5</v>
      </c>
      <c r="AJ36" s="676">
        <v>145287</v>
      </c>
      <c r="AK36" s="676">
        <v>16229.3</v>
      </c>
      <c r="AL36" s="677">
        <f t="shared" si="22"/>
        <v>161516.29999999999</v>
      </c>
      <c r="AM36" s="427">
        <f t="shared" si="46"/>
        <v>15452.5</v>
      </c>
      <c r="AN36" s="427">
        <f t="shared" si="47"/>
        <v>164736.79999999999</v>
      </c>
      <c r="AO36" s="427">
        <f t="shared" si="48"/>
        <v>846421.7</v>
      </c>
      <c r="AP36" s="427">
        <f t="shared" si="49"/>
        <v>1011158.5</v>
      </c>
      <c r="AQ36" s="446" t="s">
        <v>822</v>
      </c>
      <c r="AR36" s="672">
        <v>8903.6</v>
      </c>
      <c r="AS36" s="672">
        <v>28764.3</v>
      </c>
      <c r="AT36" s="672">
        <v>21985.200000000001</v>
      </c>
      <c r="AU36" s="672">
        <v>96.6</v>
      </c>
      <c r="AV36" s="672">
        <f>987106.7-34.56</f>
        <v>987072.1399999999</v>
      </c>
      <c r="AW36" s="672">
        <v>7736</v>
      </c>
      <c r="AX36" s="427">
        <f t="shared" si="24"/>
        <v>994808.1399999999</v>
      </c>
      <c r="AY36" s="427">
        <f t="shared" si="57"/>
        <v>64003.759950000007</v>
      </c>
      <c r="AZ36" s="427">
        <f t="shared" ref="AZ36" si="59">BA36-AY36</f>
        <v>5356.7000499999849</v>
      </c>
      <c r="BA36" s="672">
        <f>69361.7-1.24</f>
        <v>69360.459999999992</v>
      </c>
      <c r="BB36" s="672">
        <v>2447027.7000000002</v>
      </c>
      <c r="BC36" s="426">
        <f t="shared" si="27"/>
        <v>209651.86</v>
      </c>
      <c r="BD36" s="672">
        <v>0</v>
      </c>
      <c r="BE36" s="672">
        <v>11144.5</v>
      </c>
      <c r="BF36" s="672">
        <v>4551.3999999999996</v>
      </c>
      <c r="BG36" s="672">
        <v>143998.6</v>
      </c>
      <c r="BH36" s="427">
        <f t="shared" si="28"/>
        <v>159694.5</v>
      </c>
      <c r="BI36" s="446" t="s">
        <v>822</v>
      </c>
      <c r="BJ36" s="434">
        <v>-16.75</v>
      </c>
      <c r="BK36" s="434">
        <v>6.45</v>
      </c>
      <c r="BL36" s="434">
        <v>9.7100000000000009</v>
      </c>
      <c r="BM36" s="434">
        <v>6.76</v>
      </c>
      <c r="BN36" s="434">
        <v>3.15</v>
      </c>
      <c r="BO36" s="434" t="s">
        <v>481</v>
      </c>
      <c r="BP36" s="434" t="s">
        <v>481</v>
      </c>
      <c r="BQ36" s="435" t="s">
        <v>481</v>
      </c>
      <c r="BR36" s="435">
        <v>9957</v>
      </c>
      <c r="BS36" s="435">
        <v>3721</v>
      </c>
      <c r="BT36" s="434">
        <f t="shared" si="56"/>
        <v>102.44018233560924</v>
      </c>
      <c r="BU36" s="434">
        <f t="shared" si="53"/>
        <v>99.133487998393079</v>
      </c>
      <c r="BV36" s="434">
        <f t="shared" si="54"/>
        <v>101.55252586120318</v>
      </c>
      <c r="BW36" s="434">
        <f t="shared" si="55"/>
        <v>8.2469716955034311</v>
      </c>
      <c r="BX36" s="434">
        <v>5</v>
      </c>
      <c r="BY36" s="434">
        <v>5.01</v>
      </c>
      <c r="BZ36" s="434">
        <v>9.42</v>
      </c>
      <c r="CA36" s="434">
        <f t="shared" si="33"/>
        <v>4.41</v>
      </c>
      <c r="CB36" s="434">
        <v>8.6300000000000008</v>
      </c>
      <c r="CC36" s="434">
        <v>11.42</v>
      </c>
      <c r="CD36" s="434">
        <f t="shared" si="34"/>
        <v>2.7899999999999991</v>
      </c>
      <c r="CE36" s="389"/>
      <c r="CF36" s="389"/>
    </row>
    <row r="37" spans="1:84" s="388" customFormat="1" ht="10.7" customHeight="1">
      <c r="I37" s="251" t="s">
        <v>823</v>
      </c>
      <c r="J37" s="678">
        <v>139592.29999999999</v>
      </c>
      <c r="K37" s="678">
        <v>1529.1</v>
      </c>
      <c r="L37" s="678">
        <f t="shared" si="14"/>
        <v>141121.4</v>
      </c>
      <c r="M37" s="678">
        <v>12783.3</v>
      </c>
      <c r="N37" s="678">
        <f t="shared" si="15"/>
        <v>128338.09999999999</v>
      </c>
      <c r="O37" s="678">
        <v>24393</v>
      </c>
      <c r="P37" s="678">
        <v>70810.899999999994</v>
      </c>
      <c r="Q37" s="678">
        <v>97459.3</v>
      </c>
      <c r="R37" s="678">
        <v>825001</v>
      </c>
      <c r="S37" s="682">
        <f t="shared" si="16"/>
        <v>922460.3</v>
      </c>
      <c r="T37" s="682">
        <f t="shared" si="17"/>
        <v>993271.20000000007</v>
      </c>
      <c r="U37" s="678">
        <v>748.4</v>
      </c>
      <c r="V37" s="343">
        <f t="shared" si="44"/>
        <v>226545.8</v>
      </c>
      <c r="W37" s="343">
        <f t="shared" si="45"/>
        <v>1051546.8</v>
      </c>
      <c r="X37" s="682" t="s">
        <v>481</v>
      </c>
      <c r="Y37" s="682" t="s">
        <v>481</v>
      </c>
      <c r="Z37" s="251" t="s">
        <v>823</v>
      </c>
      <c r="AA37" s="343">
        <v>0</v>
      </c>
      <c r="AB37" s="678">
        <v>17822.099999999999</v>
      </c>
      <c r="AC37" s="678">
        <v>813773</v>
      </c>
      <c r="AD37" s="343">
        <f t="shared" si="20"/>
        <v>831595.1</v>
      </c>
      <c r="AE37" s="343">
        <v>0</v>
      </c>
      <c r="AF37" s="678">
        <v>1567.5</v>
      </c>
      <c r="AG37" s="678">
        <v>27405.8</v>
      </c>
      <c r="AH37" s="343">
        <f t="shared" si="21"/>
        <v>28973.3</v>
      </c>
      <c r="AI37" s="703">
        <v>16481.400000000001</v>
      </c>
      <c r="AJ37" s="703">
        <v>143930.9</v>
      </c>
      <c r="AK37" s="703">
        <v>16125.3</v>
      </c>
      <c r="AL37" s="653">
        <f t="shared" si="22"/>
        <v>160056.19999999998</v>
      </c>
      <c r="AM37" s="343">
        <f t="shared" si="46"/>
        <v>16481.400000000001</v>
      </c>
      <c r="AN37" s="343">
        <f t="shared" si="47"/>
        <v>163320.5</v>
      </c>
      <c r="AO37" s="343">
        <f t="shared" si="48"/>
        <v>857304.10000000009</v>
      </c>
      <c r="AP37" s="343">
        <f t="shared" si="49"/>
        <v>1020624.6</v>
      </c>
      <c r="AQ37" s="251" t="s">
        <v>823</v>
      </c>
      <c r="AR37" s="678">
        <v>10103.299999999999</v>
      </c>
      <c r="AS37" s="678">
        <v>30304.799999999999</v>
      </c>
      <c r="AT37" s="678">
        <v>24901.1</v>
      </c>
      <c r="AU37" s="678">
        <v>360.7</v>
      </c>
      <c r="AV37" s="678">
        <f>993318.6-32.65</f>
        <v>993285.95</v>
      </c>
      <c r="AW37" s="678">
        <v>7907.9</v>
      </c>
      <c r="AX37" s="343">
        <f t="shared" si="24"/>
        <v>1001193.85</v>
      </c>
      <c r="AY37" s="343">
        <f>0.065*AX35</f>
        <v>64944.131200000011</v>
      </c>
      <c r="AZ37" s="343">
        <f t="shared" ref="AZ37" si="60">BA37-AY37</f>
        <v>3734.8387999999904</v>
      </c>
      <c r="BA37" s="678">
        <f>68679.6-0.63</f>
        <v>68678.97</v>
      </c>
      <c r="BB37" s="678">
        <v>2489061.7000000002</v>
      </c>
      <c r="BC37" s="342">
        <f t="shared" si="27"/>
        <v>209800.37</v>
      </c>
      <c r="BD37" s="678">
        <v>0</v>
      </c>
      <c r="BE37" s="678">
        <v>9663</v>
      </c>
      <c r="BF37" s="678">
        <v>4478.3999999999996</v>
      </c>
      <c r="BG37" s="678">
        <v>142494.39999999999</v>
      </c>
      <c r="BH37" s="343">
        <f t="shared" si="28"/>
        <v>156635.79999999999</v>
      </c>
      <c r="BI37" s="251" t="s">
        <v>823</v>
      </c>
      <c r="BJ37" s="389">
        <v>-22.87</v>
      </c>
      <c r="BK37" s="389">
        <v>7.4</v>
      </c>
      <c r="BL37" s="389">
        <v>11.1</v>
      </c>
      <c r="BM37" s="389">
        <v>7.32</v>
      </c>
      <c r="BN37" s="389">
        <v>3.49</v>
      </c>
      <c r="BO37" s="389" t="s">
        <v>481</v>
      </c>
      <c r="BP37" s="389" t="s">
        <v>481</v>
      </c>
      <c r="BQ37" s="577" t="s">
        <v>481</v>
      </c>
      <c r="BR37" s="577">
        <v>9957</v>
      </c>
      <c r="BS37" s="577">
        <v>3721</v>
      </c>
      <c r="BT37" s="389">
        <f t="shared" si="56"/>
        <v>102.75234437776956</v>
      </c>
      <c r="BU37" s="389">
        <f t="shared" si="53"/>
        <v>99.757552475645269</v>
      </c>
      <c r="BV37" s="389">
        <f t="shared" si="54"/>
        <v>102.50322386260922</v>
      </c>
      <c r="BW37" s="389">
        <f t="shared" si="55"/>
        <v>8.2012908770128075</v>
      </c>
      <c r="BX37" s="389">
        <v>5</v>
      </c>
      <c r="BY37" s="389">
        <v>5.18</v>
      </c>
      <c r="BZ37" s="389">
        <v>9.5500000000000007</v>
      </c>
      <c r="CA37" s="389">
        <f t="shared" si="33"/>
        <v>4.370000000000001</v>
      </c>
      <c r="CB37" s="389">
        <v>8.9600000000000009</v>
      </c>
      <c r="CC37" s="389">
        <v>11.71</v>
      </c>
      <c r="CD37" s="389">
        <f t="shared" si="34"/>
        <v>2.75</v>
      </c>
      <c r="CE37" s="389"/>
      <c r="CF37" s="389"/>
    </row>
    <row r="38" spans="1:84" s="388" customFormat="1" ht="10.7" customHeight="1">
      <c r="I38" s="446" t="s">
        <v>815</v>
      </c>
      <c r="J38" s="672">
        <v>138648.5</v>
      </c>
      <c r="K38" s="672">
        <v>1527.4</v>
      </c>
      <c r="L38" s="672">
        <f t="shared" si="14"/>
        <v>140175.9</v>
      </c>
      <c r="M38" s="672">
        <v>12042.8</v>
      </c>
      <c r="N38" s="672">
        <f t="shared" si="15"/>
        <v>128133.09999999999</v>
      </c>
      <c r="O38" s="672">
        <v>27221.200000000001</v>
      </c>
      <c r="P38" s="672">
        <v>71009.8</v>
      </c>
      <c r="Q38" s="672">
        <v>96438.6</v>
      </c>
      <c r="R38" s="672">
        <v>828841.1</v>
      </c>
      <c r="S38" s="672">
        <f t="shared" si="16"/>
        <v>925279.7</v>
      </c>
      <c r="T38" s="672">
        <f t="shared" si="17"/>
        <v>996289.5</v>
      </c>
      <c r="U38" s="672">
        <v>700.4</v>
      </c>
      <c r="V38" s="427">
        <f t="shared" si="44"/>
        <v>225272.1</v>
      </c>
      <c r="W38" s="427">
        <f t="shared" si="45"/>
        <v>1054113.2</v>
      </c>
      <c r="X38" s="649" t="s">
        <v>481</v>
      </c>
      <c r="Y38" s="649" t="s">
        <v>481</v>
      </c>
      <c r="Z38" s="446" t="s">
        <v>815</v>
      </c>
      <c r="AA38" s="427">
        <v>0</v>
      </c>
      <c r="AB38" s="672">
        <v>17667.099999999999</v>
      </c>
      <c r="AC38" s="672">
        <v>822873.5</v>
      </c>
      <c r="AD38" s="427">
        <f t="shared" si="20"/>
        <v>840540.6</v>
      </c>
      <c r="AE38" s="427">
        <v>0</v>
      </c>
      <c r="AF38" s="672">
        <v>1578.7</v>
      </c>
      <c r="AG38" s="672">
        <v>27443</v>
      </c>
      <c r="AH38" s="427">
        <f t="shared" si="21"/>
        <v>29021.7</v>
      </c>
      <c r="AI38" s="676">
        <v>16159.1</v>
      </c>
      <c r="AJ38" s="676">
        <v>140726.5</v>
      </c>
      <c r="AK38" s="676">
        <v>16156.1</v>
      </c>
      <c r="AL38" s="677">
        <f t="shared" si="22"/>
        <v>156882.6</v>
      </c>
      <c r="AM38" s="427">
        <f t="shared" si="46"/>
        <v>16159.1</v>
      </c>
      <c r="AN38" s="427">
        <f t="shared" si="47"/>
        <v>159972.29999999999</v>
      </c>
      <c r="AO38" s="427">
        <f t="shared" si="48"/>
        <v>866472.6</v>
      </c>
      <c r="AP38" s="427">
        <f t="shared" si="49"/>
        <v>1026444.8999999999</v>
      </c>
      <c r="AQ38" s="446" t="s">
        <v>815</v>
      </c>
      <c r="AR38" s="672">
        <v>10412.1</v>
      </c>
      <c r="AS38" s="672">
        <v>30791.5</v>
      </c>
      <c r="AT38" s="672">
        <v>24820.6</v>
      </c>
      <c r="AU38" s="672">
        <v>316</v>
      </c>
      <c r="AV38" s="672">
        <f>996337-30.44</f>
        <v>996306.56</v>
      </c>
      <c r="AW38" s="672">
        <v>7147.4</v>
      </c>
      <c r="AX38" s="427">
        <f t="shared" si="24"/>
        <v>1003453.9600000001</v>
      </c>
      <c r="AY38" s="427">
        <f t="shared" ref="AY38" si="61">0.065*AX36</f>
        <v>64662.529099999992</v>
      </c>
      <c r="AZ38" s="427">
        <f t="shared" ref="AZ38" si="62">BA38-AY38</f>
        <v>6710.6909000000087</v>
      </c>
      <c r="BA38" s="672">
        <f>71374.1-0.88</f>
        <v>71373.22</v>
      </c>
      <c r="BB38" s="672">
        <v>2529314</v>
      </c>
      <c r="BC38" s="426">
        <f t="shared" si="27"/>
        <v>211549.12</v>
      </c>
      <c r="BD38" s="672">
        <v>0</v>
      </c>
      <c r="BE38" s="672">
        <v>9825.9</v>
      </c>
      <c r="BF38" s="672">
        <v>4694</v>
      </c>
      <c r="BG38" s="672">
        <v>139293.79999999999</v>
      </c>
      <c r="BH38" s="427">
        <f t="shared" si="28"/>
        <v>153813.69999999998</v>
      </c>
      <c r="BI38" s="446" t="s">
        <v>815</v>
      </c>
      <c r="BJ38" s="434">
        <v>-23.38</v>
      </c>
      <c r="BK38" s="434">
        <v>5.31</v>
      </c>
      <c r="BL38" s="434">
        <v>12.29</v>
      </c>
      <c r="BM38" s="434">
        <v>8.26</v>
      </c>
      <c r="BN38" s="434">
        <v>3.74</v>
      </c>
      <c r="BO38" s="434" t="s">
        <v>481</v>
      </c>
      <c r="BP38" s="434" t="s">
        <v>481</v>
      </c>
      <c r="BQ38" s="435" t="s">
        <v>481</v>
      </c>
      <c r="BR38" s="435">
        <v>9973</v>
      </c>
      <c r="BS38" s="435">
        <v>3721</v>
      </c>
      <c r="BT38" s="434">
        <f t="shared" si="56"/>
        <v>103.02500668067465</v>
      </c>
      <c r="BU38" s="434">
        <f t="shared" si="53"/>
        <v>99.90038704502156</v>
      </c>
      <c r="BV38" s="434">
        <f t="shared" si="54"/>
        <v>102.9223804271533</v>
      </c>
      <c r="BW38" s="434">
        <f t="shared" si="55"/>
        <v>8.3725254202883104</v>
      </c>
      <c r="BX38" s="434">
        <v>5</v>
      </c>
      <c r="BY38" s="434">
        <v>5.3</v>
      </c>
      <c r="BZ38" s="434">
        <v>9.6999999999999993</v>
      </c>
      <c r="CA38" s="434">
        <f t="shared" si="33"/>
        <v>4.3999999999999995</v>
      </c>
      <c r="CB38" s="434">
        <v>9.35</v>
      </c>
      <c r="CC38" s="434">
        <v>11.98</v>
      </c>
      <c r="CD38" s="434">
        <f t="shared" si="34"/>
        <v>2.6300000000000008</v>
      </c>
      <c r="CE38" s="389"/>
      <c r="CF38" s="389"/>
    </row>
    <row r="39" spans="1:84" s="388" customFormat="1" ht="10.7" customHeight="1">
      <c r="I39" s="251" t="s">
        <v>824</v>
      </c>
      <c r="J39" s="678">
        <v>139370.29999999999</v>
      </c>
      <c r="K39" s="678">
        <v>1526.7</v>
      </c>
      <c r="L39" s="678">
        <f t="shared" si="14"/>
        <v>140897</v>
      </c>
      <c r="M39" s="678">
        <v>12550.3</v>
      </c>
      <c r="N39" s="678">
        <f t="shared" si="15"/>
        <v>128346.7</v>
      </c>
      <c r="O39" s="678">
        <v>29297.1</v>
      </c>
      <c r="P39" s="678">
        <v>74073.8</v>
      </c>
      <c r="Q39" s="678">
        <v>97967.9</v>
      </c>
      <c r="R39" s="678">
        <v>832313.3</v>
      </c>
      <c r="S39" s="678">
        <f t="shared" ref="S39:S40" si="63">Q39+R39</f>
        <v>930281.20000000007</v>
      </c>
      <c r="T39" s="678">
        <f>P39+S39</f>
        <v>1004355.0000000001</v>
      </c>
      <c r="U39" s="678">
        <v>840.3</v>
      </c>
      <c r="V39" s="343">
        <f t="shared" si="44"/>
        <v>227154.89999999997</v>
      </c>
      <c r="W39" s="343">
        <f t="shared" si="45"/>
        <v>1059468.2</v>
      </c>
      <c r="X39" s="682" t="s">
        <v>481</v>
      </c>
      <c r="Y39" s="682" t="s">
        <v>481</v>
      </c>
      <c r="Z39" s="251" t="s">
        <v>824</v>
      </c>
      <c r="AA39" s="343">
        <v>0</v>
      </c>
      <c r="AB39" s="678">
        <v>17793</v>
      </c>
      <c r="AC39" s="678">
        <v>832872.4</v>
      </c>
      <c r="AD39" s="343">
        <f t="shared" si="20"/>
        <v>850665.4</v>
      </c>
      <c r="AE39" s="343">
        <v>0</v>
      </c>
      <c r="AF39" s="678">
        <v>1642.8</v>
      </c>
      <c r="AG39" s="678">
        <v>27439.599999999999</v>
      </c>
      <c r="AH39" s="343">
        <f t="shared" si="21"/>
        <v>29082.399999999998</v>
      </c>
      <c r="AI39" s="703">
        <v>15317.6</v>
      </c>
      <c r="AJ39" s="703">
        <v>140309.4</v>
      </c>
      <c r="AK39" s="703">
        <v>16161.2</v>
      </c>
      <c r="AL39" s="653">
        <f t="shared" si="22"/>
        <v>156470.6</v>
      </c>
      <c r="AM39" s="343">
        <f t="shared" si="46"/>
        <v>15317.6</v>
      </c>
      <c r="AN39" s="343">
        <f t="shared" si="47"/>
        <v>159745.19999999998</v>
      </c>
      <c r="AO39" s="343">
        <f t="shared" si="48"/>
        <v>876473.2</v>
      </c>
      <c r="AP39" s="343">
        <f t="shared" si="49"/>
        <v>1036218.4</v>
      </c>
      <c r="AQ39" s="251" t="s">
        <v>824</v>
      </c>
      <c r="AR39" s="678">
        <v>9351.4</v>
      </c>
      <c r="AS39" s="678">
        <v>30918.400000000001</v>
      </c>
      <c r="AT39" s="678">
        <v>21324.400000000001</v>
      </c>
      <c r="AU39" s="678">
        <v>49</v>
      </c>
      <c r="AV39" s="678">
        <f>1004402.5-28.03</f>
        <v>1004374.47</v>
      </c>
      <c r="AW39" s="678">
        <v>8735.5</v>
      </c>
      <c r="AX39" s="343">
        <f>AV39+AW39</f>
        <v>1013109.97</v>
      </c>
      <c r="AY39" s="343">
        <f>0.055*AX37</f>
        <v>55065.661749999999</v>
      </c>
      <c r="AZ39" s="343">
        <f t="shared" ref="AZ39:AZ48" si="64">BA39-AY39</f>
        <v>15574.058250000002</v>
      </c>
      <c r="BA39" s="678">
        <f>70643.7-3.98</f>
        <v>70639.72</v>
      </c>
      <c r="BB39" s="678">
        <v>2562406.7000000002</v>
      </c>
      <c r="BC39" s="342">
        <f t="shared" si="27"/>
        <v>211536.72</v>
      </c>
      <c r="BD39" s="678">
        <v>808.7</v>
      </c>
      <c r="BE39" s="678">
        <v>9828.4</v>
      </c>
      <c r="BF39" s="678">
        <v>3875</v>
      </c>
      <c r="BG39" s="678">
        <v>138877.79999999999</v>
      </c>
      <c r="BH39" s="343">
        <f t="shared" si="28"/>
        <v>153389.9</v>
      </c>
      <c r="BI39" s="251" t="s">
        <v>824</v>
      </c>
      <c r="BJ39" s="389">
        <v>-26.41</v>
      </c>
      <c r="BK39" s="389">
        <v>11.89</v>
      </c>
      <c r="BL39" s="389">
        <v>13.59</v>
      </c>
      <c r="BM39" s="389">
        <v>9.18</v>
      </c>
      <c r="BN39" s="389">
        <v>4.2699999999999996</v>
      </c>
      <c r="BO39" s="389" t="s">
        <v>481</v>
      </c>
      <c r="BP39" s="389" t="s">
        <v>481</v>
      </c>
      <c r="BQ39" s="577" t="s">
        <v>481</v>
      </c>
      <c r="BR39" s="577">
        <v>9975</v>
      </c>
      <c r="BS39" s="577">
        <v>3721</v>
      </c>
      <c r="BT39" s="389">
        <f t="shared" si="56"/>
        <v>103.17052363945491</v>
      </c>
      <c r="BU39" s="389">
        <f t="shared" si="53"/>
        <v>100.68916992481202</v>
      </c>
      <c r="BV39" s="389">
        <f t="shared" si="54"/>
        <v>103.88154385964913</v>
      </c>
      <c r="BW39" s="389">
        <f t="shared" si="55"/>
        <v>8.2827692742926846</v>
      </c>
      <c r="BX39" s="389">
        <v>5</v>
      </c>
      <c r="BY39" s="389">
        <v>5.43</v>
      </c>
      <c r="BZ39" s="389">
        <v>9.89</v>
      </c>
      <c r="CA39" s="389">
        <f t="shared" si="33"/>
        <v>4.4600000000000009</v>
      </c>
      <c r="CB39" s="389">
        <v>9.7200000000000006</v>
      </c>
      <c r="CC39" s="389">
        <v>12.12</v>
      </c>
      <c r="CD39" s="389">
        <f t="shared" si="34"/>
        <v>2.3999999999999986</v>
      </c>
      <c r="CE39" s="389"/>
      <c r="CF39" s="389"/>
    </row>
    <row r="40" spans="1:84" s="388" customFormat="1" ht="10.7" customHeight="1">
      <c r="I40" s="446" t="s">
        <v>825</v>
      </c>
      <c r="J40" s="672">
        <v>145099.20000000001</v>
      </c>
      <c r="K40" s="672">
        <v>1528.4</v>
      </c>
      <c r="L40" s="672">
        <f t="shared" si="14"/>
        <v>146627.6</v>
      </c>
      <c r="M40" s="672">
        <v>13183.7</v>
      </c>
      <c r="N40" s="672">
        <f t="shared" si="15"/>
        <v>133443.9</v>
      </c>
      <c r="O40" s="672">
        <v>29795.8</v>
      </c>
      <c r="P40" s="672">
        <v>73451.5</v>
      </c>
      <c r="Q40" s="672">
        <v>99762.9</v>
      </c>
      <c r="R40" s="672">
        <v>844438.9</v>
      </c>
      <c r="S40" s="672">
        <f t="shared" si="63"/>
        <v>944201.8</v>
      </c>
      <c r="T40" s="672">
        <f>P40+S40</f>
        <v>1017653.3</v>
      </c>
      <c r="U40" s="672">
        <v>652.4</v>
      </c>
      <c r="V40" s="427">
        <f t="shared" si="44"/>
        <v>233859.19999999998</v>
      </c>
      <c r="W40" s="427">
        <f t="shared" si="45"/>
        <v>1078298.1000000001</v>
      </c>
      <c r="X40" s="649" t="s">
        <v>481</v>
      </c>
      <c r="Y40" s="649" t="s">
        <v>481</v>
      </c>
      <c r="Z40" s="446" t="s">
        <v>825</v>
      </c>
      <c r="AA40" s="427">
        <v>0</v>
      </c>
      <c r="AB40" s="672">
        <v>18898.599999999999</v>
      </c>
      <c r="AC40" s="672">
        <v>843077.4</v>
      </c>
      <c r="AD40" s="427">
        <f t="shared" si="20"/>
        <v>861976</v>
      </c>
      <c r="AE40" s="427">
        <v>0</v>
      </c>
      <c r="AF40" s="672">
        <v>1600.4</v>
      </c>
      <c r="AG40" s="672">
        <v>27664</v>
      </c>
      <c r="AH40" s="427">
        <f t="shared" si="21"/>
        <v>29264.400000000001</v>
      </c>
      <c r="AI40" s="676">
        <v>16592.8</v>
      </c>
      <c r="AJ40" s="676">
        <v>144808.29999999999</v>
      </c>
      <c r="AK40" s="676">
        <v>16590.8</v>
      </c>
      <c r="AL40" s="677">
        <f t="shared" si="22"/>
        <v>161399.09999999998</v>
      </c>
      <c r="AM40" s="427">
        <f t="shared" si="46"/>
        <v>16592.8</v>
      </c>
      <c r="AN40" s="427">
        <f t="shared" si="47"/>
        <v>165307.29999999999</v>
      </c>
      <c r="AO40" s="427">
        <f t="shared" si="48"/>
        <v>887332.20000000007</v>
      </c>
      <c r="AP40" s="427">
        <f t="shared" si="49"/>
        <v>1052639.5</v>
      </c>
      <c r="AQ40" s="446" t="s">
        <v>825</v>
      </c>
      <c r="AR40" s="672">
        <v>10337.5</v>
      </c>
      <c r="AS40" s="672">
        <v>31698.6</v>
      </c>
      <c r="AT40" s="672">
        <v>23354.6</v>
      </c>
      <c r="AU40" s="672">
        <v>140.69999999999999</v>
      </c>
      <c r="AV40" s="672">
        <f>1017700.8-27.7</f>
        <v>1017673.1000000001</v>
      </c>
      <c r="AW40" s="672">
        <v>8388.9</v>
      </c>
      <c r="AX40" s="427">
        <f>AV40+AW40</f>
        <v>1026062.0000000001</v>
      </c>
      <c r="AY40" s="427">
        <f>0.055*AX38</f>
        <v>55189.967800000006</v>
      </c>
      <c r="AZ40" s="427">
        <f t="shared" si="64"/>
        <v>8569.7021999999924</v>
      </c>
      <c r="BA40" s="672">
        <f>63761.6-1.93</f>
        <v>63759.67</v>
      </c>
      <c r="BB40" s="672">
        <v>2607208.9</v>
      </c>
      <c r="BC40" s="426">
        <f t="shared" si="27"/>
        <v>210387.27000000002</v>
      </c>
      <c r="BD40" s="672">
        <v>377.4</v>
      </c>
      <c r="BE40" s="672">
        <v>9488.7000000000007</v>
      </c>
      <c r="BF40" s="672">
        <v>4508.6000000000004</v>
      </c>
      <c r="BG40" s="672">
        <v>143376.79999999999</v>
      </c>
      <c r="BH40" s="427">
        <f t="shared" si="28"/>
        <v>157751.5</v>
      </c>
      <c r="BI40" s="446" t="s">
        <v>825</v>
      </c>
      <c r="BJ40" s="434">
        <v>-21.2</v>
      </c>
      <c r="BK40" s="434">
        <v>14.62</v>
      </c>
      <c r="BL40" s="434">
        <v>14.99</v>
      </c>
      <c r="BM40" s="434">
        <v>11.03</v>
      </c>
      <c r="BN40" s="434">
        <v>6.12</v>
      </c>
      <c r="BO40" s="434" t="s">
        <v>481</v>
      </c>
      <c r="BP40" s="434" t="s">
        <v>481</v>
      </c>
      <c r="BQ40" s="434" t="s">
        <v>481</v>
      </c>
      <c r="BR40" s="435">
        <v>9981</v>
      </c>
      <c r="BS40" s="435">
        <v>3721</v>
      </c>
      <c r="BT40" s="434">
        <f t="shared" si="56"/>
        <v>103.43591670055933</v>
      </c>
      <c r="BU40" s="434">
        <f t="shared" si="53"/>
        <v>101.96103596833986</v>
      </c>
      <c r="BV40" s="434">
        <f t="shared" si="54"/>
        <v>105.46433223123935</v>
      </c>
      <c r="BW40" s="434">
        <f t="shared" si="55"/>
        <v>7.5607157150955437</v>
      </c>
      <c r="BX40" s="434">
        <v>5</v>
      </c>
      <c r="BY40" s="434">
        <v>5.51</v>
      </c>
      <c r="BZ40" s="434">
        <v>9.9600000000000009</v>
      </c>
      <c r="CA40" s="434">
        <f t="shared" si="33"/>
        <v>4.4500000000000011</v>
      </c>
      <c r="CB40" s="434">
        <v>9.99</v>
      </c>
      <c r="CC40" s="434">
        <v>12.53</v>
      </c>
      <c r="CD40" s="434">
        <f t="shared" si="34"/>
        <v>2.5399999999999991</v>
      </c>
      <c r="CE40" s="389"/>
      <c r="CF40" s="389"/>
    </row>
    <row r="41" spans="1:84" s="388" customFormat="1" ht="10.7" customHeight="1">
      <c r="I41" s="251" t="s">
        <v>816</v>
      </c>
      <c r="J41" s="678">
        <v>153411.20000000001</v>
      </c>
      <c r="K41" s="678">
        <v>1529.3</v>
      </c>
      <c r="L41" s="678">
        <f t="shared" si="14"/>
        <v>154940.5</v>
      </c>
      <c r="M41" s="678">
        <v>14023</v>
      </c>
      <c r="N41" s="678">
        <f t="shared" si="15"/>
        <v>140917.5</v>
      </c>
      <c r="O41" s="678">
        <v>33411</v>
      </c>
      <c r="P41" s="678">
        <v>75790.3</v>
      </c>
      <c r="Q41" s="678">
        <v>113217.1</v>
      </c>
      <c r="R41" s="678">
        <v>855087.3</v>
      </c>
      <c r="S41" s="678">
        <f>Q41+R41</f>
        <v>968304.4</v>
      </c>
      <c r="T41" s="678">
        <f>P41+S41</f>
        <v>1044094.7000000001</v>
      </c>
      <c r="U41" s="678">
        <v>759.1</v>
      </c>
      <c r="V41" s="343">
        <f t="shared" si="44"/>
        <v>254893.7</v>
      </c>
      <c r="W41" s="343">
        <f t="shared" si="45"/>
        <v>1109981</v>
      </c>
      <c r="X41" s="682" t="s">
        <v>481</v>
      </c>
      <c r="Y41" s="682" t="s">
        <v>481</v>
      </c>
      <c r="Z41" s="251" t="s">
        <v>816</v>
      </c>
      <c r="AA41" s="343">
        <v>0</v>
      </c>
      <c r="AB41" s="678">
        <v>18543.400000000001</v>
      </c>
      <c r="AC41" s="678">
        <v>859131.1</v>
      </c>
      <c r="AD41" s="343">
        <f t="shared" si="20"/>
        <v>877674.5</v>
      </c>
      <c r="AE41" s="343">
        <v>0</v>
      </c>
      <c r="AF41" s="678">
        <v>1666.1</v>
      </c>
      <c r="AG41" s="678">
        <v>26533.1</v>
      </c>
      <c r="AH41" s="343">
        <f t="shared" si="21"/>
        <v>28199.199999999997</v>
      </c>
      <c r="AI41" s="703">
        <v>17367.400000000001</v>
      </c>
      <c r="AJ41" s="703">
        <v>152836.79999999999</v>
      </c>
      <c r="AK41" s="703">
        <v>16721.3</v>
      </c>
      <c r="AL41" s="653">
        <f t="shared" si="22"/>
        <v>169558.09999999998</v>
      </c>
      <c r="AM41" s="343">
        <f t="shared" si="46"/>
        <v>17367.400000000001</v>
      </c>
      <c r="AN41" s="343">
        <f t="shared" si="47"/>
        <v>173046.3</v>
      </c>
      <c r="AO41" s="343">
        <f t="shared" si="48"/>
        <v>902385.5</v>
      </c>
      <c r="AP41" s="343">
        <f t="shared" si="49"/>
        <v>1075431.7999999998</v>
      </c>
      <c r="AQ41" s="251" t="s">
        <v>816</v>
      </c>
      <c r="AR41" s="678">
        <v>9988.7999999999993</v>
      </c>
      <c r="AS41" s="678">
        <v>32329.9</v>
      </c>
      <c r="AT41" s="678">
        <v>25777.8</v>
      </c>
      <c r="AU41" s="678">
        <v>59.2</v>
      </c>
      <c r="AV41" s="678">
        <f>1044142.5-29.04</f>
        <v>1044113.46</v>
      </c>
      <c r="AW41" s="678">
        <v>7577.6</v>
      </c>
      <c r="AX41" s="343">
        <f>AV41+AW41</f>
        <v>1051691.06</v>
      </c>
      <c r="AY41" s="343">
        <f>0.055*AX39</f>
        <v>55721.048349999997</v>
      </c>
      <c r="AZ41" s="343">
        <f t="shared" si="64"/>
        <v>22320.841650000002</v>
      </c>
      <c r="BA41" s="678">
        <f>78043.4-1.51</f>
        <v>78041.89</v>
      </c>
      <c r="BB41" s="678">
        <v>2680520.5</v>
      </c>
      <c r="BC41" s="342">
        <f t="shared" si="27"/>
        <v>232982.39</v>
      </c>
      <c r="BD41" s="678">
        <v>4000</v>
      </c>
      <c r="BE41" s="678">
        <v>17878.900000000001</v>
      </c>
      <c r="BF41" s="678">
        <v>4818</v>
      </c>
      <c r="BG41" s="678">
        <v>151396</v>
      </c>
      <c r="BH41" s="343">
        <f t="shared" si="28"/>
        <v>178092.9</v>
      </c>
      <c r="BI41" s="251" t="s">
        <v>816</v>
      </c>
      <c r="BJ41" s="389">
        <v>-2.5099999999999998</v>
      </c>
      <c r="BK41" s="389">
        <v>11.11</v>
      </c>
      <c r="BL41" s="389">
        <v>16.940000000000001</v>
      </c>
      <c r="BM41" s="389">
        <v>14.71</v>
      </c>
      <c r="BN41" s="389">
        <v>9.24</v>
      </c>
      <c r="BO41" s="389" t="s">
        <v>481</v>
      </c>
      <c r="BP41" s="389" t="s">
        <v>481</v>
      </c>
      <c r="BQ41" s="577" t="s">
        <v>481</v>
      </c>
      <c r="BR41" s="577">
        <v>10114</v>
      </c>
      <c r="BS41" s="577">
        <v>3741</v>
      </c>
      <c r="BT41" s="389">
        <f t="shared" si="56"/>
        <v>102.99951501439315</v>
      </c>
      <c r="BU41" s="389">
        <f t="shared" si="53"/>
        <v>103.23447300771208</v>
      </c>
      <c r="BV41" s="389">
        <f t="shared" si="54"/>
        <v>106.33100652560805</v>
      </c>
      <c r="BW41" s="389">
        <f t="shared" si="55"/>
        <v>8.8175177820234207</v>
      </c>
      <c r="BX41" s="389">
        <v>5</v>
      </c>
      <c r="BY41" s="389">
        <v>5.5</v>
      </c>
      <c r="BZ41" s="389">
        <v>9.9499999999999993</v>
      </c>
      <c r="CA41" s="389">
        <f t="shared" si="33"/>
        <v>4.4499999999999993</v>
      </c>
      <c r="CB41" s="389">
        <v>10.14</v>
      </c>
      <c r="CC41" s="389">
        <v>12.67</v>
      </c>
      <c r="CD41" s="389">
        <f t="shared" si="34"/>
        <v>2.5299999999999994</v>
      </c>
      <c r="CE41" s="389"/>
      <c r="CF41" s="389"/>
    </row>
    <row r="42" spans="1:84" s="655" customFormat="1" ht="10.7" customHeight="1">
      <c r="I42" s="448" t="s">
        <v>2524</v>
      </c>
      <c r="J42" s="672"/>
      <c r="K42" s="672"/>
      <c r="L42" s="672"/>
      <c r="M42" s="672"/>
      <c r="N42" s="672"/>
      <c r="O42" s="672"/>
      <c r="P42" s="672"/>
      <c r="Q42" s="672"/>
      <c r="R42" s="672"/>
      <c r="S42" s="672"/>
      <c r="T42" s="672"/>
      <c r="U42" s="672"/>
      <c r="V42" s="672"/>
      <c r="W42" s="672"/>
      <c r="X42" s="649"/>
      <c r="Y42" s="649"/>
      <c r="Z42" s="448" t="s">
        <v>2524</v>
      </c>
      <c r="AA42" s="427"/>
      <c r="AB42" s="672"/>
      <c r="AC42" s="672"/>
      <c r="AD42" s="672"/>
      <c r="AE42" s="427"/>
      <c r="AF42" s="672"/>
      <c r="AG42" s="672"/>
      <c r="AH42" s="672"/>
      <c r="AI42" s="676"/>
      <c r="AJ42" s="676"/>
      <c r="AK42" s="676"/>
      <c r="AL42" s="676"/>
      <c r="AM42" s="676"/>
      <c r="AN42" s="676"/>
      <c r="AO42" s="676"/>
      <c r="AP42" s="676"/>
      <c r="AQ42" s="448" t="s">
        <v>2524</v>
      </c>
      <c r="AR42" s="672"/>
      <c r="AS42" s="672"/>
      <c r="AT42" s="672"/>
      <c r="AU42" s="672"/>
      <c r="AV42" s="672"/>
      <c r="AW42" s="672"/>
      <c r="AX42" s="672"/>
      <c r="AY42" s="427"/>
      <c r="AZ42" s="427"/>
      <c r="BA42" s="672"/>
      <c r="BB42" s="672"/>
      <c r="BC42" s="672"/>
      <c r="BD42" s="672"/>
      <c r="BE42" s="672"/>
      <c r="BF42" s="672"/>
      <c r="BG42" s="672"/>
      <c r="BH42" s="672"/>
      <c r="BI42" s="448" t="s">
        <v>2524</v>
      </c>
      <c r="BJ42" s="434"/>
      <c r="BK42" s="434"/>
      <c r="BL42" s="434"/>
      <c r="BM42" s="434"/>
      <c r="BN42" s="434"/>
      <c r="BO42" s="434"/>
      <c r="BP42" s="434"/>
      <c r="BQ42" s="435"/>
      <c r="BR42" s="435"/>
      <c r="BS42" s="435"/>
      <c r="BT42" s="435"/>
      <c r="BU42" s="435"/>
      <c r="BV42" s="435"/>
      <c r="BW42" s="435"/>
      <c r="BX42" s="434"/>
      <c r="BY42" s="434"/>
      <c r="BZ42" s="434"/>
      <c r="CA42" s="434"/>
      <c r="CB42" s="434"/>
      <c r="CC42" s="434"/>
      <c r="CD42" s="434"/>
    </row>
    <row r="43" spans="1:84" s="665" customFormat="1" ht="10.7" customHeight="1">
      <c r="A43" s="655"/>
      <c r="B43" s="655"/>
      <c r="C43" s="655"/>
      <c r="D43" s="655"/>
      <c r="E43" s="655"/>
      <c r="F43" s="655"/>
      <c r="G43" s="655"/>
      <c r="H43" s="655"/>
      <c r="I43" s="251" t="s">
        <v>818</v>
      </c>
      <c r="J43" s="678">
        <v>149492.79999999999</v>
      </c>
      <c r="K43" s="678">
        <v>1527</v>
      </c>
      <c r="L43" s="678">
        <f t="shared" si="14"/>
        <v>151019.79999999999</v>
      </c>
      <c r="M43" s="678">
        <v>13317.5</v>
      </c>
      <c r="N43" s="678">
        <f t="shared" si="15"/>
        <v>137702.29999999999</v>
      </c>
      <c r="O43" s="678">
        <v>30503.1</v>
      </c>
      <c r="P43" s="678">
        <v>70875.7</v>
      </c>
      <c r="Q43" s="678">
        <v>106870.3</v>
      </c>
      <c r="R43" s="678">
        <v>860756.6</v>
      </c>
      <c r="S43" s="678">
        <f t="shared" ref="S43:S52" si="65">Q43+R43</f>
        <v>967626.9</v>
      </c>
      <c r="T43" s="678">
        <f t="shared" ref="T43:T52" si="66">P43+S43</f>
        <v>1038502.6</v>
      </c>
      <c r="U43" s="678">
        <v>831.5</v>
      </c>
      <c r="V43" s="678">
        <f t="shared" si="44"/>
        <v>245404.09999999998</v>
      </c>
      <c r="W43" s="678">
        <f t="shared" si="45"/>
        <v>1106160.7</v>
      </c>
      <c r="X43" s="682" t="s">
        <v>481</v>
      </c>
      <c r="Y43" s="682" t="s">
        <v>481</v>
      </c>
      <c r="Z43" s="251" t="s">
        <v>818</v>
      </c>
      <c r="AA43" s="343">
        <v>0</v>
      </c>
      <c r="AB43" s="678">
        <v>19059.3</v>
      </c>
      <c r="AC43" s="678">
        <v>854121.1</v>
      </c>
      <c r="AD43" s="678">
        <f t="shared" si="20"/>
        <v>873180.4</v>
      </c>
      <c r="AE43" s="343">
        <v>0</v>
      </c>
      <c r="AF43" s="678">
        <v>1765.2</v>
      </c>
      <c r="AG43" s="678">
        <v>25493.3</v>
      </c>
      <c r="AH43" s="678">
        <f t="shared" si="21"/>
        <v>27258.5</v>
      </c>
      <c r="AI43" s="703">
        <v>16928.099999999999</v>
      </c>
      <c r="AJ43" s="703">
        <v>159910.70000000001</v>
      </c>
      <c r="AK43" s="703">
        <v>16754.3</v>
      </c>
      <c r="AL43" s="703">
        <f t="shared" si="22"/>
        <v>176665</v>
      </c>
      <c r="AM43" s="703">
        <f t="shared" si="46"/>
        <v>16928.099999999999</v>
      </c>
      <c r="AN43" s="703">
        <f t="shared" si="47"/>
        <v>180735.2</v>
      </c>
      <c r="AO43" s="703">
        <f t="shared" si="48"/>
        <v>896368.70000000007</v>
      </c>
      <c r="AP43" s="703">
        <f t="shared" si="49"/>
        <v>1077103.8999999999</v>
      </c>
      <c r="AQ43" s="251" t="s">
        <v>818</v>
      </c>
      <c r="AR43" s="678">
        <v>9546.6</v>
      </c>
      <c r="AS43" s="678">
        <v>32179.5</v>
      </c>
      <c r="AT43" s="678">
        <v>24307.9</v>
      </c>
      <c r="AU43" s="678">
        <v>57.3</v>
      </c>
      <c r="AV43" s="678">
        <f>1038550.5-28.02</f>
        <v>1038522.48</v>
      </c>
      <c r="AW43" s="678">
        <v>7473.5</v>
      </c>
      <c r="AX43" s="678">
        <f t="shared" ref="AX43:AX52" si="67">AV43+AW43</f>
        <v>1045995.98</v>
      </c>
      <c r="AY43" s="678">
        <f>0.055*AX40</f>
        <v>56433.41</v>
      </c>
      <c r="AZ43" s="678">
        <f t="shared" si="64"/>
        <v>12982.199999999997</v>
      </c>
      <c r="BA43" s="678">
        <f>69416.6-0.99</f>
        <v>69415.61</v>
      </c>
      <c r="BB43" s="678">
        <v>2714235.3</v>
      </c>
      <c r="BC43" s="678">
        <f t="shared" si="27"/>
        <v>220435.40999999997</v>
      </c>
      <c r="BD43" s="678">
        <v>0</v>
      </c>
      <c r="BE43" s="678">
        <v>14845.9</v>
      </c>
      <c r="BF43" s="678">
        <v>5138</v>
      </c>
      <c r="BG43" s="678">
        <v>158469.4</v>
      </c>
      <c r="BH43" s="678">
        <f t="shared" si="28"/>
        <v>178453.3</v>
      </c>
      <c r="BI43" s="251" t="s">
        <v>818</v>
      </c>
      <c r="BJ43" s="389">
        <v>2.41</v>
      </c>
      <c r="BK43" s="389">
        <v>1.48</v>
      </c>
      <c r="BL43" s="389">
        <v>-0.67</v>
      </c>
      <c r="BM43" s="389">
        <v>-0.34</v>
      </c>
      <c r="BN43" s="389">
        <v>-0.34</v>
      </c>
      <c r="BO43" s="389" t="s">
        <v>481</v>
      </c>
      <c r="BP43" s="389" t="s">
        <v>481</v>
      </c>
      <c r="BQ43" s="577" t="s">
        <v>481</v>
      </c>
      <c r="BR43" s="577">
        <v>10131</v>
      </c>
      <c r="BS43" s="577">
        <v>3741</v>
      </c>
      <c r="BT43" s="389">
        <f t="shared" ref="BT43:BT52" si="68">AP43/AV43*100</f>
        <v>103.71502983738974</v>
      </c>
      <c r="BU43" s="389">
        <f t="shared" si="53"/>
        <v>102.50937518507551</v>
      </c>
      <c r="BV43" s="389">
        <f t="shared" si="54"/>
        <v>106.31762905932285</v>
      </c>
      <c r="BW43" s="389">
        <f t="shared" si="55"/>
        <v>7.9664245688740403</v>
      </c>
      <c r="BX43" s="389">
        <v>5</v>
      </c>
      <c r="BY43" s="389">
        <v>5.4</v>
      </c>
      <c r="BZ43" s="389">
        <v>9.7100000000000009</v>
      </c>
      <c r="CA43" s="389">
        <f t="shared" si="33"/>
        <v>4.3100000000000005</v>
      </c>
      <c r="CB43" s="389">
        <v>10.0946338</v>
      </c>
      <c r="CC43" s="389">
        <v>12.848167699999999</v>
      </c>
      <c r="CD43" s="389">
        <f t="shared" si="34"/>
        <v>2.753533899999999</v>
      </c>
    </row>
    <row r="44" spans="1:84" s="665" customFormat="1" ht="10.7" customHeight="1">
      <c r="A44" s="655"/>
      <c r="B44" s="655"/>
      <c r="C44" s="655"/>
      <c r="D44" s="655"/>
      <c r="E44" s="655"/>
      <c r="F44" s="655"/>
      <c r="G44" s="655"/>
      <c r="H44" s="655"/>
      <c r="I44" s="446" t="s">
        <v>819</v>
      </c>
      <c r="J44" s="672">
        <v>166059.1</v>
      </c>
      <c r="K44" s="672">
        <v>1527.6</v>
      </c>
      <c r="L44" s="672">
        <f t="shared" si="14"/>
        <v>167586.70000000001</v>
      </c>
      <c r="M44" s="672">
        <v>14192.1</v>
      </c>
      <c r="N44" s="672">
        <f t="shared" si="15"/>
        <v>153394.6</v>
      </c>
      <c r="O44" s="672">
        <v>31471.8</v>
      </c>
      <c r="P44" s="672">
        <v>71608</v>
      </c>
      <c r="Q44" s="672">
        <v>103018.3</v>
      </c>
      <c r="R44" s="672">
        <v>866797.8</v>
      </c>
      <c r="S44" s="672">
        <f t="shared" si="65"/>
        <v>969816.10000000009</v>
      </c>
      <c r="T44" s="672">
        <f t="shared" si="66"/>
        <v>1041424.1000000001</v>
      </c>
      <c r="U44" s="672">
        <v>743.6</v>
      </c>
      <c r="V44" s="672">
        <f t="shared" si="44"/>
        <v>257156.50000000003</v>
      </c>
      <c r="W44" s="672">
        <f t="shared" si="45"/>
        <v>1123954.3</v>
      </c>
      <c r="X44" s="672" t="s">
        <v>481</v>
      </c>
      <c r="Y44" s="672" t="s">
        <v>481</v>
      </c>
      <c r="Z44" s="446" t="s">
        <v>819</v>
      </c>
      <c r="AA44" s="427">
        <v>0</v>
      </c>
      <c r="AB44" s="672">
        <v>18699.599999999999</v>
      </c>
      <c r="AC44" s="672">
        <v>862163.9</v>
      </c>
      <c r="AD44" s="672">
        <f t="shared" si="20"/>
        <v>880863.5</v>
      </c>
      <c r="AE44" s="427">
        <v>0</v>
      </c>
      <c r="AF44" s="672">
        <v>1983.3</v>
      </c>
      <c r="AG44" s="672">
        <v>26084.799999999999</v>
      </c>
      <c r="AH44" s="672">
        <f t="shared" si="21"/>
        <v>28068.1</v>
      </c>
      <c r="AI44" s="676">
        <v>18768.099999999999</v>
      </c>
      <c r="AJ44" s="676">
        <v>158847.9</v>
      </c>
      <c r="AK44" s="676">
        <v>16866.5</v>
      </c>
      <c r="AL44" s="676">
        <f t="shared" si="22"/>
        <v>175714.4</v>
      </c>
      <c r="AM44" s="676">
        <f t="shared" si="46"/>
        <v>18768.099999999999</v>
      </c>
      <c r="AN44" s="676">
        <f t="shared" si="47"/>
        <v>179530.8</v>
      </c>
      <c r="AO44" s="676">
        <f t="shared" si="48"/>
        <v>905115.20000000007</v>
      </c>
      <c r="AP44" s="676">
        <f t="shared" si="49"/>
        <v>1084646</v>
      </c>
      <c r="AQ44" s="446" t="s">
        <v>819</v>
      </c>
      <c r="AR44" s="672">
        <v>8148.7</v>
      </c>
      <c r="AS44" s="672">
        <v>31895.5</v>
      </c>
      <c r="AT44" s="672">
        <v>31233.599999999999</v>
      </c>
      <c r="AU44" s="672">
        <v>46.3</v>
      </c>
      <c r="AV44" s="672">
        <f>1041472-27.72</f>
        <v>1041444.28</v>
      </c>
      <c r="AW44" s="672">
        <v>9970.2999999999993</v>
      </c>
      <c r="AX44" s="672">
        <f t="shared" si="67"/>
        <v>1051414.58</v>
      </c>
      <c r="AY44" s="672">
        <f>0.055*AX41</f>
        <v>57843.008300000001</v>
      </c>
      <c r="AZ44" s="672">
        <f t="shared" si="64"/>
        <v>8196.8316999999952</v>
      </c>
      <c r="BA44" s="672">
        <f>66040.5-0.66</f>
        <v>66039.839999999997</v>
      </c>
      <c r="BB44" s="672">
        <v>2758949.3</v>
      </c>
      <c r="BC44" s="672">
        <f t="shared" si="27"/>
        <v>233626.54</v>
      </c>
      <c r="BD44" s="672">
        <v>3988.8</v>
      </c>
      <c r="BE44" s="672">
        <v>14888.3</v>
      </c>
      <c r="BF44" s="672">
        <v>5056.2</v>
      </c>
      <c r="BG44" s="672">
        <v>157407.70000000001</v>
      </c>
      <c r="BH44" s="672">
        <f t="shared" si="28"/>
        <v>181341</v>
      </c>
      <c r="BI44" s="446" t="s">
        <v>819</v>
      </c>
      <c r="BJ44" s="434">
        <v>7.16</v>
      </c>
      <c r="BK44" s="434">
        <v>1.18</v>
      </c>
      <c r="BL44" s="434">
        <v>0.28999999999999998</v>
      </c>
      <c r="BM44" s="434">
        <v>0.95</v>
      </c>
      <c r="BN44" s="434">
        <v>1.26</v>
      </c>
      <c r="BO44" s="434" t="s">
        <v>481</v>
      </c>
      <c r="BP44" s="434" t="s">
        <v>481</v>
      </c>
      <c r="BQ44" s="435" t="s">
        <v>481</v>
      </c>
      <c r="BR44" s="435">
        <v>10143</v>
      </c>
      <c r="BS44" s="435">
        <v>3741</v>
      </c>
      <c r="BT44" s="434">
        <f t="shared" si="68"/>
        <v>104.14825073502732</v>
      </c>
      <c r="BU44" s="434">
        <f t="shared" si="53"/>
        <v>102.67615892733906</v>
      </c>
      <c r="BV44" s="434">
        <f t="shared" si="54"/>
        <v>106.93542344474021</v>
      </c>
      <c r="BW44" s="434">
        <f t="shared" si="55"/>
        <v>7.7039109571949442</v>
      </c>
      <c r="BX44" s="434">
        <v>5</v>
      </c>
      <c r="BY44" s="434">
        <v>5.36</v>
      </c>
      <c r="BZ44" s="434">
        <v>9.6300000000000008</v>
      </c>
      <c r="CA44" s="434">
        <f t="shared" si="33"/>
        <v>4.2700000000000005</v>
      </c>
      <c r="CB44" s="434">
        <v>9.98</v>
      </c>
      <c r="CC44" s="434">
        <v>12.86</v>
      </c>
      <c r="CD44" s="434">
        <f t="shared" si="34"/>
        <v>2.879999999999999</v>
      </c>
    </row>
    <row r="45" spans="1:84" s="665" customFormat="1" ht="10.7" customHeight="1">
      <c r="I45" s="251" t="s">
        <v>813</v>
      </c>
      <c r="J45" s="678">
        <v>153996</v>
      </c>
      <c r="K45" s="678">
        <v>1525.4</v>
      </c>
      <c r="L45" s="678">
        <f t="shared" si="14"/>
        <v>155521.4</v>
      </c>
      <c r="M45" s="678">
        <v>14502.5</v>
      </c>
      <c r="N45" s="678">
        <f t="shared" si="15"/>
        <v>141018.9</v>
      </c>
      <c r="O45" s="678">
        <v>30922.9</v>
      </c>
      <c r="P45" s="678">
        <v>71586.899999999994</v>
      </c>
      <c r="Q45" s="678">
        <v>103162.1</v>
      </c>
      <c r="R45" s="678">
        <v>873958.6</v>
      </c>
      <c r="S45" s="678">
        <f t="shared" si="65"/>
        <v>977120.7</v>
      </c>
      <c r="T45" s="678">
        <f t="shared" si="66"/>
        <v>1048707.5999999999</v>
      </c>
      <c r="U45" s="678">
        <v>755</v>
      </c>
      <c r="V45" s="678">
        <f t="shared" si="44"/>
        <v>244936</v>
      </c>
      <c r="W45" s="678">
        <f t="shared" si="45"/>
        <v>1118894.6000000001</v>
      </c>
      <c r="X45" s="678" t="s">
        <v>481</v>
      </c>
      <c r="Y45" s="678" t="s">
        <v>481</v>
      </c>
      <c r="Z45" s="251" t="s">
        <v>813</v>
      </c>
      <c r="AA45" s="343">
        <v>0</v>
      </c>
      <c r="AB45" s="678">
        <v>18624.400000000001</v>
      </c>
      <c r="AC45" s="678">
        <v>872385</v>
      </c>
      <c r="AD45" s="678">
        <f t="shared" si="20"/>
        <v>891009.4</v>
      </c>
      <c r="AE45" s="343">
        <v>0</v>
      </c>
      <c r="AF45" s="678">
        <v>1875.1</v>
      </c>
      <c r="AG45" s="678">
        <v>24361.4</v>
      </c>
      <c r="AH45" s="678">
        <f t="shared" si="21"/>
        <v>26236.5</v>
      </c>
      <c r="AI45" s="703">
        <v>18777.5</v>
      </c>
      <c r="AJ45" s="703">
        <v>160233.70000000001</v>
      </c>
      <c r="AK45" s="703">
        <v>16995.900000000001</v>
      </c>
      <c r="AL45" s="703">
        <f t="shared" si="22"/>
        <v>177229.6</v>
      </c>
      <c r="AM45" s="703">
        <f t="shared" si="46"/>
        <v>18777.5</v>
      </c>
      <c r="AN45" s="703">
        <f t="shared" si="47"/>
        <v>180733.2</v>
      </c>
      <c r="AO45" s="703">
        <f t="shared" si="48"/>
        <v>913742.3</v>
      </c>
      <c r="AP45" s="703">
        <f t="shared" si="49"/>
        <v>1094475.5</v>
      </c>
      <c r="AQ45" s="251" t="s">
        <v>813</v>
      </c>
      <c r="AR45" s="678">
        <v>8587.4</v>
      </c>
      <c r="AS45" s="678">
        <v>31971</v>
      </c>
      <c r="AT45" s="678">
        <v>28484.9</v>
      </c>
      <c r="AU45" s="678">
        <v>52.9</v>
      </c>
      <c r="AV45" s="678">
        <f>1048755.5-14.3</f>
        <v>1048741.2</v>
      </c>
      <c r="AW45" s="678">
        <v>8118.6</v>
      </c>
      <c r="AX45" s="678">
        <f t="shared" si="67"/>
        <v>1056859.8</v>
      </c>
      <c r="AY45" s="678">
        <f t="shared" ref="AY45:AY51" si="69">0.055*AX43</f>
        <v>57529.778899999998</v>
      </c>
      <c r="AZ45" s="678">
        <f t="shared" si="64"/>
        <v>14680.361100000002</v>
      </c>
      <c r="BA45" s="678">
        <f>72210.8-0.66</f>
        <v>72210.14</v>
      </c>
      <c r="BB45" s="678">
        <v>2779139.5</v>
      </c>
      <c r="BC45" s="678">
        <f t="shared" si="27"/>
        <v>227731.53999999998</v>
      </c>
      <c r="BD45" s="678">
        <v>0</v>
      </c>
      <c r="BE45" s="678">
        <v>14375</v>
      </c>
      <c r="BF45" s="678">
        <v>4661.7</v>
      </c>
      <c r="BG45" s="678">
        <v>158802.4</v>
      </c>
      <c r="BH45" s="678">
        <f t="shared" si="28"/>
        <v>177839.1</v>
      </c>
      <c r="BI45" s="251" t="s">
        <v>813</v>
      </c>
      <c r="BJ45" s="389">
        <v>0.84</v>
      </c>
      <c r="BK45" s="389">
        <v>2.25</v>
      </c>
      <c r="BL45" s="389">
        <v>1.24</v>
      </c>
      <c r="BM45" s="389">
        <v>1.22</v>
      </c>
      <c r="BN45" s="389">
        <v>0.8</v>
      </c>
      <c r="BO45" s="389" t="s">
        <v>481</v>
      </c>
      <c r="BP45" s="389" t="s">
        <v>481</v>
      </c>
      <c r="BQ45" s="577" t="s">
        <v>481</v>
      </c>
      <c r="BR45" s="577">
        <v>10159</v>
      </c>
      <c r="BS45" s="577">
        <v>3743</v>
      </c>
      <c r="BT45" s="389">
        <f t="shared" si="68"/>
        <v>104.36087568601292</v>
      </c>
      <c r="BU45" s="389">
        <f t="shared" ref="BU45:BU52" si="70">AV45/BR45</f>
        <v>103.23271975588148</v>
      </c>
      <c r="BV45" s="389">
        <f t="shared" si="54"/>
        <v>107.73457033172556</v>
      </c>
      <c r="BW45" s="389">
        <f t="shared" si="55"/>
        <v>8.2682591281814801</v>
      </c>
      <c r="BX45" s="389">
        <v>5</v>
      </c>
      <c r="BY45" s="389">
        <v>5.27</v>
      </c>
      <c r="BZ45" s="389">
        <v>9.5399999999999991</v>
      </c>
      <c r="CA45" s="389">
        <f t="shared" si="33"/>
        <v>4.2699999999999996</v>
      </c>
      <c r="CB45" s="389">
        <v>9.8800000000000008</v>
      </c>
      <c r="CC45" s="389">
        <v>12.79</v>
      </c>
      <c r="CD45" s="389">
        <f t="shared" si="34"/>
        <v>2.9099999999999984</v>
      </c>
    </row>
    <row r="46" spans="1:84" s="665" customFormat="1" ht="10.7" customHeight="1">
      <c r="I46" s="446" t="s">
        <v>820</v>
      </c>
      <c r="J46" s="672">
        <v>150900.6</v>
      </c>
      <c r="K46" s="672">
        <v>1523.6</v>
      </c>
      <c r="L46" s="672">
        <f t="shared" si="14"/>
        <v>152424.20000000001</v>
      </c>
      <c r="M46" s="672">
        <v>13346.1</v>
      </c>
      <c r="N46" s="672">
        <f t="shared" si="15"/>
        <v>139078.1</v>
      </c>
      <c r="O46" s="672">
        <v>32478.1</v>
      </c>
      <c r="P46" s="672">
        <v>75151.100000000006</v>
      </c>
      <c r="Q46" s="672">
        <v>104949.5</v>
      </c>
      <c r="R46" s="672">
        <v>881083.1</v>
      </c>
      <c r="S46" s="672">
        <f t="shared" si="65"/>
        <v>986032.6</v>
      </c>
      <c r="T46" s="672">
        <f t="shared" si="66"/>
        <v>1061183.7</v>
      </c>
      <c r="U46" s="672">
        <v>714.3</v>
      </c>
      <c r="V46" s="672">
        <f t="shared" si="44"/>
        <v>244741.9</v>
      </c>
      <c r="W46" s="672">
        <f t="shared" si="45"/>
        <v>1125825</v>
      </c>
      <c r="X46" s="672" t="s">
        <v>481</v>
      </c>
      <c r="Y46" s="672" t="s">
        <v>481</v>
      </c>
      <c r="Z46" s="446" t="s">
        <v>820</v>
      </c>
      <c r="AA46" s="427">
        <v>0</v>
      </c>
      <c r="AB46" s="672">
        <v>18982.5</v>
      </c>
      <c r="AC46" s="672">
        <v>885427.1</v>
      </c>
      <c r="AD46" s="672">
        <f t="shared" si="20"/>
        <v>904409.59999999998</v>
      </c>
      <c r="AE46" s="427">
        <v>0</v>
      </c>
      <c r="AF46" s="672">
        <v>1820.8</v>
      </c>
      <c r="AG46" s="672">
        <v>24924</v>
      </c>
      <c r="AH46" s="672">
        <f t="shared" si="21"/>
        <v>26744.799999999999</v>
      </c>
      <c r="AI46" s="676">
        <v>19271.900000000001</v>
      </c>
      <c r="AJ46" s="676">
        <v>159600.1</v>
      </c>
      <c r="AK46" s="676">
        <v>17024.900000000001</v>
      </c>
      <c r="AL46" s="676">
        <f t="shared" si="22"/>
        <v>176625</v>
      </c>
      <c r="AM46" s="676">
        <f t="shared" si="46"/>
        <v>19271.900000000001</v>
      </c>
      <c r="AN46" s="676">
        <f t="shared" si="47"/>
        <v>180403.4</v>
      </c>
      <c r="AO46" s="676">
        <f t="shared" si="48"/>
        <v>927376</v>
      </c>
      <c r="AP46" s="676">
        <f t="shared" si="49"/>
        <v>1107779.3999999999</v>
      </c>
      <c r="AQ46" s="446" t="s">
        <v>820</v>
      </c>
      <c r="AR46" s="672">
        <v>8179.4</v>
      </c>
      <c r="AS46" s="672">
        <v>32023.8</v>
      </c>
      <c r="AT46" s="672">
        <v>26793.8</v>
      </c>
      <c r="AU46" s="672">
        <v>52.1</v>
      </c>
      <c r="AV46" s="672">
        <f>1061231.7-27.52</f>
        <v>1061204.18</v>
      </c>
      <c r="AW46" s="672">
        <v>8491.5</v>
      </c>
      <c r="AX46" s="672">
        <f t="shared" si="67"/>
        <v>1069695.68</v>
      </c>
      <c r="AY46" s="672">
        <f t="shared" si="69"/>
        <v>57827.801900000006</v>
      </c>
      <c r="AZ46" s="672">
        <f t="shared" si="64"/>
        <v>17148.748099999997</v>
      </c>
      <c r="BA46" s="672">
        <f>74979.7-3.15</f>
        <v>74976.55</v>
      </c>
      <c r="BB46" s="672">
        <v>2824513.3</v>
      </c>
      <c r="BC46" s="672">
        <f t="shared" si="27"/>
        <v>227400.75</v>
      </c>
      <c r="BD46" s="672">
        <v>1763.7</v>
      </c>
      <c r="BE46" s="672">
        <v>14378.3</v>
      </c>
      <c r="BF46" s="672">
        <v>4371.8999999999996</v>
      </c>
      <c r="BG46" s="672">
        <v>158169.79999999999</v>
      </c>
      <c r="BH46" s="672">
        <f t="shared" si="28"/>
        <v>178683.69999999998</v>
      </c>
      <c r="BI46" s="446" t="s">
        <v>820</v>
      </c>
      <c r="BJ46" s="434">
        <v>0.82</v>
      </c>
      <c r="BK46" s="434">
        <v>5.36</v>
      </c>
      <c r="BL46" s="434">
        <v>2.73</v>
      </c>
      <c r="BM46" s="434">
        <v>2.61</v>
      </c>
      <c r="BN46" s="434">
        <v>1.43</v>
      </c>
      <c r="BO46" s="434" t="s">
        <v>481</v>
      </c>
      <c r="BP46" s="434" t="s">
        <v>481</v>
      </c>
      <c r="BQ46" s="435" t="s">
        <v>481</v>
      </c>
      <c r="BR46" s="435">
        <v>10178</v>
      </c>
      <c r="BS46" s="435">
        <v>3743</v>
      </c>
      <c r="BT46" s="434">
        <f t="shared" si="68"/>
        <v>104.38890280285176</v>
      </c>
      <c r="BU46" s="434">
        <f t="shared" si="70"/>
        <v>104.26450972686185</v>
      </c>
      <c r="BV46" s="434">
        <f t="shared" si="54"/>
        <v>108.84057771664374</v>
      </c>
      <c r="BW46" s="434">
        <f t="shared" si="55"/>
        <v>8.3228705337364968</v>
      </c>
      <c r="BX46" s="434">
        <v>5</v>
      </c>
      <c r="BY46" s="434">
        <v>5.25</v>
      </c>
      <c r="BZ46" s="434">
        <v>9.4700000000000006</v>
      </c>
      <c r="CA46" s="434">
        <f t="shared" si="33"/>
        <v>4.2200000000000006</v>
      </c>
      <c r="CB46" s="434">
        <v>9.89</v>
      </c>
      <c r="CC46" s="434">
        <v>12.68</v>
      </c>
      <c r="CD46" s="434">
        <f t="shared" si="34"/>
        <v>2.7899999999999991</v>
      </c>
    </row>
    <row r="47" spans="1:84" ht="10.7" customHeight="1">
      <c r="F47" s="11"/>
      <c r="I47" s="251" t="s">
        <v>821</v>
      </c>
      <c r="J47" s="678">
        <v>150750.70000000001</v>
      </c>
      <c r="K47" s="678">
        <v>1521.3</v>
      </c>
      <c r="L47" s="678">
        <f t="shared" si="14"/>
        <v>152272</v>
      </c>
      <c r="M47" s="678">
        <v>13162.8</v>
      </c>
      <c r="N47" s="678">
        <f t="shared" si="15"/>
        <v>139109.20000000001</v>
      </c>
      <c r="O47" s="678">
        <v>31948.6</v>
      </c>
      <c r="P47" s="678">
        <v>76461.399999999994</v>
      </c>
      <c r="Q47" s="678">
        <v>104361.1</v>
      </c>
      <c r="R47" s="678">
        <v>887329.3</v>
      </c>
      <c r="S47" s="678">
        <f t="shared" si="65"/>
        <v>991690.4</v>
      </c>
      <c r="T47" s="678">
        <f t="shared" si="66"/>
        <v>1068151.8</v>
      </c>
      <c r="U47" s="678">
        <v>703.6</v>
      </c>
      <c r="V47" s="678">
        <f t="shared" si="44"/>
        <v>244173.90000000002</v>
      </c>
      <c r="W47" s="678">
        <f t="shared" si="45"/>
        <v>1131503.2000000002</v>
      </c>
      <c r="X47" s="678" t="s">
        <v>481</v>
      </c>
      <c r="Y47" s="678" t="s">
        <v>481</v>
      </c>
      <c r="Z47" s="251" t="s">
        <v>821</v>
      </c>
      <c r="AA47" s="343">
        <v>0</v>
      </c>
      <c r="AB47" s="678">
        <v>19591.900000000001</v>
      </c>
      <c r="AC47" s="678">
        <v>895052.80000000005</v>
      </c>
      <c r="AD47" s="678">
        <f t="shared" si="20"/>
        <v>914644.70000000007</v>
      </c>
      <c r="AE47" s="343">
        <v>0</v>
      </c>
      <c r="AF47" s="678">
        <v>1768.3</v>
      </c>
      <c r="AG47" s="678">
        <v>25837.599999999999</v>
      </c>
      <c r="AH47" s="678">
        <f t="shared" si="21"/>
        <v>27605.899999999998</v>
      </c>
      <c r="AI47" s="703">
        <v>19294.2</v>
      </c>
      <c r="AJ47" s="703">
        <v>162555.6</v>
      </c>
      <c r="AK47" s="703">
        <v>16958.099999999999</v>
      </c>
      <c r="AL47" s="703">
        <f t="shared" si="22"/>
        <v>179513.7</v>
      </c>
      <c r="AM47" s="703">
        <f t="shared" si="46"/>
        <v>19294.2</v>
      </c>
      <c r="AN47" s="703">
        <f t="shared" si="47"/>
        <v>183915.80000000002</v>
      </c>
      <c r="AO47" s="703">
        <f t="shared" si="48"/>
        <v>937848.5</v>
      </c>
      <c r="AP47" s="703">
        <f t="shared" si="49"/>
        <v>1121764.3</v>
      </c>
      <c r="AQ47" s="251" t="s">
        <v>821</v>
      </c>
      <c r="AR47" s="678">
        <v>7981.7</v>
      </c>
      <c r="AS47" s="678">
        <v>32127.1</v>
      </c>
      <c r="AT47" s="678">
        <v>28066.799999999999</v>
      </c>
      <c r="AU47" s="678">
        <v>51.8</v>
      </c>
      <c r="AV47" s="678">
        <f>1068199.8-27.1</f>
        <v>1068172.7</v>
      </c>
      <c r="AW47" s="678">
        <v>7422.4</v>
      </c>
      <c r="AX47" s="678">
        <f t="shared" si="67"/>
        <v>1075595.0999999999</v>
      </c>
      <c r="AY47" s="678">
        <f t="shared" si="69"/>
        <v>58127.289000000004</v>
      </c>
      <c r="AZ47" s="678">
        <f t="shared" si="64"/>
        <v>14219.591</v>
      </c>
      <c r="BA47" s="678">
        <f>72352-5.12</f>
        <v>72346.880000000005</v>
      </c>
      <c r="BB47" s="678">
        <v>2872372.7</v>
      </c>
      <c r="BC47" s="678">
        <f t="shared" si="27"/>
        <v>224618.88</v>
      </c>
      <c r="BD47" s="678">
        <v>3491.5</v>
      </c>
      <c r="BE47" s="678">
        <v>14435.8</v>
      </c>
      <c r="BF47" s="678">
        <v>4265.5</v>
      </c>
      <c r="BG47" s="678">
        <v>160425.70000000001</v>
      </c>
      <c r="BH47" s="678">
        <f t="shared" si="28"/>
        <v>182618.5</v>
      </c>
      <c r="BI47" s="251" t="s">
        <v>821</v>
      </c>
      <c r="BJ47" s="389">
        <v>3.05</v>
      </c>
      <c r="BK47" s="389">
        <v>12.47</v>
      </c>
      <c r="BL47" s="389">
        <v>3.89</v>
      </c>
      <c r="BM47" s="389">
        <v>3.97</v>
      </c>
      <c r="BN47" s="389">
        <v>1.94</v>
      </c>
      <c r="BO47" s="389" t="s">
        <v>481</v>
      </c>
      <c r="BP47" s="389" t="s">
        <v>481</v>
      </c>
      <c r="BQ47" s="577" t="s">
        <v>481</v>
      </c>
      <c r="BR47" s="577">
        <v>10208</v>
      </c>
      <c r="BS47" s="577">
        <v>3744</v>
      </c>
      <c r="BT47" s="389">
        <f t="shared" si="68"/>
        <v>105.01712878451211</v>
      </c>
      <c r="BU47" s="389">
        <f t="shared" si="70"/>
        <v>104.64074255485893</v>
      </c>
      <c r="BV47" s="389">
        <f t="shared" si="54"/>
        <v>109.89070336990596</v>
      </c>
      <c r="BW47" s="389">
        <f t="shared" si="55"/>
        <v>8.0052298659196222</v>
      </c>
      <c r="BX47" s="389">
        <v>5</v>
      </c>
      <c r="BY47" s="389">
        <v>5.3</v>
      </c>
      <c r="BZ47" s="389">
        <v>9.5</v>
      </c>
      <c r="CA47" s="389">
        <f t="shared" si="33"/>
        <v>4.2</v>
      </c>
      <c r="CB47" s="389">
        <v>9.9</v>
      </c>
      <c r="CC47" s="389">
        <v>12.68</v>
      </c>
      <c r="CD47" s="389">
        <f t="shared" si="34"/>
        <v>2.7799999999999994</v>
      </c>
    </row>
    <row r="48" spans="1:84" ht="10.7" customHeight="1">
      <c r="F48" s="11"/>
      <c r="I48" s="446" t="s">
        <v>814</v>
      </c>
      <c r="J48" s="672">
        <v>156833</v>
      </c>
      <c r="K48" s="672">
        <v>1528</v>
      </c>
      <c r="L48" s="672">
        <f t="shared" si="14"/>
        <v>158361</v>
      </c>
      <c r="M48" s="672">
        <v>13681.9</v>
      </c>
      <c r="N48" s="672">
        <f t="shared" si="15"/>
        <v>144679.1</v>
      </c>
      <c r="O48" s="672">
        <v>37211.800000000003</v>
      </c>
      <c r="P48" s="672">
        <v>77333</v>
      </c>
      <c r="Q48" s="672">
        <v>110076.3</v>
      </c>
      <c r="R48" s="672">
        <v>899904.7</v>
      </c>
      <c r="S48" s="672">
        <f t="shared" si="65"/>
        <v>1009981</v>
      </c>
      <c r="T48" s="672">
        <f t="shared" si="66"/>
        <v>1087314</v>
      </c>
      <c r="U48" s="672">
        <v>700.6</v>
      </c>
      <c r="V48" s="672">
        <f t="shared" si="44"/>
        <v>255456.00000000003</v>
      </c>
      <c r="W48" s="672">
        <f t="shared" si="45"/>
        <v>1155360.7</v>
      </c>
      <c r="X48" s="672" t="s">
        <v>481</v>
      </c>
      <c r="Y48" s="672" t="s">
        <v>481</v>
      </c>
      <c r="Z48" s="446" t="s">
        <v>814</v>
      </c>
      <c r="AA48" s="427">
        <v>0</v>
      </c>
      <c r="AB48" s="672">
        <v>21813.5</v>
      </c>
      <c r="AC48" s="672">
        <v>910864.8</v>
      </c>
      <c r="AD48" s="672">
        <f t="shared" si="20"/>
        <v>932678.3</v>
      </c>
      <c r="AE48" s="427">
        <v>0</v>
      </c>
      <c r="AF48" s="672">
        <v>1614.5</v>
      </c>
      <c r="AG48" s="672">
        <v>26169.200000000001</v>
      </c>
      <c r="AH48" s="672">
        <f t="shared" si="21"/>
        <v>27783.7</v>
      </c>
      <c r="AI48" s="676">
        <v>24879.7</v>
      </c>
      <c r="AJ48" s="676">
        <v>158783.9</v>
      </c>
      <c r="AK48" s="676">
        <v>16838.400000000001</v>
      </c>
      <c r="AL48" s="676">
        <f t="shared" si="22"/>
        <v>175622.3</v>
      </c>
      <c r="AM48" s="676">
        <f t="shared" si="46"/>
        <v>24879.7</v>
      </c>
      <c r="AN48" s="676">
        <f t="shared" si="47"/>
        <v>182211.9</v>
      </c>
      <c r="AO48" s="676">
        <f t="shared" si="48"/>
        <v>953872.4</v>
      </c>
      <c r="AP48" s="676">
        <f t="shared" si="49"/>
        <v>1136084.3</v>
      </c>
      <c r="AQ48" s="446" t="s">
        <v>814</v>
      </c>
      <c r="AR48" s="672">
        <v>8743.2000000000007</v>
      </c>
      <c r="AS48" s="672">
        <v>32933.800000000003</v>
      </c>
      <c r="AT48" s="672">
        <v>29040</v>
      </c>
      <c r="AU48" s="672">
        <v>51.5</v>
      </c>
      <c r="AV48" s="672">
        <f>1087362.3-27.11</f>
        <v>1087335.19</v>
      </c>
      <c r="AW48" s="672">
        <v>7250.4</v>
      </c>
      <c r="AX48" s="672">
        <f t="shared" si="67"/>
        <v>1094585.5899999999</v>
      </c>
      <c r="AY48" s="672">
        <f t="shared" si="69"/>
        <v>58833.2624</v>
      </c>
      <c r="AZ48" s="672">
        <f t="shared" si="64"/>
        <v>16760.047599999998</v>
      </c>
      <c r="BA48" s="672">
        <f>75596.3-2.99</f>
        <v>75593.31</v>
      </c>
      <c r="BB48" s="672">
        <v>2750449.8</v>
      </c>
      <c r="BC48" s="672">
        <f t="shared" si="27"/>
        <v>233954.31</v>
      </c>
      <c r="BD48" s="672">
        <v>2859.7</v>
      </c>
      <c r="BE48" s="672">
        <v>19724.599999999999</v>
      </c>
      <c r="BF48" s="672">
        <v>5145.1000000000004</v>
      </c>
      <c r="BG48" s="672">
        <v>156093.6</v>
      </c>
      <c r="BH48" s="672">
        <f t="shared" si="28"/>
        <v>183823.00000000003</v>
      </c>
      <c r="BI48" s="446" t="s">
        <v>814</v>
      </c>
      <c r="BJ48" s="434">
        <v>3.43</v>
      </c>
      <c r="BK48" s="434">
        <v>21.6</v>
      </c>
      <c r="BL48" s="434">
        <v>5.65</v>
      </c>
      <c r="BM48" s="434">
        <v>5.75</v>
      </c>
      <c r="BN48" s="434">
        <v>4.09</v>
      </c>
      <c r="BO48" s="434" t="s">
        <v>481</v>
      </c>
      <c r="BP48" s="434" t="s">
        <v>481</v>
      </c>
      <c r="BQ48" s="435" t="s">
        <v>481</v>
      </c>
      <c r="BR48" s="435">
        <v>10286</v>
      </c>
      <c r="BS48" s="435">
        <v>3746</v>
      </c>
      <c r="BT48" s="434">
        <f t="shared" si="68"/>
        <v>104.48335623166946</v>
      </c>
      <c r="BU48" s="434">
        <f t="shared" si="70"/>
        <v>105.71020707758117</v>
      </c>
      <c r="BV48" s="434">
        <f t="shared" si="54"/>
        <v>110.44957223410461</v>
      </c>
      <c r="BW48" s="434">
        <f t="shared" si="55"/>
        <v>8.2104590029869264</v>
      </c>
      <c r="BX48" s="434">
        <v>5</v>
      </c>
      <c r="BY48" s="434">
        <v>5.26</v>
      </c>
      <c r="BZ48" s="434">
        <v>9.49</v>
      </c>
      <c r="CA48" s="434">
        <f t="shared" si="33"/>
        <v>4.2300000000000004</v>
      </c>
      <c r="CB48" s="434">
        <v>9.9499999999999993</v>
      </c>
      <c r="CC48" s="434">
        <v>12.65</v>
      </c>
      <c r="CD48" s="434">
        <f t="shared" si="34"/>
        <v>2.7000000000000011</v>
      </c>
    </row>
    <row r="49" spans="6:82" s="253" customFormat="1" ht="10.7" customHeight="1">
      <c r="F49" s="251"/>
      <c r="I49" s="251" t="s">
        <v>822</v>
      </c>
      <c r="J49" s="678">
        <v>155827.29999999999</v>
      </c>
      <c r="K49" s="678">
        <v>1528.5</v>
      </c>
      <c r="L49" s="678">
        <f t="shared" si="14"/>
        <v>157355.79999999999</v>
      </c>
      <c r="M49" s="678">
        <v>12674.1</v>
      </c>
      <c r="N49" s="678">
        <f t="shared" si="15"/>
        <v>144681.69999999998</v>
      </c>
      <c r="O49" s="678">
        <v>35831.9</v>
      </c>
      <c r="P49" s="678">
        <v>74654.7</v>
      </c>
      <c r="Q49" s="678">
        <v>106191.8</v>
      </c>
      <c r="R49" s="678">
        <v>902947.7</v>
      </c>
      <c r="S49" s="678">
        <f t="shared" si="65"/>
        <v>1009139.5</v>
      </c>
      <c r="T49" s="678">
        <f t="shared" si="66"/>
        <v>1083794.2</v>
      </c>
      <c r="U49" s="678">
        <v>736.6</v>
      </c>
      <c r="V49" s="678">
        <f t="shared" si="44"/>
        <v>251610.1</v>
      </c>
      <c r="W49" s="678">
        <f t="shared" si="45"/>
        <v>1154557.8</v>
      </c>
      <c r="X49" s="678" t="s">
        <v>481</v>
      </c>
      <c r="Y49" s="678" t="s">
        <v>481</v>
      </c>
      <c r="Z49" s="251" t="s">
        <v>822</v>
      </c>
      <c r="AA49" s="343">
        <v>0</v>
      </c>
      <c r="AB49" s="678">
        <v>22679.5</v>
      </c>
      <c r="AC49" s="678">
        <v>915603.1</v>
      </c>
      <c r="AD49" s="678">
        <f t="shared" si="20"/>
        <v>938282.6</v>
      </c>
      <c r="AE49" s="343">
        <v>0</v>
      </c>
      <c r="AF49" s="678">
        <v>1728.6</v>
      </c>
      <c r="AG49" s="678">
        <v>26247.4</v>
      </c>
      <c r="AH49" s="678">
        <f t="shared" si="21"/>
        <v>27976</v>
      </c>
      <c r="AI49" s="703">
        <v>26325</v>
      </c>
      <c r="AJ49" s="703">
        <v>159878</v>
      </c>
      <c r="AK49" s="703">
        <v>17046.599999999999</v>
      </c>
      <c r="AL49" s="703">
        <f t="shared" si="22"/>
        <v>176924.6</v>
      </c>
      <c r="AM49" s="703">
        <f t="shared" si="46"/>
        <v>26325</v>
      </c>
      <c r="AN49" s="703">
        <f t="shared" si="47"/>
        <v>184286.1</v>
      </c>
      <c r="AO49" s="703">
        <f t="shared" si="48"/>
        <v>958897.1</v>
      </c>
      <c r="AP49" s="703">
        <f t="shared" si="49"/>
        <v>1143183.2</v>
      </c>
      <c r="AQ49" s="251" t="s">
        <v>822</v>
      </c>
      <c r="AR49" s="678">
        <v>8536.5</v>
      </c>
      <c r="AS49" s="678">
        <v>32286.7</v>
      </c>
      <c r="AT49" s="678">
        <v>32518.9</v>
      </c>
      <c r="AU49" s="678">
        <v>72.099999999999994</v>
      </c>
      <c r="AV49" s="678">
        <f>1083842.7-25.82</f>
        <v>1083816.8799999999</v>
      </c>
      <c r="AW49" s="678">
        <v>7430.9</v>
      </c>
      <c r="AX49" s="678">
        <f t="shared" si="67"/>
        <v>1091247.7799999998</v>
      </c>
      <c r="AY49" s="678">
        <f t="shared" si="69"/>
        <v>59157.730499999991</v>
      </c>
      <c r="AZ49" s="678">
        <f t="shared" ref="AZ49" si="71">BA49-AY49</f>
        <v>10775.519500000009</v>
      </c>
      <c r="BA49" s="678">
        <f>69935.2-1.95</f>
        <v>69933.25</v>
      </c>
      <c r="BB49" s="678">
        <v>2774288.5</v>
      </c>
      <c r="BC49" s="678">
        <f t="shared" si="27"/>
        <v>227289.05</v>
      </c>
      <c r="BD49" s="678">
        <v>0</v>
      </c>
      <c r="BE49" s="678">
        <v>20552.8</v>
      </c>
      <c r="BF49" s="678">
        <v>5463</v>
      </c>
      <c r="BG49" s="678">
        <v>157059.9</v>
      </c>
      <c r="BH49" s="678">
        <f t="shared" si="28"/>
        <v>183075.69999999998</v>
      </c>
      <c r="BI49" s="251" t="s">
        <v>822</v>
      </c>
      <c r="BJ49" s="389">
        <v>4.24</v>
      </c>
      <c r="BK49" s="389">
        <v>25.58</v>
      </c>
      <c r="BL49" s="389">
        <v>6.2</v>
      </c>
      <c r="BM49" s="389">
        <v>6.38</v>
      </c>
      <c r="BN49" s="389">
        <v>4.0199999999999996</v>
      </c>
      <c r="BO49" s="389" t="s">
        <v>481</v>
      </c>
      <c r="BP49" s="389" t="s">
        <v>481</v>
      </c>
      <c r="BQ49" s="577" t="s">
        <v>481</v>
      </c>
      <c r="BR49" s="577">
        <v>10373</v>
      </c>
      <c r="BS49" s="577">
        <v>3752</v>
      </c>
      <c r="BT49" s="389">
        <f t="shared" si="68"/>
        <v>105.47752310334934</v>
      </c>
      <c r="BU49" s="389">
        <f t="shared" si="70"/>
        <v>104.48441916514025</v>
      </c>
      <c r="BV49" s="389">
        <f t="shared" si="54"/>
        <v>110.20757736431119</v>
      </c>
      <c r="BW49" s="389">
        <f t="shared" si="55"/>
        <v>7.6218918088819585</v>
      </c>
      <c r="BX49" s="389">
        <v>5</v>
      </c>
      <c r="BY49" s="389">
        <v>5.34</v>
      </c>
      <c r="BZ49" s="389">
        <v>9.49</v>
      </c>
      <c r="CA49" s="389">
        <f t="shared" si="33"/>
        <v>4.1500000000000004</v>
      </c>
      <c r="CB49" s="389">
        <v>10.06</v>
      </c>
      <c r="CC49" s="389">
        <v>12.56</v>
      </c>
      <c r="CD49" s="389">
        <f t="shared" si="34"/>
        <v>2.5</v>
      </c>
    </row>
    <row r="50" spans="6:82" s="253" customFormat="1" ht="10.7" customHeight="1">
      <c r="F50" s="251"/>
      <c r="I50" s="446" t="s">
        <v>823</v>
      </c>
      <c r="J50" s="672">
        <v>157407.29999999999</v>
      </c>
      <c r="K50" s="672">
        <v>1528.3</v>
      </c>
      <c r="L50" s="672">
        <f t="shared" si="14"/>
        <v>158935.59999999998</v>
      </c>
      <c r="M50" s="672">
        <v>12972.6</v>
      </c>
      <c r="N50" s="672">
        <f t="shared" si="15"/>
        <v>145962.99999999997</v>
      </c>
      <c r="O50" s="672">
        <v>35913.699999999997</v>
      </c>
      <c r="P50" s="672">
        <v>75656.100000000006</v>
      </c>
      <c r="Q50" s="672">
        <v>105737.9</v>
      </c>
      <c r="R50" s="672">
        <v>908198.9</v>
      </c>
      <c r="S50" s="672">
        <f t="shared" si="65"/>
        <v>1013936.8</v>
      </c>
      <c r="T50" s="672">
        <f t="shared" si="66"/>
        <v>1089592.9000000001</v>
      </c>
      <c r="U50" s="672">
        <v>673</v>
      </c>
      <c r="V50" s="672">
        <f t="shared" si="44"/>
        <v>252373.89999999997</v>
      </c>
      <c r="W50" s="672">
        <f t="shared" si="45"/>
        <v>1160572.8</v>
      </c>
      <c r="X50" s="672" t="s">
        <v>481</v>
      </c>
      <c r="Y50" s="672" t="s">
        <v>481</v>
      </c>
      <c r="Z50" s="446" t="s">
        <v>823</v>
      </c>
      <c r="AA50" s="427">
        <v>0</v>
      </c>
      <c r="AB50" s="672">
        <v>22023.5</v>
      </c>
      <c r="AC50" s="672">
        <v>922299.1</v>
      </c>
      <c r="AD50" s="672">
        <f t="shared" si="20"/>
        <v>944322.6</v>
      </c>
      <c r="AE50" s="427">
        <v>0</v>
      </c>
      <c r="AF50" s="672">
        <v>1767.6</v>
      </c>
      <c r="AG50" s="672">
        <v>26253.1</v>
      </c>
      <c r="AH50" s="672">
        <f t="shared" si="21"/>
        <v>28020.699999999997</v>
      </c>
      <c r="AI50" s="676">
        <v>26437.3</v>
      </c>
      <c r="AJ50" s="676">
        <v>159727.20000000001</v>
      </c>
      <c r="AK50" s="676">
        <v>17013.099999999999</v>
      </c>
      <c r="AL50" s="676">
        <f t="shared" si="22"/>
        <v>176740.30000000002</v>
      </c>
      <c r="AM50" s="676">
        <f t="shared" si="46"/>
        <v>26437.3</v>
      </c>
      <c r="AN50" s="676">
        <f t="shared" si="47"/>
        <v>183518.30000000002</v>
      </c>
      <c r="AO50" s="676">
        <f t="shared" si="48"/>
        <v>965565.29999999993</v>
      </c>
      <c r="AP50" s="676">
        <f t="shared" si="49"/>
        <v>1149083.5999999999</v>
      </c>
      <c r="AQ50" s="446" t="s">
        <v>823</v>
      </c>
      <c r="AR50" s="672">
        <v>8727.9</v>
      </c>
      <c r="AS50" s="672">
        <v>33571.800000000003</v>
      </c>
      <c r="AT50" s="672">
        <v>30644.799999999999</v>
      </c>
      <c r="AU50" s="672">
        <v>43.8</v>
      </c>
      <c r="AV50" s="672">
        <f>1089641.4-25.4</f>
        <v>1089616</v>
      </c>
      <c r="AW50" s="672">
        <v>7472.2</v>
      </c>
      <c r="AX50" s="672">
        <f t="shared" si="67"/>
        <v>1097088.2</v>
      </c>
      <c r="AY50" s="672">
        <f t="shared" si="69"/>
        <v>60202.207449999994</v>
      </c>
      <c r="AZ50" s="672">
        <f t="shared" ref="AZ50:AZ51" si="72">BA50-AY50</f>
        <v>6929.9925500000027</v>
      </c>
      <c r="BA50" s="672">
        <f>67134-1.8</f>
        <v>67132.2</v>
      </c>
      <c r="BB50" s="672">
        <v>2804623.6</v>
      </c>
      <c r="BC50" s="672">
        <f t="shared" si="27"/>
        <v>226067.8</v>
      </c>
      <c r="BD50" s="672">
        <v>0</v>
      </c>
      <c r="BE50" s="672">
        <v>20414.8</v>
      </c>
      <c r="BF50" s="672">
        <v>5083.8</v>
      </c>
      <c r="BG50" s="672">
        <v>156918.6</v>
      </c>
      <c r="BH50" s="672">
        <f t="shared" si="28"/>
        <v>182417.19999999998</v>
      </c>
      <c r="BI50" s="446" t="s">
        <v>823</v>
      </c>
      <c r="BJ50" s="434">
        <v>-2.0499999999999998</v>
      </c>
      <c r="BK50" s="434">
        <v>24.31</v>
      </c>
      <c r="BL50" s="434">
        <v>6.92</v>
      </c>
      <c r="BM50" s="434">
        <v>6.41</v>
      </c>
      <c r="BN50" s="434">
        <v>4.5599999999999996</v>
      </c>
      <c r="BO50" s="434" t="s">
        <v>481</v>
      </c>
      <c r="BP50" s="434" t="s">
        <v>481</v>
      </c>
      <c r="BQ50" s="435" t="s">
        <v>481</v>
      </c>
      <c r="BR50" s="435">
        <v>10382</v>
      </c>
      <c r="BS50" s="435">
        <v>3752</v>
      </c>
      <c r="BT50" s="434">
        <f t="shared" si="68"/>
        <v>105.45766581988516</v>
      </c>
      <c r="BU50" s="434">
        <f t="shared" si="70"/>
        <v>104.95241764592564</v>
      </c>
      <c r="BV50" s="434">
        <f t="shared" si="54"/>
        <v>110.68036987093045</v>
      </c>
      <c r="BW50" s="434">
        <f t="shared" si="55"/>
        <v>7.3516541607318544</v>
      </c>
      <c r="BX50" s="434">
        <v>5</v>
      </c>
      <c r="BY50" s="434">
        <v>5.34</v>
      </c>
      <c r="BZ50" s="434">
        <v>9.49</v>
      </c>
      <c r="CA50" s="434">
        <f t="shared" si="33"/>
        <v>4.1500000000000004</v>
      </c>
      <c r="CB50" s="434">
        <v>10.14</v>
      </c>
      <c r="CC50" s="434">
        <v>12.55</v>
      </c>
      <c r="CD50" s="434">
        <f t="shared" si="34"/>
        <v>2.41</v>
      </c>
    </row>
    <row r="51" spans="6:82" s="253" customFormat="1" ht="10.7" customHeight="1">
      <c r="F51" s="251"/>
      <c r="I51" s="251" t="s">
        <v>815</v>
      </c>
      <c r="J51" s="678">
        <v>157971.79999999999</v>
      </c>
      <c r="K51" s="678">
        <v>1528.5</v>
      </c>
      <c r="L51" s="678">
        <f t="shared" si="14"/>
        <v>159500.29999999999</v>
      </c>
      <c r="M51" s="678">
        <v>14853.8</v>
      </c>
      <c r="N51" s="678">
        <f t="shared" si="15"/>
        <v>144646.5</v>
      </c>
      <c r="O51" s="678">
        <v>35653.599999999999</v>
      </c>
      <c r="P51" s="678">
        <v>73964.5</v>
      </c>
      <c r="Q51" s="678">
        <v>106339.7</v>
      </c>
      <c r="R51" s="678">
        <v>916866.5</v>
      </c>
      <c r="S51" s="678">
        <f t="shared" si="65"/>
        <v>1023206.2</v>
      </c>
      <c r="T51" s="678">
        <f t="shared" si="66"/>
        <v>1097170.7</v>
      </c>
      <c r="U51" s="678">
        <v>726.7</v>
      </c>
      <c r="V51" s="678">
        <f t="shared" si="44"/>
        <v>251712.90000000002</v>
      </c>
      <c r="W51" s="678">
        <f t="shared" si="45"/>
        <v>1168579.3999999999</v>
      </c>
      <c r="X51" s="678" t="s">
        <v>481</v>
      </c>
      <c r="Y51" s="678" t="s">
        <v>481</v>
      </c>
      <c r="Z51" s="251" t="s">
        <v>815</v>
      </c>
      <c r="AA51" s="343">
        <v>0</v>
      </c>
      <c r="AB51" s="678">
        <v>22460.3</v>
      </c>
      <c r="AC51" s="678">
        <v>929835.4</v>
      </c>
      <c r="AD51" s="678">
        <f t="shared" si="20"/>
        <v>952295.70000000007</v>
      </c>
      <c r="AE51" s="343">
        <v>0</v>
      </c>
      <c r="AF51" s="678">
        <v>1787.7</v>
      </c>
      <c r="AG51" s="678">
        <v>27896.799999999999</v>
      </c>
      <c r="AH51" s="678">
        <f t="shared" si="21"/>
        <v>29684.5</v>
      </c>
      <c r="AI51" s="703">
        <v>27610.799999999999</v>
      </c>
      <c r="AJ51" s="703">
        <v>159846.39999999999</v>
      </c>
      <c r="AK51" s="703">
        <v>17138.900000000001</v>
      </c>
      <c r="AL51" s="703">
        <f t="shared" si="22"/>
        <v>176985.3</v>
      </c>
      <c r="AM51" s="703">
        <f t="shared" si="46"/>
        <v>27610.799999999999</v>
      </c>
      <c r="AN51" s="703">
        <f t="shared" si="47"/>
        <v>184094.4</v>
      </c>
      <c r="AO51" s="703">
        <f t="shared" si="48"/>
        <v>974871.10000000009</v>
      </c>
      <c r="AP51" s="703">
        <f t="shared" si="49"/>
        <v>1158965.5</v>
      </c>
      <c r="AQ51" s="251" t="s">
        <v>815</v>
      </c>
      <c r="AR51" s="678">
        <v>9605.1</v>
      </c>
      <c r="AS51" s="678">
        <v>36136.1</v>
      </c>
      <c r="AT51" s="678">
        <v>32415.4</v>
      </c>
      <c r="AU51" s="678">
        <v>50.1</v>
      </c>
      <c r="AV51" s="678">
        <f>1097219.2-25</f>
        <v>1097194.2</v>
      </c>
      <c r="AW51" s="678">
        <v>7032.7</v>
      </c>
      <c r="AX51" s="678">
        <f t="shared" si="67"/>
        <v>1104226.8999999999</v>
      </c>
      <c r="AY51" s="678">
        <f t="shared" si="69"/>
        <v>60018.627899999992</v>
      </c>
      <c r="AZ51" s="678">
        <f t="shared" si="72"/>
        <v>4768.9246000000057</v>
      </c>
      <c r="BA51" s="678">
        <f>64863.3-1.8775-73.87</f>
        <v>64787.552499999998</v>
      </c>
      <c r="BB51" s="678">
        <v>2872599.7</v>
      </c>
      <c r="BC51" s="678">
        <f t="shared" si="27"/>
        <v>224287.85249999998</v>
      </c>
      <c r="BD51" s="678">
        <v>0</v>
      </c>
      <c r="BE51" s="678">
        <v>18625</v>
      </c>
      <c r="BF51" s="678">
        <v>5387.4</v>
      </c>
      <c r="BG51" s="678">
        <v>156999.4</v>
      </c>
      <c r="BH51" s="678">
        <f t="shared" si="28"/>
        <v>181011.8</v>
      </c>
      <c r="BI51" s="251" t="s">
        <v>815</v>
      </c>
      <c r="BJ51" s="389">
        <v>-2.5099999999999998</v>
      </c>
      <c r="BK51" s="389">
        <v>25.32</v>
      </c>
      <c r="BL51" s="389">
        <v>7.95</v>
      </c>
      <c r="BM51" s="389">
        <v>7.31</v>
      </c>
      <c r="BN51" s="389">
        <v>5.28</v>
      </c>
      <c r="BO51" s="389" t="s">
        <v>481</v>
      </c>
      <c r="BP51" s="389" t="s">
        <v>481</v>
      </c>
      <c r="BQ51" s="577" t="s">
        <v>481</v>
      </c>
      <c r="BR51" s="577">
        <v>10387</v>
      </c>
      <c r="BS51" s="577">
        <v>3753</v>
      </c>
      <c r="BT51" s="389">
        <f t="shared" si="68"/>
        <v>105.62993315130539</v>
      </c>
      <c r="BU51" s="389">
        <f t="shared" si="70"/>
        <v>105.63148165976702</v>
      </c>
      <c r="BV51" s="389">
        <f t="shared" si="54"/>
        <v>111.57846346394531</v>
      </c>
      <c r="BW51" s="389">
        <f t="shared" si="55"/>
        <v>7.2586377598423315</v>
      </c>
      <c r="BX51" s="389">
        <v>5</v>
      </c>
      <c r="BY51" s="389">
        <v>5.35</v>
      </c>
      <c r="BZ51" s="389">
        <v>9.5</v>
      </c>
      <c r="CA51" s="389">
        <f t="shared" si="33"/>
        <v>4.1500000000000004</v>
      </c>
      <c r="CB51" s="389">
        <v>10.24</v>
      </c>
      <c r="CC51" s="389">
        <v>12.56</v>
      </c>
      <c r="CD51" s="389">
        <f t="shared" si="34"/>
        <v>2.3200000000000003</v>
      </c>
    </row>
    <row r="52" spans="6:82" s="253" customFormat="1" ht="10.7" customHeight="1" thickBot="1">
      <c r="F52" s="251"/>
      <c r="I52" s="512" t="s">
        <v>824</v>
      </c>
      <c r="J52" s="1686">
        <v>157263.9</v>
      </c>
      <c r="K52" s="1686">
        <v>1527.1</v>
      </c>
      <c r="L52" s="1686">
        <f t="shared" si="14"/>
        <v>158791</v>
      </c>
      <c r="M52" s="1686">
        <v>14032</v>
      </c>
      <c r="N52" s="1686">
        <f t="shared" si="15"/>
        <v>144759</v>
      </c>
      <c r="O52" s="1686">
        <v>35335</v>
      </c>
      <c r="P52" s="1686">
        <v>75732.100000000006</v>
      </c>
      <c r="Q52" s="1686">
        <v>107867.8</v>
      </c>
      <c r="R52" s="1686">
        <v>917613.1</v>
      </c>
      <c r="S52" s="1686">
        <f t="shared" si="65"/>
        <v>1025480.9</v>
      </c>
      <c r="T52" s="1686">
        <f t="shared" si="66"/>
        <v>1101213</v>
      </c>
      <c r="U52" s="1686">
        <v>703.7</v>
      </c>
      <c r="V52" s="1686">
        <f t="shared" si="44"/>
        <v>253330.5</v>
      </c>
      <c r="W52" s="1686">
        <f t="shared" si="45"/>
        <v>1170943.6000000001</v>
      </c>
      <c r="X52" s="1686" t="s">
        <v>481</v>
      </c>
      <c r="Y52" s="1686" t="s">
        <v>481</v>
      </c>
      <c r="Z52" s="512" t="s">
        <v>824</v>
      </c>
      <c r="AA52" s="1105">
        <v>0</v>
      </c>
      <c r="AB52" s="1686">
        <v>21189.7</v>
      </c>
      <c r="AC52" s="1686">
        <v>937496</v>
      </c>
      <c r="AD52" s="1686">
        <f t="shared" si="20"/>
        <v>958685.7</v>
      </c>
      <c r="AE52" s="1105">
        <v>0</v>
      </c>
      <c r="AF52" s="1686">
        <v>1783</v>
      </c>
      <c r="AG52" s="1686">
        <v>28432.400000000001</v>
      </c>
      <c r="AH52" s="1686">
        <f t="shared" si="21"/>
        <v>30215.4</v>
      </c>
      <c r="AI52" s="1687">
        <v>26476.5</v>
      </c>
      <c r="AJ52" s="1687">
        <v>159175.29999999999</v>
      </c>
      <c r="AK52" s="1687">
        <v>17224.400000000001</v>
      </c>
      <c r="AL52" s="1687">
        <f t="shared" si="22"/>
        <v>176399.69999999998</v>
      </c>
      <c r="AM52" s="1687">
        <f t="shared" si="46"/>
        <v>26476.5</v>
      </c>
      <c r="AN52" s="1687">
        <f t="shared" si="47"/>
        <v>182148</v>
      </c>
      <c r="AO52" s="1687">
        <f t="shared" si="48"/>
        <v>983152.8</v>
      </c>
      <c r="AP52" s="1687">
        <f t="shared" si="49"/>
        <v>1165300.8</v>
      </c>
      <c r="AQ52" s="512" t="s">
        <v>824</v>
      </c>
      <c r="AR52" s="1686">
        <v>10385.9</v>
      </c>
      <c r="AS52" s="1686">
        <v>35732.199999999997</v>
      </c>
      <c r="AT52" s="1686">
        <v>33335.5</v>
      </c>
      <c r="AU52" s="1686">
        <v>42.5</v>
      </c>
      <c r="AV52" s="1686">
        <f>1101261.7-24.71</f>
        <v>1101236.99</v>
      </c>
      <c r="AW52" s="1686">
        <v>7729.6</v>
      </c>
      <c r="AX52" s="1686">
        <f t="shared" si="67"/>
        <v>1108966.5900000001</v>
      </c>
      <c r="AY52" s="1686">
        <f t="shared" ref="AY52" si="73">0.055*AX50</f>
        <v>60339.850999999995</v>
      </c>
      <c r="AZ52" s="1686">
        <f t="shared" ref="AZ52" si="74">BA52-AY52</f>
        <v>7154.3481000000174</v>
      </c>
      <c r="BA52" s="1686">
        <f>67496.6-2.4009</f>
        <v>67494.199100000013</v>
      </c>
      <c r="BB52" s="1686">
        <v>2874417.4</v>
      </c>
      <c r="BC52" s="1686">
        <f t="shared" si="27"/>
        <v>226285.19910000003</v>
      </c>
      <c r="BD52" s="1686">
        <v>0</v>
      </c>
      <c r="BE52" s="1686">
        <v>18857.5</v>
      </c>
      <c r="BF52" s="1686">
        <v>4878.3999999999996</v>
      </c>
      <c r="BG52" s="1686">
        <v>155896.29999999999</v>
      </c>
      <c r="BH52" s="1686">
        <f t="shared" si="28"/>
        <v>179632.19999999998</v>
      </c>
      <c r="BI52" s="512" t="s">
        <v>824</v>
      </c>
      <c r="BJ52" s="707">
        <v>-1.72</v>
      </c>
      <c r="BK52" s="707">
        <v>23.45</v>
      </c>
      <c r="BL52" s="707">
        <v>8.86</v>
      </c>
      <c r="BM52" s="707">
        <v>8.15</v>
      </c>
      <c r="BN52" s="707">
        <v>5.49</v>
      </c>
      <c r="BO52" s="707" t="s">
        <v>481</v>
      </c>
      <c r="BP52" s="707" t="s">
        <v>481</v>
      </c>
      <c r="BQ52" s="1688" t="s">
        <v>481</v>
      </c>
      <c r="BR52" s="1688">
        <v>10391</v>
      </c>
      <c r="BS52" s="1688">
        <v>3756</v>
      </c>
      <c r="BT52" s="707">
        <f t="shared" si="68"/>
        <v>105.81744080354585</v>
      </c>
      <c r="BU52" s="707">
        <f t="shared" si="70"/>
        <v>105.97988547781735</v>
      </c>
      <c r="BV52" s="707">
        <f t="shared" si="54"/>
        <v>112.14520257915504</v>
      </c>
      <c r="BW52" s="707">
        <f t="shared" si="55"/>
        <v>7.4031475368440001</v>
      </c>
      <c r="BX52" s="707">
        <v>5</v>
      </c>
      <c r="BY52" s="707">
        <v>5.42</v>
      </c>
      <c r="BZ52" s="707">
        <v>9.4600000000000009</v>
      </c>
      <c r="CA52" s="707">
        <f t="shared" si="33"/>
        <v>4.0400000000000009</v>
      </c>
      <c r="CB52" s="707">
        <v>10.4</v>
      </c>
      <c r="CC52" s="707">
        <v>12.71</v>
      </c>
      <c r="CD52" s="707">
        <f t="shared" si="34"/>
        <v>2.3100000000000005</v>
      </c>
    </row>
    <row r="53" spans="6:82" s="11" customFormat="1">
      <c r="I53" s="656" t="s">
        <v>2328</v>
      </c>
      <c r="J53" s="1776" t="s">
        <v>2445</v>
      </c>
      <c r="K53" s="1776"/>
      <c r="L53" s="1776"/>
      <c r="M53" s="1776"/>
      <c r="N53" s="1776"/>
      <c r="O53" s="1776"/>
      <c r="P53" s="1776"/>
      <c r="Q53" s="1776"/>
      <c r="R53" s="1252" t="s">
        <v>2332</v>
      </c>
      <c r="S53" s="1774" t="s">
        <v>234</v>
      </c>
      <c r="T53" s="1774"/>
      <c r="U53" s="1774"/>
      <c r="V53" s="1774"/>
      <c r="W53" s="1774"/>
      <c r="X53" s="1774"/>
      <c r="Y53" s="1774"/>
      <c r="Z53" s="659" t="s">
        <v>40</v>
      </c>
      <c r="AA53" s="1774" t="s">
        <v>2214</v>
      </c>
      <c r="AB53" s="1774"/>
      <c r="AC53" s="1774"/>
      <c r="AD53" s="1774"/>
      <c r="AE53" s="1774"/>
      <c r="AF53" s="1774"/>
      <c r="AG53" s="1774"/>
      <c r="AH53" s="1774"/>
      <c r="AI53" s="660" t="s">
        <v>2333</v>
      </c>
      <c r="AJ53" s="1798" t="s">
        <v>2075</v>
      </c>
      <c r="AK53" s="1798"/>
      <c r="AL53" s="1798"/>
      <c r="AM53" s="1798"/>
      <c r="AN53" s="1798"/>
      <c r="AO53" s="1798"/>
      <c r="AP53" s="1798"/>
      <c r="AQ53" s="661"/>
      <c r="AR53" s="662"/>
      <c r="AS53" s="662"/>
      <c r="AT53" s="662"/>
      <c r="AU53" s="662"/>
      <c r="AV53" s="662"/>
      <c r="AW53" s="662"/>
      <c r="AX53" s="343"/>
      <c r="AY53" s="663" t="s">
        <v>233</v>
      </c>
      <c r="AZ53" s="657" t="s">
        <v>2285</v>
      </c>
      <c r="BA53" s="655"/>
      <c r="BB53" s="655"/>
      <c r="BC53" s="655"/>
      <c r="BD53" s="655"/>
      <c r="BE53" s="655"/>
      <c r="BF53" s="655"/>
      <c r="BG53" s="655"/>
      <c r="BH53" s="655"/>
      <c r="BI53" s="664" t="s">
        <v>917</v>
      </c>
      <c r="BJ53" s="1776" t="s">
        <v>2215</v>
      </c>
      <c r="BK53" s="1776"/>
      <c r="BL53" s="1776"/>
      <c r="BM53" s="1776"/>
      <c r="BN53" s="1776"/>
      <c r="BO53" s="1776"/>
      <c r="BP53" s="1776"/>
      <c r="BQ53" s="1776"/>
      <c r="BR53" s="1776"/>
      <c r="BS53" s="655"/>
      <c r="BT53" s="734" t="s">
        <v>1662</v>
      </c>
      <c r="BU53" s="657" t="s">
        <v>1663</v>
      </c>
      <c r="BV53" s="657"/>
      <c r="BW53" s="657"/>
      <c r="BX53" s="657"/>
      <c r="BY53" s="657"/>
      <c r="BZ53" s="657"/>
      <c r="CA53" s="657"/>
      <c r="CB53" s="655"/>
      <c r="CC53" s="655"/>
      <c r="CD53" s="655"/>
    </row>
    <row r="54" spans="6:82" s="11" customFormat="1">
      <c r="I54" s="665"/>
      <c r="J54" s="1777" t="s">
        <v>2612</v>
      </c>
      <c r="K54" s="1777"/>
      <c r="L54" s="1777"/>
      <c r="M54" s="1777"/>
      <c r="N54" s="1777"/>
      <c r="O54" s="1777"/>
      <c r="P54" s="1777"/>
      <c r="Q54" s="1777"/>
      <c r="R54" s="665"/>
      <c r="S54" s="1774" t="s">
        <v>2012</v>
      </c>
      <c r="T54" s="1774"/>
      <c r="U54" s="665"/>
      <c r="V54" s="665"/>
      <c r="W54" s="665"/>
      <c r="X54" s="665"/>
      <c r="Y54" s="666"/>
      <c r="Z54" s="668"/>
      <c r="AA54" s="1141"/>
      <c r="AB54" s="1141"/>
      <c r="AC54" s="1141"/>
      <c r="AD54" s="1141"/>
      <c r="AE54" s="1141"/>
      <c r="AF54" s="1141"/>
      <c r="AG54" s="1141"/>
      <c r="AH54" s="1141"/>
      <c r="AI54" s="657"/>
      <c r="AJ54" s="1803" t="s">
        <v>2118</v>
      </c>
      <c r="AK54" s="1803"/>
      <c r="AL54" s="1803"/>
      <c r="AM54" s="1803"/>
      <c r="AN54" s="1803"/>
      <c r="AO54" s="1803"/>
      <c r="AP54" s="1803"/>
      <c r="AQ54" s="669"/>
      <c r="AR54" s="667"/>
      <c r="AS54" s="662"/>
      <c r="AT54" s="662"/>
      <c r="AU54" s="662"/>
      <c r="AV54" s="662"/>
      <c r="AW54" s="662"/>
      <c r="AX54" s="662"/>
      <c r="AY54" s="665"/>
      <c r="AZ54" s="1774" t="s">
        <v>2283</v>
      </c>
      <c r="BA54" s="1774"/>
      <c r="BB54" s="1774"/>
      <c r="BC54" s="1774"/>
      <c r="BD54" s="1774"/>
      <c r="BE54" s="1774"/>
      <c r="BF54" s="1774"/>
      <c r="BG54" s="1774"/>
      <c r="BH54" s="1774"/>
      <c r="BI54" s="665"/>
      <c r="BJ54" s="1774" t="s">
        <v>2216</v>
      </c>
      <c r="BK54" s="1774"/>
      <c r="BL54" s="1774"/>
      <c r="BM54" s="1774"/>
      <c r="BN54" s="1774"/>
      <c r="BO54" s="1774"/>
      <c r="BP54" s="1774"/>
      <c r="BQ54" s="1774"/>
      <c r="BR54" s="1774"/>
      <c r="BS54" s="665"/>
      <c r="BT54" s="665"/>
      <c r="BU54" s="665" t="s">
        <v>2218</v>
      </c>
      <c r="BV54" s="662"/>
      <c r="BW54" s="662"/>
      <c r="BX54" s="662"/>
      <c r="BY54" s="662"/>
      <c r="BZ54" s="662"/>
      <c r="CA54" s="665"/>
      <c r="CB54" s="665"/>
      <c r="CC54" s="665"/>
      <c r="CD54" s="665"/>
    </row>
    <row r="55" spans="6:82" s="11" customFormat="1" ht="12">
      <c r="I55" s="665"/>
      <c r="J55" s="1777" t="s">
        <v>2212</v>
      </c>
      <c r="K55" s="1777"/>
      <c r="L55" s="1777"/>
      <c r="M55" s="1777"/>
      <c r="N55" s="1777"/>
      <c r="O55" s="1777"/>
      <c r="P55" s="1777"/>
      <c r="Q55" s="1777"/>
      <c r="R55" s="667"/>
      <c r="S55" s="667"/>
      <c r="T55" s="667"/>
      <c r="U55" s="667"/>
      <c r="V55" s="667"/>
      <c r="W55" s="667"/>
      <c r="X55" s="667"/>
      <c r="Y55" s="667"/>
      <c r="Z55" s="658"/>
      <c r="AA55" s="1802"/>
      <c r="AB55" s="1802"/>
      <c r="AC55" s="1802"/>
      <c r="AD55" s="1802"/>
      <c r="AE55" s="1802"/>
      <c r="AF55" s="1802"/>
      <c r="AG55" s="1802"/>
      <c r="AH55" s="1802"/>
      <c r="AI55" s="662"/>
      <c r="AJ55" s="703"/>
      <c r="AK55" s="703"/>
      <c r="AL55" s="662"/>
      <c r="AM55" s="662"/>
      <c r="AN55" s="662"/>
      <c r="AO55" s="662"/>
      <c r="AP55" s="669"/>
      <c r="AQ55" s="669"/>
      <c r="AR55" s="662"/>
      <c r="AS55" s="662"/>
      <c r="AT55" s="662"/>
      <c r="AU55" s="662"/>
      <c r="AV55" s="662"/>
      <c r="AW55" s="662"/>
      <c r="AX55" s="662" t="s">
        <v>37</v>
      </c>
      <c r="AY55" s="670"/>
      <c r="AZ55" s="1774" t="s">
        <v>2284</v>
      </c>
      <c r="BA55" s="1774"/>
      <c r="BB55" s="1774"/>
      <c r="BC55" s="1774"/>
      <c r="BD55" s="1774"/>
      <c r="BE55" s="1774"/>
      <c r="BF55" s="1774"/>
      <c r="BG55" s="1774"/>
      <c r="BH55" s="1774"/>
      <c r="BI55" s="665"/>
      <c r="BJ55" s="665" t="s">
        <v>2217</v>
      </c>
      <c r="BK55" s="665"/>
      <c r="BL55" s="665"/>
      <c r="BM55" s="665"/>
      <c r="BN55" s="665"/>
      <c r="BO55" s="665"/>
      <c r="BP55" s="665"/>
      <c r="BQ55" s="665"/>
      <c r="BR55" s="665"/>
      <c r="BS55" s="662"/>
      <c r="BT55" s="665"/>
      <c r="BU55" s="731" t="s">
        <v>2491</v>
      </c>
      <c r="BV55" s="731"/>
      <c r="BW55" s="662"/>
      <c r="BX55" s="662"/>
      <c r="BY55" s="662"/>
      <c r="BZ55" s="662"/>
      <c r="CA55" s="665"/>
      <c r="CB55" s="665"/>
      <c r="CC55" s="665"/>
      <c r="CD55" s="665"/>
    </row>
    <row r="56" spans="6:82" s="11" customFormat="1" ht="12">
      <c r="I56" s="656" t="s">
        <v>2327</v>
      </c>
      <c r="J56" s="670" t="s">
        <v>2121</v>
      </c>
      <c r="K56" s="670"/>
      <c r="L56" s="670"/>
      <c r="M56" s="665"/>
      <c r="N56" s="665"/>
      <c r="O56" s="665"/>
      <c r="P56" s="665"/>
      <c r="Q56" s="665"/>
      <c r="R56" s="665"/>
      <c r="S56" s="665"/>
      <c r="T56" s="665"/>
      <c r="U56" s="665"/>
      <c r="V56" s="665"/>
      <c r="W56" s="665"/>
      <c r="X56" s="682"/>
      <c r="Y56" s="682"/>
      <c r="Z56" s="665"/>
      <c r="AA56" s="667"/>
      <c r="AB56" s="670"/>
      <c r="AC56" s="665"/>
      <c r="AD56" s="665"/>
      <c r="AE56" s="665"/>
      <c r="AF56" s="665"/>
      <c r="AG56" s="665"/>
      <c r="AH56" s="665"/>
      <c r="AI56" s="665"/>
      <c r="AJ56" s="703"/>
      <c r="AK56" s="703"/>
      <c r="AL56" s="665"/>
      <c r="AM56" s="665"/>
      <c r="AN56" s="665"/>
      <c r="AO56" s="665"/>
      <c r="AP56" s="665"/>
      <c r="AQ56" s="665"/>
      <c r="AR56" s="665"/>
      <c r="AS56" s="665"/>
      <c r="AT56" s="665"/>
      <c r="AU56" s="665"/>
      <c r="AV56" s="665"/>
      <c r="AW56" s="665"/>
      <c r="AX56" s="665"/>
      <c r="AY56" s="665"/>
      <c r="AZ56" s="1774" t="s">
        <v>2490</v>
      </c>
      <c r="BA56" s="1774"/>
      <c r="BB56" s="1774"/>
      <c r="BC56" s="1774"/>
      <c r="BD56" s="1774"/>
      <c r="BE56" s="1774"/>
      <c r="BF56" s="1774"/>
      <c r="BG56" s="1774"/>
      <c r="BH56" s="1774"/>
      <c r="BI56" s="665"/>
      <c r="BJ56" s="1777"/>
      <c r="BK56" s="1777"/>
      <c r="BL56" s="665"/>
      <c r="BM56" s="665"/>
      <c r="BN56" s="665"/>
      <c r="BO56" s="665"/>
      <c r="BP56" s="665"/>
      <c r="BQ56" s="665"/>
      <c r="BR56" s="1563"/>
      <c r="BS56" s="665"/>
      <c r="BT56" s="656" t="s">
        <v>22</v>
      </c>
      <c r="BU56" s="670" t="s">
        <v>2121</v>
      </c>
      <c r="BV56" s="10"/>
      <c r="BW56" s="10"/>
      <c r="BX56" s="665"/>
      <c r="BY56" s="665"/>
      <c r="BZ56" s="665"/>
      <c r="CA56" s="665"/>
      <c r="CB56" s="665"/>
      <c r="CC56" s="665"/>
      <c r="CD56" s="665"/>
    </row>
    <row r="57" spans="6:82">
      <c r="V57" s="142"/>
      <c r="AB57" s="343"/>
      <c r="AY57" s="11"/>
      <c r="AZ57" s="11"/>
      <c r="BA57" s="11"/>
      <c r="BB57" s="11"/>
      <c r="BC57" s="11"/>
      <c r="BD57" s="11"/>
      <c r="BE57" s="11"/>
      <c r="BF57" s="11"/>
      <c r="BG57" s="11"/>
      <c r="BH57" s="11"/>
      <c r="BU57" s="11"/>
      <c r="BV57" s="11"/>
      <c r="BW57" s="11"/>
      <c r="BX57" s="11"/>
    </row>
    <row r="58" spans="6:82">
      <c r="I58" s="251"/>
      <c r="J58" s="678"/>
      <c r="K58" s="678"/>
      <c r="L58" s="678"/>
      <c r="M58" s="678"/>
      <c r="N58" s="678"/>
      <c r="O58" s="678"/>
      <c r="P58" s="678"/>
      <c r="Q58" s="678"/>
      <c r="R58" s="678"/>
      <c r="S58" s="678"/>
      <c r="T58" s="678"/>
      <c r="U58" s="678"/>
      <c r="V58" s="343"/>
      <c r="W58" s="343"/>
      <c r="X58" s="682"/>
      <c r="Y58" s="682"/>
      <c r="Z58" s="251"/>
      <c r="AA58" s="343"/>
      <c r="AB58" s="678"/>
      <c r="AC58" s="828"/>
      <c r="AD58" s="343"/>
      <c r="AE58" s="343"/>
      <c r="AF58" s="678"/>
      <c r="AG58" s="678"/>
      <c r="AH58" s="343"/>
      <c r="AI58" s="703"/>
      <c r="AJ58" s="703"/>
      <c r="AK58" s="703"/>
      <c r="AL58" s="653"/>
      <c r="AM58" s="343"/>
      <c r="AN58" s="343"/>
      <c r="AO58" s="343"/>
      <c r="AP58" s="343"/>
      <c r="AQ58" s="251"/>
      <c r="AR58" s="678"/>
      <c r="AS58" s="678"/>
      <c r="AT58" s="678"/>
      <c r="AU58" s="678"/>
      <c r="AV58" s="678"/>
      <c r="AW58" s="678"/>
      <c r="AX58" s="343"/>
      <c r="AY58" s="343"/>
      <c r="AZ58" s="343"/>
      <c r="BA58" s="678"/>
      <c r="BB58" s="678"/>
      <c r="BC58" s="342"/>
      <c r="BD58" s="678"/>
      <c r="BE58" s="678"/>
      <c r="BF58" s="678"/>
      <c r="BG58" s="678"/>
      <c r="BH58" s="343"/>
      <c r="BI58" s="251"/>
      <c r="BJ58" s="389"/>
      <c r="BK58" s="389"/>
      <c r="BL58" s="389"/>
      <c r="BM58" s="389"/>
      <c r="BN58" s="389"/>
      <c r="BO58" s="389"/>
      <c r="BP58" s="389"/>
      <c r="BQ58" s="577"/>
      <c r="BR58" s="577"/>
      <c r="BS58" s="577"/>
      <c r="BT58" s="389"/>
      <c r="BU58" s="389"/>
      <c r="BV58" s="389"/>
      <c r="BW58" s="389"/>
      <c r="BX58" s="389"/>
      <c r="BY58" s="389"/>
      <c r="BZ58" s="389"/>
      <c r="CA58" s="389"/>
      <c r="CB58" s="389"/>
      <c r="CC58" s="389"/>
      <c r="CD58" s="389"/>
    </row>
    <row r="59" spans="6:82">
      <c r="I59" s="11"/>
      <c r="J59" s="11"/>
      <c r="K59" s="11"/>
      <c r="L59" s="214"/>
      <c r="M59" s="11"/>
      <c r="N59" s="11"/>
      <c r="O59" s="11"/>
      <c r="P59" s="11"/>
      <c r="Q59" s="11"/>
      <c r="R59" s="11"/>
      <c r="S59" s="678"/>
      <c r="T59" s="11"/>
      <c r="U59" s="11"/>
      <c r="V59" s="214"/>
      <c r="W59" s="11"/>
      <c r="X59" s="11"/>
      <c r="Y59" s="11"/>
      <c r="Z59" s="11"/>
      <c r="AA59" s="11"/>
      <c r="AB59" s="11"/>
      <c r="AC59" s="11"/>
      <c r="AD59" s="245"/>
      <c r="AE59" s="11"/>
      <c r="AF59" s="11"/>
      <c r="AG59" s="11"/>
      <c r="AH59" s="11"/>
      <c r="AI59" s="11"/>
      <c r="AJ59" s="11"/>
      <c r="AK59" s="11"/>
      <c r="AL59" s="11"/>
      <c r="AM59" s="11"/>
      <c r="AN59" s="214"/>
      <c r="AO59" s="214"/>
      <c r="AP59" s="214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214"/>
      <c r="BD59" s="11"/>
      <c r="BE59" s="11"/>
      <c r="BF59" s="11"/>
      <c r="BG59" s="11"/>
      <c r="BH59" s="11"/>
      <c r="BI59" s="11"/>
      <c r="BJ59" s="11"/>
      <c r="BK59" s="11"/>
      <c r="BL59" s="11"/>
      <c r="BM59" s="11"/>
      <c r="BN59" s="11"/>
      <c r="BO59" s="11"/>
      <c r="BP59" s="11"/>
      <c r="BQ59" s="11"/>
      <c r="BR59" s="11"/>
      <c r="BS59" s="11"/>
      <c r="BT59" s="11"/>
      <c r="BU59" s="11"/>
      <c r="BV59" s="11"/>
      <c r="BW59" s="11"/>
      <c r="BX59" s="11"/>
      <c r="BY59" s="11"/>
      <c r="BZ59" s="11"/>
      <c r="CA59" s="245"/>
      <c r="CB59" s="11"/>
      <c r="CC59" s="11"/>
      <c r="CD59" s="11"/>
    </row>
    <row r="60" spans="6:82">
      <c r="I60" s="11"/>
      <c r="J60" s="214"/>
      <c r="K60" s="214"/>
      <c r="L60" s="214"/>
      <c r="M60" s="214"/>
      <c r="N60" s="214"/>
      <c r="O60" s="214"/>
      <c r="P60" s="214"/>
      <c r="Q60" s="214"/>
      <c r="R60" s="214"/>
      <c r="S60" s="214"/>
      <c r="T60" s="214"/>
      <c r="U60" s="214"/>
      <c r="V60" s="214"/>
      <c r="W60" s="214"/>
      <c r="X60" s="214"/>
      <c r="Y60" s="214"/>
      <c r="Z60" s="214"/>
      <c r="AA60" s="214"/>
      <c r="AB60" s="214"/>
      <c r="AC60" s="214"/>
      <c r="AD60" s="214"/>
      <c r="AE60" s="214"/>
      <c r="AF60" s="214"/>
      <c r="AG60" s="214"/>
      <c r="AH60" s="214"/>
      <c r="AI60" s="214"/>
      <c r="AJ60" s="214"/>
      <c r="AK60" s="214"/>
      <c r="AL60" s="214"/>
      <c r="AM60" s="214"/>
      <c r="AN60" s="214"/>
      <c r="AO60" s="214"/>
      <c r="AP60" s="214"/>
      <c r="AQ60" s="214"/>
      <c r="AR60" s="214"/>
      <c r="AS60" s="214"/>
      <c r="AT60" s="214"/>
      <c r="AU60" s="214"/>
      <c r="AV60" s="214"/>
      <c r="AW60" s="214"/>
      <c r="AX60" s="214"/>
      <c r="AY60" s="214"/>
      <c r="AZ60" s="214"/>
      <c r="BA60" s="214"/>
      <c r="BB60" s="1674"/>
      <c r="BC60" s="214"/>
      <c r="BD60" s="214"/>
      <c r="BE60" s="214"/>
      <c r="BF60" s="214"/>
      <c r="BG60" s="214"/>
      <c r="BH60" s="214"/>
      <c r="BI60" s="214"/>
      <c r="BJ60" s="214"/>
      <c r="BK60" s="214"/>
      <c r="BL60" s="214"/>
      <c r="BM60" s="214"/>
      <c r="BN60" s="214"/>
      <c r="BO60" s="214"/>
      <c r="BP60" s="214"/>
      <c r="BQ60" s="214"/>
      <c r="BR60" s="214"/>
      <c r="BS60" s="214"/>
      <c r="BT60" s="214"/>
      <c r="BU60" s="214"/>
      <c r="BV60" s="214"/>
      <c r="BW60" s="214"/>
      <c r="BX60" s="214"/>
      <c r="BY60" s="214"/>
      <c r="BZ60" s="214"/>
      <c r="CA60" s="214"/>
      <c r="CB60" s="214"/>
      <c r="CC60" s="214"/>
      <c r="CD60" s="214"/>
    </row>
    <row r="61" spans="6:82"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343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675"/>
      <c r="BC61" s="11"/>
      <c r="BD61" s="11"/>
      <c r="BE61" s="11"/>
      <c r="BF61" s="11"/>
      <c r="BG61" s="11"/>
      <c r="BH61" s="11"/>
      <c r="BI61" s="11"/>
      <c r="BJ61" s="11"/>
      <c r="BK61" s="11"/>
      <c r="BL61" s="11"/>
      <c r="BM61" s="11"/>
      <c r="BN61" s="11"/>
      <c r="BO61" s="11"/>
      <c r="BP61" s="11"/>
      <c r="BQ61" s="11"/>
      <c r="BR61" s="1704"/>
      <c r="BS61" s="11"/>
      <c r="BT61" s="11"/>
      <c r="BU61" s="11"/>
      <c r="BV61" s="11"/>
      <c r="BW61" s="11"/>
      <c r="BX61" s="11"/>
      <c r="BY61" s="11"/>
      <c r="BZ61" s="11"/>
      <c r="CA61" s="245"/>
      <c r="CB61" s="11"/>
      <c r="CC61" s="11"/>
      <c r="CD61" s="11"/>
    </row>
    <row r="62" spans="6:82"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  <c r="AA62" s="53"/>
      <c r="AB62" s="53"/>
      <c r="AC62" s="53"/>
      <c r="AD62" s="53"/>
      <c r="AE62" s="53"/>
      <c r="AF62" s="53"/>
      <c r="AG62" s="53"/>
      <c r="AH62" s="53"/>
      <c r="AI62" s="53"/>
      <c r="AJ62" s="53"/>
      <c r="AK62" s="53"/>
      <c r="AL62" s="53"/>
      <c r="AM62" s="53"/>
      <c r="AN62" s="53"/>
      <c r="AO62" s="53"/>
      <c r="AP62" s="53"/>
      <c r="AQ62" s="53"/>
      <c r="AR62" s="53"/>
      <c r="AS62" s="53"/>
      <c r="AT62" s="53"/>
      <c r="AU62" s="53"/>
      <c r="AV62" s="53"/>
      <c r="AW62" s="53"/>
      <c r="AX62" s="53"/>
      <c r="AY62" s="53"/>
      <c r="AZ62" s="53"/>
      <c r="BA62" s="53"/>
      <c r="BB62" s="269"/>
      <c r="BC62" s="53"/>
      <c r="BD62" s="53"/>
      <c r="BE62" s="53"/>
      <c r="BF62" s="53"/>
      <c r="BG62" s="53"/>
      <c r="BH62" s="53"/>
      <c r="BI62" s="53"/>
      <c r="BJ62" s="53"/>
      <c r="BK62" s="53"/>
      <c r="BL62" s="53"/>
      <c r="BM62" s="53"/>
      <c r="BN62" s="53"/>
      <c r="BO62" s="53"/>
      <c r="BP62" s="53"/>
      <c r="BQ62" s="53"/>
      <c r="BR62" s="1704"/>
      <c r="BS62" s="53"/>
      <c r="BT62" s="53"/>
      <c r="BU62" s="53"/>
      <c r="BV62" s="53"/>
      <c r="BW62" s="53"/>
      <c r="BX62" s="53"/>
      <c r="BY62" s="53"/>
      <c r="BZ62" s="53"/>
      <c r="CA62" s="53"/>
      <c r="CB62" s="53"/>
      <c r="CC62" s="53"/>
      <c r="CD62" s="53"/>
    </row>
    <row r="63" spans="6:82">
      <c r="AE63" s="11"/>
      <c r="AY63" s="11"/>
      <c r="AZ63" s="11"/>
      <c r="BA63" s="11"/>
      <c r="BB63" s="11"/>
      <c r="BC63" s="11"/>
      <c r="BD63" s="11"/>
      <c r="BE63" s="11"/>
      <c r="BF63" s="11"/>
      <c r="BG63" s="11"/>
      <c r="BH63" s="11"/>
      <c r="BT63" s="119"/>
      <c r="BU63" s="119"/>
      <c r="BV63" s="119"/>
      <c r="BW63" s="119"/>
    </row>
    <row r="64" spans="6:82">
      <c r="AM64" s="53"/>
      <c r="AY64" s="11"/>
      <c r="AZ64" s="11"/>
      <c r="BA64" s="11"/>
      <c r="BB64" s="11"/>
      <c r="BC64" s="11"/>
      <c r="BD64" s="11"/>
      <c r="BE64" s="11"/>
      <c r="BF64" s="11"/>
      <c r="BG64" s="11"/>
      <c r="BH64" s="11"/>
    </row>
    <row r="65" spans="10:82">
      <c r="AD65" s="53"/>
      <c r="AE65" s="53"/>
      <c r="AY65" s="11"/>
      <c r="AZ65" s="11"/>
      <c r="BA65" s="11"/>
      <c r="BB65" s="11"/>
      <c r="BC65" s="11"/>
      <c r="BD65" s="11"/>
      <c r="BE65" s="11"/>
      <c r="BF65" s="11"/>
      <c r="BG65" s="11"/>
      <c r="BH65" s="11"/>
    </row>
    <row r="66" spans="10:82">
      <c r="AD66" s="53"/>
      <c r="AE66" s="53"/>
      <c r="AY66" s="11"/>
      <c r="AZ66" s="11"/>
      <c r="BA66" s="11"/>
      <c r="BB66" s="11"/>
      <c r="BC66" s="11"/>
      <c r="BD66" s="11"/>
      <c r="BE66" s="11"/>
      <c r="BF66" s="11"/>
      <c r="BG66" s="11"/>
      <c r="BH66" s="11"/>
    </row>
    <row r="67" spans="10:82">
      <c r="AD67" s="53"/>
      <c r="AE67" s="53"/>
      <c r="AY67" s="11"/>
      <c r="AZ67" s="11"/>
      <c r="BA67" s="11"/>
      <c r="BB67" s="11"/>
      <c r="BC67" s="11"/>
      <c r="BD67" s="11"/>
      <c r="BE67" s="11"/>
      <c r="BF67" s="11"/>
      <c r="BG67" s="11"/>
      <c r="BH67" s="11"/>
    </row>
    <row r="68" spans="10:82">
      <c r="AD68" s="53"/>
      <c r="AE68" s="53"/>
      <c r="AY68" s="11"/>
      <c r="AZ68" s="11"/>
      <c r="BA68" s="11"/>
      <c r="BB68" s="11"/>
      <c r="BC68" s="11"/>
      <c r="BD68" s="11"/>
      <c r="BE68" s="11"/>
      <c r="BF68" s="11"/>
      <c r="BG68" s="11"/>
      <c r="BH68" s="11"/>
    </row>
    <row r="69" spans="10:82">
      <c r="AD69" s="53"/>
      <c r="AE69" s="53"/>
      <c r="AY69" s="11"/>
      <c r="AZ69" s="11"/>
      <c r="BA69" s="11"/>
      <c r="BB69" s="11"/>
      <c r="BC69" s="11"/>
      <c r="BD69" s="11"/>
      <c r="BE69" s="11"/>
      <c r="BF69" s="11"/>
      <c r="BG69" s="11"/>
      <c r="BH69" s="11"/>
    </row>
    <row r="70" spans="10:82">
      <c r="AD70" s="53"/>
      <c r="AE70" s="53"/>
      <c r="AY70" s="11"/>
      <c r="AZ70" s="11"/>
      <c r="BA70" s="11"/>
      <c r="BB70" s="11"/>
      <c r="BC70" s="11"/>
      <c r="BD70" s="11"/>
      <c r="BE70" s="11"/>
      <c r="BF70" s="11"/>
      <c r="BG70" s="11"/>
      <c r="BH70" s="11"/>
    </row>
    <row r="71" spans="10:82">
      <c r="AD71" s="53"/>
      <c r="AE71" s="53"/>
      <c r="AY71" s="11"/>
      <c r="AZ71" s="11"/>
      <c r="BA71" s="11"/>
      <c r="BB71" s="11"/>
      <c r="BC71" s="11"/>
      <c r="BD71" s="11"/>
      <c r="BE71" s="11"/>
      <c r="BF71" s="11"/>
      <c r="BG71" s="11"/>
      <c r="BH71" s="11"/>
    </row>
    <row r="72" spans="10:82"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  <c r="AA72" s="53"/>
      <c r="AB72" s="53"/>
      <c r="AC72" s="53"/>
      <c r="AD72" s="53"/>
      <c r="AE72" s="53"/>
      <c r="AF72" s="53"/>
      <c r="AG72" s="53"/>
      <c r="AH72" s="53"/>
      <c r="AI72" s="53"/>
      <c r="AJ72" s="53"/>
      <c r="AK72" s="53"/>
      <c r="AL72" s="53"/>
      <c r="AM72" s="53"/>
      <c r="AN72" s="53"/>
      <c r="AO72" s="53"/>
      <c r="AP72" s="53"/>
      <c r="AQ72" s="53"/>
      <c r="AR72" s="53"/>
      <c r="AS72" s="53"/>
      <c r="AT72" s="53"/>
      <c r="AU72" s="53"/>
      <c r="AV72" s="53"/>
      <c r="AW72" s="53"/>
      <c r="AX72" s="53"/>
      <c r="AY72" s="53"/>
      <c r="AZ72" s="53"/>
      <c r="BA72" s="53"/>
      <c r="BB72" s="53"/>
      <c r="BC72" s="53"/>
      <c r="BD72" s="53"/>
      <c r="BE72" s="53"/>
      <c r="BF72" s="53"/>
      <c r="BG72" s="53"/>
      <c r="BH72" s="53"/>
      <c r="BI72" s="53"/>
      <c r="BJ72" s="53"/>
      <c r="BK72" s="53"/>
      <c r="BL72" s="53"/>
      <c r="BM72" s="53"/>
      <c r="BN72" s="53"/>
      <c r="BO72" s="53"/>
      <c r="BP72" s="53"/>
      <c r="BQ72" s="53"/>
      <c r="BR72" s="53"/>
      <c r="BS72" s="53"/>
      <c r="BT72" s="53"/>
      <c r="BU72" s="53"/>
      <c r="BV72" s="53"/>
      <c r="BW72" s="53"/>
      <c r="BX72" s="53"/>
      <c r="BY72" s="53"/>
      <c r="BZ72" s="53"/>
      <c r="CA72" s="53"/>
      <c r="CB72" s="53"/>
      <c r="CC72" s="53"/>
      <c r="CD72" s="53"/>
    </row>
    <row r="73" spans="10:82"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  <c r="AA73" s="53"/>
      <c r="AB73" s="53"/>
      <c r="AC73" s="53"/>
      <c r="AD73" s="53"/>
      <c r="AE73" s="53"/>
      <c r="AF73" s="53"/>
      <c r="AG73" s="53"/>
      <c r="AH73" s="53"/>
      <c r="AI73" s="53"/>
      <c r="AJ73" s="53"/>
      <c r="AK73" s="53"/>
      <c r="AL73" s="53"/>
      <c r="AM73" s="53"/>
      <c r="AN73" s="53"/>
      <c r="AO73" s="53"/>
      <c r="AP73" s="53"/>
      <c r="AQ73" s="53"/>
      <c r="AR73" s="53"/>
      <c r="AS73" s="53"/>
      <c r="AT73" s="53"/>
      <c r="AU73" s="53"/>
      <c r="AV73" s="53"/>
      <c r="AW73" s="53"/>
      <c r="AX73" s="53"/>
      <c r="AY73" s="53"/>
      <c r="AZ73" s="53"/>
      <c r="BA73" s="53"/>
      <c r="BB73" s="53"/>
      <c r="BC73" s="53"/>
      <c r="BD73" s="53"/>
      <c r="BE73" s="53"/>
      <c r="BF73" s="53"/>
      <c r="BG73" s="53"/>
      <c r="BH73" s="53"/>
      <c r="BI73" s="53"/>
      <c r="BJ73" s="53"/>
      <c r="BK73" s="53"/>
      <c r="BL73" s="53"/>
      <c r="BM73" s="53"/>
      <c r="BN73" s="53"/>
      <c r="BO73" s="53"/>
      <c r="BP73" s="53"/>
      <c r="BQ73" s="53"/>
      <c r="BR73" s="53"/>
      <c r="BS73" s="53"/>
      <c r="BT73" s="53"/>
      <c r="BU73" s="53"/>
      <c r="BV73" s="53"/>
      <c r="BW73" s="53"/>
      <c r="BX73" s="53"/>
      <c r="BY73" s="53"/>
      <c r="BZ73" s="53"/>
      <c r="CA73" s="53"/>
      <c r="CB73" s="53"/>
      <c r="CC73" s="53"/>
      <c r="CD73" s="53"/>
    </row>
    <row r="74" spans="10:82"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  <c r="AA74" s="53"/>
      <c r="AB74" s="53"/>
      <c r="AC74" s="53"/>
      <c r="AD74" s="53"/>
      <c r="AE74" s="53"/>
      <c r="AF74" s="53"/>
      <c r="AG74" s="53"/>
      <c r="AH74" s="53"/>
      <c r="AI74" s="53"/>
      <c r="AJ74" s="53"/>
      <c r="AK74" s="53"/>
      <c r="AL74" s="53"/>
      <c r="AM74" s="53"/>
      <c r="AN74" s="53"/>
      <c r="AO74" s="53"/>
      <c r="AP74" s="53"/>
      <c r="AQ74" s="53"/>
      <c r="AR74" s="53"/>
      <c r="AS74" s="53"/>
      <c r="AT74" s="53"/>
      <c r="AU74" s="53"/>
      <c r="AV74" s="53"/>
      <c r="AW74" s="53"/>
      <c r="AX74" s="53"/>
      <c r="AY74" s="53"/>
      <c r="AZ74" s="53"/>
      <c r="BA74" s="53"/>
      <c r="BB74" s="53"/>
      <c r="BC74" s="53"/>
      <c r="BD74" s="53"/>
      <c r="BE74" s="53"/>
      <c r="BF74" s="53"/>
      <c r="BG74" s="53"/>
      <c r="BH74" s="53"/>
      <c r="BI74" s="53"/>
      <c r="BJ74" s="53"/>
      <c r="BK74" s="53"/>
      <c r="BL74" s="53"/>
      <c r="BM74" s="53"/>
      <c r="BN74" s="53"/>
      <c r="BO74" s="53"/>
      <c r="BP74" s="53"/>
      <c r="BQ74" s="53"/>
      <c r="BR74" s="53"/>
      <c r="BS74" s="53"/>
      <c r="BT74" s="53"/>
      <c r="BU74" s="53"/>
      <c r="BV74" s="53"/>
      <c r="BW74" s="53"/>
      <c r="BX74" s="53"/>
      <c r="BY74" s="53"/>
      <c r="BZ74" s="53"/>
      <c r="CA74" s="53"/>
      <c r="CB74" s="53"/>
      <c r="CC74" s="53"/>
      <c r="CD74" s="53"/>
    </row>
    <row r="75" spans="10:82"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  <c r="Z75" s="53"/>
      <c r="AA75" s="53"/>
      <c r="AB75" s="53"/>
      <c r="AC75" s="53"/>
      <c r="AD75" s="53"/>
      <c r="AE75" s="53"/>
      <c r="AF75" s="53"/>
      <c r="AG75" s="53"/>
      <c r="AH75" s="53"/>
      <c r="AI75" s="53"/>
      <c r="AJ75" s="53"/>
      <c r="AK75" s="53"/>
      <c r="AL75" s="53"/>
      <c r="AM75" s="53"/>
      <c r="AN75" s="53"/>
      <c r="AO75" s="53"/>
      <c r="AP75" s="53"/>
      <c r="AQ75" s="53"/>
      <c r="AR75" s="53"/>
      <c r="AS75" s="53"/>
      <c r="AT75" s="53"/>
      <c r="AU75" s="53"/>
      <c r="AV75" s="53"/>
      <c r="AW75" s="53"/>
      <c r="AX75" s="53"/>
      <c r="AY75" s="53"/>
      <c r="AZ75" s="53"/>
      <c r="BA75" s="53"/>
      <c r="BB75" s="53"/>
      <c r="BC75" s="53"/>
      <c r="BD75" s="53"/>
      <c r="BE75" s="53"/>
      <c r="BF75" s="53"/>
      <c r="BG75" s="53"/>
      <c r="BH75" s="53"/>
      <c r="BI75" s="53"/>
      <c r="BJ75" s="53"/>
      <c r="BK75" s="53"/>
      <c r="BL75" s="53"/>
      <c r="BM75" s="53"/>
      <c r="BN75" s="53"/>
      <c r="BO75" s="53"/>
      <c r="BP75" s="53"/>
      <c r="BQ75" s="53"/>
      <c r="BR75" s="53"/>
      <c r="BS75" s="53"/>
      <c r="BT75" s="53"/>
      <c r="BU75" s="53"/>
      <c r="BV75" s="53"/>
      <c r="BW75" s="53"/>
      <c r="BX75" s="53"/>
      <c r="BY75" s="53"/>
      <c r="BZ75" s="53"/>
      <c r="CA75" s="53"/>
      <c r="CB75" s="53"/>
      <c r="CC75" s="53"/>
      <c r="CD75" s="53"/>
    </row>
    <row r="76" spans="10:82"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  <c r="AA76" s="53"/>
      <c r="AB76" s="53"/>
      <c r="AC76" s="53"/>
      <c r="AD76" s="53"/>
      <c r="AE76" s="53"/>
      <c r="AF76" s="53"/>
      <c r="AG76" s="53"/>
      <c r="AH76" s="53"/>
      <c r="AI76" s="53"/>
      <c r="AJ76" s="53"/>
      <c r="AK76" s="53"/>
      <c r="AL76" s="53"/>
      <c r="AM76" s="53"/>
      <c r="AN76" s="53"/>
      <c r="AO76" s="53"/>
      <c r="AP76" s="53"/>
      <c r="AQ76" s="53"/>
      <c r="AR76" s="53"/>
      <c r="AS76" s="53"/>
      <c r="AT76" s="53"/>
      <c r="AU76" s="53"/>
      <c r="AV76" s="53"/>
      <c r="AW76" s="53"/>
      <c r="AX76" s="53"/>
      <c r="AY76" s="53"/>
      <c r="AZ76" s="53"/>
      <c r="BA76" s="53"/>
      <c r="BB76" s="53"/>
      <c r="BC76" s="53"/>
      <c r="BD76" s="53"/>
      <c r="BE76" s="53"/>
      <c r="BF76" s="53"/>
      <c r="BG76" s="53"/>
      <c r="BH76" s="53"/>
      <c r="BI76" s="53"/>
      <c r="BJ76" s="53"/>
      <c r="BK76" s="53"/>
      <c r="BL76" s="53"/>
      <c r="BM76" s="53"/>
      <c r="BN76" s="53"/>
      <c r="BO76" s="53"/>
      <c r="BP76" s="53"/>
      <c r="BQ76" s="53"/>
      <c r="BR76" s="53"/>
      <c r="BS76" s="53"/>
      <c r="BT76" s="53"/>
      <c r="BU76" s="53"/>
      <c r="BV76" s="53"/>
      <c r="BW76" s="53"/>
      <c r="BX76" s="53"/>
      <c r="BY76" s="53"/>
      <c r="BZ76" s="53"/>
      <c r="CA76" s="53"/>
      <c r="CB76" s="53"/>
      <c r="CC76" s="53"/>
      <c r="CD76" s="53"/>
    </row>
    <row r="77" spans="10:82"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3"/>
      <c r="AA77" s="53"/>
      <c r="AB77" s="53"/>
      <c r="AC77" s="53"/>
      <c r="AD77" s="53"/>
      <c r="AE77" s="53"/>
      <c r="AF77" s="53"/>
      <c r="AG77" s="53"/>
      <c r="AH77" s="53"/>
      <c r="AI77" s="53"/>
      <c r="AJ77" s="53"/>
      <c r="AK77" s="53"/>
      <c r="AL77" s="53"/>
      <c r="AM77" s="53"/>
      <c r="AN77" s="53"/>
      <c r="AO77" s="53"/>
      <c r="AP77" s="53"/>
      <c r="AQ77" s="53"/>
      <c r="AR77" s="53"/>
      <c r="AS77" s="53"/>
      <c r="AT77" s="53"/>
      <c r="AU77" s="53"/>
      <c r="AV77" s="53"/>
      <c r="AW77" s="53"/>
      <c r="AX77" s="53"/>
      <c r="AY77" s="53"/>
      <c r="AZ77" s="53"/>
      <c r="BA77" s="53"/>
      <c r="BB77" s="53"/>
      <c r="BC77" s="53"/>
      <c r="BD77" s="53"/>
      <c r="BE77" s="53"/>
      <c r="BF77" s="53"/>
      <c r="BG77" s="53"/>
      <c r="BH77" s="53"/>
      <c r="BI77" s="53"/>
      <c r="BJ77" s="53"/>
      <c r="BK77" s="53"/>
      <c r="BL77" s="53"/>
      <c r="BM77" s="53"/>
      <c r="BN77" s="53"/>
      <c r="BO77" s="53"/>
      <c r="BP77" s="53"/>
      <c r="BQ77" s="53"/>
      <c r="BR77" s="53"/>
      <c r="BS77" s="53"/>
      <c r="BT77" s="53"/>
      <c r="BU77" s="53"/>
      <c r="BV77" s="53"/>
      <c r="BW77" s="53"/>
      <c r="BX77" s="53"/>
      <c r="BY77" s="53"/>
      <c r="BZ77" s="53"/>
      <c r="CA77" s="53"/>
      <c r="CB77" s="53"/>
      <c r="CC77" s="53"/>
      <c r="CD77" s="53"/>
    </row>
    <row r="78" spans="10:82"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  <c r="AA78" s="53"/>
      <c r="AB78" s="53"/>
      <c r="AC78" s="53"/>
      <c r="AD78" s="53"/>
      <c r="AE78" s="53"/>
      <c r="AF78" s="53"/>
      <c r="AG78" s="53"/>
      <c r="AH78" s="53"/>
      <c r="AI78" s="53"/>
      <c r="AJ78" s="53"/>
      <c r="AK78" s="53"/>
      <c r="AL78" s="53"/>
      <c r="AM78" s="53"/>
      <c r="AN78" s="53"/>
      <c r="AO78" s="53"/>
      <c r="AP78" s="53"/>
      <c r="AQ78" s="53"/>
      <c r="AR78" s="53"/>
      <c r="AS78" s="53"/>
      <c r="AT78" s="53"/>
      <c r="AU78" s="53"/>
      <c r="AV78" s="53"/>
      <c r="AW78" s="53"/>
      <c r="AX78" s="53"/>
      <c r="AY78" s="53"/>
      <c r="AZ78" s="53"/>
      <c r="BA78" s="53"/>
      <c r="BB78" s="53"/>
      <c r="BC78" s="53"/>
      <c r="BD78" s="53"/>
      <c r="BE78" s="53"/>
      <c r="BF78" s="53"/>
      <c r="BG78" s="53"/>
      <c r="BH78" s="53"/>
      <c r="BI78" s="53"/>
      <c r="BJ78" s="53"/>
      <c r="BK78" s="53"/>
      <c r="BL78" s="53"/>
      <c r="BM78" s="53"/>
      <c r="BN78" s="53"/>
      <c r="BO78" s="53"/>
      <c r="BP78" s="53"/>
      <c r="BQ78" s="53"/>
      <c r="BR78" s="53"/>
      <c r="BS78" s="53"/>
      <c r="BT78" s="53"/>
      <c r="BU78" s="53"/>
      <c r="BV78" s="53"/>
      <c r="BW78" s="53"/>
      <c r="BX78" s="53"/>
      <c r="BY78" s="53"/>
      <c r="BZ78" s="53"/>
      <c r="CA78" s="53"/>
      <c r="CB78" s="53"/>
      <c r="CC78" s="53"/>
      <c r="CD78" s="53"/>
    </row>
    <row r="79" spans="10:82"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  <c r="AA79" s="53"/>
      <c r="AB79" s="53"/>
      <c r="AC79" s="53"/>
      <c r="AD79" s="53"/>
      <c r="AE79" s="53"/>
      <c r="AF79" s="53"/>
      <c r="AG79" s="53"/>
      <c r="AH79" s="53"/>
      <c r="AI79" s="53"/>
      <c r="AJ79" s="53"/>
      <c r="AK79" s="53"/>
      <c r="AL79" s="53"/>
      <c r="AM79" s="53"/>
      <c r="AN79" s="53"/>
      <c r="AO79" s="53"/>
      <c r="AP79" s="53"/>
      <c r="AQ79" s="53"/>
      <c r="AR79" s="53"/>
      <c r="AS79" s="53"/>
      <c r="AT79" s="53"/>
      <c r="AU79" s="53"/>
      <c r="AV79" s="53"/>
      <c r="AW79" s="53"/>
      <c r="AX79" s="53"/>
      <c r="AY79" s="53"/>
      <c r="AZ79" s="53"/>
      <c r="BA79" s="53"/>
      <c r="BB79" s="53"/>
      <c r="BC79" s="53"/>
      <c r="BD79" s="53"/>
      <c r="BE79" s="53"/>
      <c r="BF79" s="53"/>
      <c r="BG79" s="53"/>
      <c r="BH79" s="53"/>
      <c r="BI79" s="53"/>
      <c r="BJ79" s="53"/>
      <c r="BK79" s="53"/>
      <c r="BL79" s="53"/>
      <c r="BM79" s="53"/>
      <c r="BN79" s="53"/>
      <c r="BO79" s="53"/>
      <c r="BP79" s="53"/>
      <c r="BQ79" s="53"/>
      <c r="BR79" s="53"/>
      <c r="BS79" s="53"/>
      <c r="BT79" s="53"/>
      <c r="BU79" s="53"/>
      <c r="BV79" s="53"/>
      <c r="BW79" s="53"/>
      <c r="BX79" s="53"/>
      <c r="BY79" s="53"/>
      <c r="BZ79" s="53"/>
      <c r="CA79" s="53"/>
      <c r="CB79" s="53"/>
      <c r="CC79" s="53"/>
      <c r="CD79" s="53"/>
    </row>
    <row r="80" spans="10:82" ht="12.75" customHeight="1"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  <c r="AA80" s="53"/>
      <c r="AB80" s="53"/>
      <c r="AC80" s="53"/>
      <c r="AD80" s="53"/>
      <c r="AE80" s="53"/>
      <c r="AF80" s="53"/>
      <c r="AG80" s="53"/>
      <c r="AH80" s="53"/>
      <c r="AI80" s="53"/>
      <c r="AJ80" s="53"/>
      <c r="AK80" s="53"/>
      <c r="AL80" s="53"/>
      <c r="AM80" s="53"/>
      <c r="AN80" s="53"/>
      <c r="AO80" s="53"/>
      <c r="AP80" s="53"/>
      <c r="AQ80" s="53"/>
      <c r="AR80" s="53"/>
      <c r="AS80" s="53"/>
      <c r="AT80" s="53"/>
      <c r="AU80" s="53"/>
      <c r="AV80" s="53"/>
      <c r="AW80" s="53"/>
      <c r="AX80" s="53"/>
      <c r="AY80" s="53"/>
      <c r="AZ80" s="53"/>
      <c r="BA80" s="53"/>
      <c r="BB80" s="53"/>
      <c r="BC80" s="53"/>
      <c r="BD80" s="53"/>
      <c r="BE80" s="53"/>
      <c r="BF80" s="53"/>
      <c r="BG80" s="53"/>
      <c r="BH80" s="53"/>
      <c r="BI80" s="53"/>
      <c r="BJ80" s="53"/>
      <c r="BK80" s="53"/>
      <c r="BL80" s="53"/>
      <c r="BM80" s="53"/>
      <c r="BN80" s="53"/>
      <c r="BO80" s="53"/>
      <c r="BP80" s="53"/>
      <c r="BQ80" s="53"/>
      <c r="BR80" s="53"/>
      <c r="BS80" s="53"/>
      <c r="BT80" s="53"/>
      <c r="BU80" s="53"/>
      <c r="BV80" s="53"/>
      <c r="BW80" s="53"/>
      <c r="BX80" s="53"/>
      <c r="BY80" s="53"/>
      <c r="BZ80" s="53"/>
      <c r="CA80" s="53"/>
      <c r="CB80" s="53"/>
      <c r="CC80" s="53"/>
      <c r="CD80" s="53"/>
    </row>
    <row r="81" spans="10:82" ht="12" customHeight="1"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  <c r="AA81" s="53"/>
      <c r="AB81" s="53"/>
      <c r="AC81" s="53"/>
      <c r="AD81" s="53"/>
      <c r="AE81" s="53"/>
      <c r="AF81" s="53"/>
      <c r="AG81" s="53"/>
      <c r="AH81" s="53"/>
      <c r="AI81" s="53"/>
      <c r="AJ81" s="53"/>
      <c r="AK81" s="53"/>
      <c r="AL81" s="53"/>
      <c r="AM81" s="53"/>
      <c r="AN81" s="53"/>
      <c r="AO81" s="53"/>
      <c r="AP81" s="53"/>
      <c r="AQ81" s="53"/>
      <c r="AR81" s="53"/>
      <c r="AS81" s="53"/>
      <c r="AT81" s="53"/>
      <c r="AU81" s="53"/>
      <c r="AV81" s="53"/>
      <c r="AW81" s="53"/>
      <c r="AX81" s="53"/>
      <c r="AY81" s="53"/>
      <c r="AZ81" s="53"/>
      <c r="BA81" s="53"/>
      <c r="BB81" s="53"/>
      <c r="BC81" s="53"/>
      <c r="BD81" s="53"/>
      <c r="BE81" s="53"/>
      <c r="BF81" s="53"/>
      <c r="BG81" s="53"/>
      <c r="BH81" s="53"/>
      <c r="BI81" s="53"/>
      <c r="BJ81" s="53"/>
      <c r="BK81" s="53"/>
      <c r="BL81" s="53"/>
      <c r="BM81" s="53"/>
      <c r="BN81" s="53"/>
      <c r="BO81" s="53"/>
      <c r="BP81" s="53"/>
      <c r="BQ81" s="53"/>
      <c r="BR81" s="53"/>
      <c r="BS81" s="53"/>
      <c r="BT81" s="53"/>
      <c r="BU81" s="53"/>
      <c r="BV81" s="53"/>
      <c r="BW81" s="53"/>
      <c r="BX81" s="53"/>
      <c r="BY81" s="53"/>
      <c r="BZ81" s="53"/>
      <c r="CA81" s="53"/>
      <c r="CB81" s="53"/>
      <c r="CC81" s="53"/>
      <c r="CD81" s="53"/>
    </row>
    <row r="82" spans="10:82" ht="15" customHeight="1"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  <c r="AA82" s="53"/>
      <c r="AB82" s="53"/>
      <c r="AC82" s="53"/>
      <c r="AD82" s="53"/>
      <c r="AE82" s="53"/>
      <c r="AF82" s="53"/>
      <c r="AG82" s="53"/>
      <c r="AH82" s="53"/>
      <c r="AI82" s="53"/>
      <c r="AJ82" s="53"/>
      <c r="AK82" s="53"/>
      <c r="AL82" s="53"/>
      <c r="AM82" s="53"/>
      <c r="AN82" s="53"/>
      <c r="AO82" s="53"/>
      <c r="AP82" s="53"/>
      <c r="AQ82" s="53"/>
      <c r="AR82" s="53"/>
      <c r="AS82" s="53"/>
      <c r="AT82" s="53"/>
      <c r="AU82" s="53"/>
      <c r="AV82" s="53"/>
      <c r="AW82" s="53"/>
      <c r="AX82" s="53"/>
      <c r="AY82" s="53"/>
      <c r="AZ82" s="53"/>
      <c r="BA82" s="53"/>
      <c r="BB82" s="53"/>
      <c r="BC82" s="53"/>
      <c r="BD82" s="53"/>
      <c r="BE82" s="53"/>
      <c r="BF82" s="53"/>
      <c r="BG82" s="53"/>
      <c r="BH82" s="53"/>
      <c r="BI82" s="53"/>
      <c r="BJ82" s="53"/>
      <c r="BK82" s="53"/>
      <c r="BL82" s="53"/>
      <c r="BM82" s="53"/>
      <c r="BN82" s="53"/>
      <c r="BO82" s="53"/>
      <c r="BP82" s="53"/>
      <c r="BQ82" s="53"/>
      <c r="BR82" s="53"/>
      <c r="BS82" s="53"/>
      <c r="BT82" s="53"/>
      <c r="BU82" s="53"/>
      <c r="BV82" s="53"/>
      <c r="BW82" s="53"/>
      <c r="BX82" s="53"/>
      <c r="BY82" s="53"/>
      <c r="BZ82" s="53"/>
      <c r="CA82" s="53"/>
      <c r="CB82" s="53"/>
      <c r="CC82" s="53"/>
      <c r="CD82" s="53"/>
    </row>
    <row r="83" spans="10:82" ht="12" customHeight="1">
      <c r="AD83" s="53"/>
      <c r="AE83" s="53"/>
      <c r="AY83" s="11"/>
      <c r="AZ83" s="11"/>
      <c r="BA83" s="11"/>
      <c r="BB83" s="11"/>
      <c r="BC83" s="11"/>
      <c r="BD83" s="11"/>
      <c r="BE83" s="11"/>
      <c r="BF83" s="11"/>
      <c r="BG83" s="11"/>
      <c r="BH83" s="11"/>
    </row>
    <row r="84" spans="10:82" ht="12" customHeight="1">
      <c r="AD84" s="53"/>
      <c r="AE84" s="53"/>
      <c r="AY84" s="11"/>
      <c r="AZ84" s="11"/>
      <c r="BA84" s="11"/>
      <c r="BB84" s="11"/>
      <c r="BC84" s="11"/>
      <c r="BD84" s="11"/>
      <c r="BE84" s="11"/>
      <c r="BF84" s="11"/>
      <c r="BG84" s="11"/>
      <c r="BH84" s="11"/>
    </row>
    <row r="85" spans="10:82">
      <c r="AD85" s="53"/>
      <c r="AE85" s="53"/>
      <c r="AY85" s="11"/>
      <c r="AZ85" s="11"/>
      <c r="BA85" s="11"/>
      <c r="BB85" s="11"/>
      <c r="BC85" s="11"/>
      <c r="BD85" s="11"/>
      <c r="BE85" s="11"/>
      <c r="BF85" s="11"/>
      <c r="BG85" s="11"/>
      <c r="BH85" s="11"/>
    </row>
    <row r="86" spans="10:82">
      <c r="AD86" s="53"/>
      <c r="AE86" s="53"/>
      <c r="AY86" s="11"/>
      <c r="AZ86" s="11"/>
      <c r="BA86" s="11"/>
      <c r="BB86" s="11"/>
      <c r="BC86" s="11"/>
      <c r="BD86" s="11"/>
      <c r="BE86" s="11"/>
      <c r="BF86" s="11"/>
      <c r="BG86" s="11"/>
      <c r="BH86" s="11"/>
    </row>
    <row r="87" spans="10:82">
      <c r="AD87" s="53"/>
      <c r="AE87" s="53"/>
      <c r="AY87" s="11"/>
      <c r="AZ87" s="11"/>
      <c r="BA87" s="11"/>
      <c r="BB87" s="11"/>
      <c r="BC87" s="11"/>
      <c r="BD87" s="11"/>
      <c r="BE87" s="11"/>
      <c r="BF87" s="11"/>
      <c r="BG87" s="11"/>
      <c r="BH87" s="11"/>
    </row>
    <row r="88" spans="10:82">
      <c r="AD88" s="53"/>
      <c r="AE88" s="53"/>
      <c r="AY88" s="11"/>
      <c r="AZ88" s="11"/>
      <c r="BA88" s="11"/>
      <c r="BB88" s="11"/>
      <c r="BC88" s="11"/>
      <c r="BD88" s="11"/>
      <c r="BE88" s="11"/>
      <c r="BF88" s="11"/>
      <c r="BG88" s="11"/>
      <c r="BH88" s="11"/>
    </row>
    <row r="89" spans="10:82">
      <c r="AD89" s="53"/>
      <c r="AE89" s="53"/>
      <c r="AY89" s="11"/>
      <c r="AZ89" s="11"/>
      <c r="BA89" s="11"/>
      <c r="BB89" s="11"/>
      <c r="BC89" s="11"/>
      <c r="BD89" s="11"/>
      <c r="BE89" s="11"/>
      <c r="BF89" s="11"/>
      <c r="BG89" s="11"/>
      <c r="BH89" s="11"/>
    </row>
    <row r="90" spans="10:82">
      <c r="AD90" s="53"/>
      <c r="AE90" s="53"/>
      <c r="AY90" s="11"/>
      <c r="AZ90" s="11"/>
      <c r="BA90" s="11"/>
      <c r="BB90" s="11"/>
      <c r="BC90" s="11"/>
      <c r="BD90" s="11"/>
      <c r="BE90" s="11"/>
      <c r="BF90" s="11"/>
      <c r="BG90" s="11"/>
      <c r="BH90" s="11"/>
    </row>
    <row r="91" spans="10:82">
      <c r="AD91" s="53"/>
      <c r="AE91" s="53"/>
      <c r="AY91" s="11"/>
      <c r="AZ91" s="11"/>
      <c r="BA91" s="11"/>
      <c r="BB91" s="11"/>
      <c r="BC91" s="11"/>
      <c r="BD91" s="11"/>
      <c r="BE91" s="11"/>
      <c r="BF91" s="11"/>
      <c r="BG91" s="11"/>
      <c r="BH91" s="11"/>
    </row>
    <row r="92" spans="10:82">
      <c r="AD92" s="53"/>
      <c r="AE92" s="53"/>
      <c r="AY92" s="11"/>
      <c r="AZ92" s="11"/>
      <c r="BA92" s="11"/>
      <c r="BB92" s="11"/>
      <c r="BC92" s="11"/>
      <c r="BD92" s="11"/>
      <c r="BE92" s="11"/>
      <c r="BF92" s="11"/>
      <c r="BG92" s="11"/>
      <c r="BH92" s="11"/>
    </row>
    <row r="93" spans="10:82">
      <c r="AD93" s="53"/>
      <c r="AE93" s="53"/>
      <c r="AY93" s="11"/>
      <c r="AZ93" s="11"/>
      <c r="BA93" s="11"/>
      <c r="BB93" s="11"/>
      <c r="BC93" s="11"/>
      <c r="BD93" s="11"/>
      <c r="BE93" s="11"/>
      <c r="BF93" s="11"/>
      <c r="BG93" s="11"/>
      <c r="BH93" s="11"/>
    </row>
    <row r="94" spans="10:82">
      <c r="AD94" s="53"/>
      <c r="AE94" s="53"/>
      <c r="AY94" s="11"/>
      <c r="AZ94" s="11"/>
      <c r="BA94" s="11"/>
      <c r="BB94" s="11"/>
      <c r="BC94" s="11"/>
      <c r="BD94" s="11"/>
      <c r="BE94" s="11"/>
      <c r="BF94" s="11"/>
      <c r="BG94" s="11"/>
      <c r="BH94" s="11"/>
    </row>
    <row r="95" spans="10:82">
      <c r="AD95" s="53"/>
      <c r="AE95" s="53"/>
      <c r="AY95" s="11"/>
      <c r="AZ95" s="11"/>
      <c r="BA95" s="11"/>
      <c r="BB95" s="11"/>
      <c r="BC95" s="11"/>
      <c r="BD95" s="11"/>
      <c r="BE95" s="11"/>
      <c r="BF95" s="11"/>
      <c r="BG95" s="11"/>
      <c r="BH95" s="11"/>
    </row>
    <row r="96" spans="10:82">
      <c r="AD96" s="53"/>
      <c r="AE96" s="53"/>
      <c r="AY96" s="11"/>
      <c r="AZ96" s="11"/>
      <c r="BA96" s="11"/>
      <c r="BB96" s="11"/>
      <c r="BC96" s="11"/>
      <c r="BD96" s="11"/>
      <c r="BE96" s="11"/>
      <c r="BF96" s="11"/>
      <c r="BG96" s="11"/>
      <c r="BH96" s="11"/>
    </row>
    <row r="97" spans="30:60">
      <c r="AD97" s="53"/>
      <c r="AE97" s="53"/>
      <c r="AY97" s="11"/>
      <c r="AZ97" s="11"/>
      <c r="BA97" s="11"/>
      <c r="BB97" s="11"/>
      <c r="BC97" s="11"/>
      <c r="BD97" s="11"/>
      <c r="BE97" s="11"/>
      <c r="BF97" s="11"/>
      <c r="BG97" s="11"/>
      <c r="BH97" s="11"/>
    </row>
    <row r="98" spans="30:60">
      <c r="AD98" s="53"/>
      <c r="AE98" s="53"/>
      <c r="AY98" s="11"/>
      <c r="AZ98" s="11"/>
      <c r="BA98" s="11"/>
      <c r="BB98" s="11"/>
      <c r="BC98" s="11"/>
      <c r="BD98" s="11"/>
      <c r="BE98" s="11"/>
      <c r="BF98" s="11"/>
      <c r="BG98" s="11"/>
      <c r="BH98" s="11"/>
    </row>
    <row r="99" spans="30:60">
      <c r="AD99" s="53"/>
      <c r="AE99" s="53"/>
      <c r="AY99" s="11"/>
      <c r="AZ99" s="11"/>
      <c r="BA99" s="11"/>
      <c r="BB99" s="11"/>
      <c r="BC99" s="11"/>
      <c r="BD99" s="11"/>
      <c r="BE99" s="11"/>
      <c r="BF99" s="11"/>
      <c r="BG99" s="11"/>
      <c r="BH99" s="11"/>
    </row>
    <row r="100" spans="30:60">
      <c r="AD100" s="53"/>
      <c r="AE100" s="53"/>
      <c r="AY100" s="11"/>
      <c r="AZ100" s="11"/>
      <c r="BA100" s="11"/>
      <c r="BB100" s="11"/>
      <c r="BC100" s="11"/>
      <c r="BD100" s="11"/>
      <c r="BE100" s="11"/>
      <c r="BF100" s="11"/>
      <c r="BG100" s="11"/>
      <c r="BH100" s="11"/>
    </row>
    <row r="101" spans="30:60">
      <c r="AD101" s="53"/>
      <c r="AE101" s="53"/>
      <c r="AY101" s="11"/>
      <c r="AZ101" s="11"/>
      <c r="BA101" s="11"/>
      <c r="BB101" s="11"/>
      <c r="BC101" s="11"/>
      <c r="BD101" s="11"/>
      <c r="BE101" s="11"/>
      <c r="BF101" s="11"/>
      <c r="BG101" s="11"/>
      <c r="BH101" s="11"/>
    </row>
    <row r="102" spans="30:60">
      <c r="AD102" s="53"/>
      <c r="AE102" s="53"/>
      <c r="AY102" s="11"/>
      <c r="AZ102" s="11"/>
      <c r="BA102" s="11"/>
      <c r="BB102" s="11"/>
      <c r="BC102" s="11"/>
      <c r="BD102" s="11"/>
      <c r="BE102" s="11"/>
      <c r="BF102" s="11"/>
      <c r="BG102" s="11"/>
      <c r="BH102" s="11"/>
    </row>
    <row r="103" spans="30:60">
      <c r="AD103" s="53"/>
      <c r="AE103" s="53"/>
      <c r="AY103" s="11"/>
      <c r="AZ103" s="11"/>
      <c r="BA103" s="11"/>
      <c r="BB103" s="11"/>
      <c r="BC103" s="11"/>
      <c r="BD103" s="11"/>
      <c r="BE103" s="11"/>
      <c r="BF103" s="11"/>
      <c r="BG103" s="11"/>
      <c r="BH103" s="11"/>
    </row>
    <row r="104" spans="30:60">
      <c r="AD104" s="53"/>
      <c r="AE104" s="53"/>
      <c r="AY104" s="11"/>
      <c r="AZ104" s="11"/>
      <c r="BA104" s="11"/>
      <c r="BB104" s="11"/>
      <c r="BC104" s="11"/>
      <c r="BD104" s="11"/>
      <c r="BE104" s="11"/>
      <c r="BF104" s="11"/>
      <c r="BG104" s="11"/>
      <c r="BH104" s="11"/>
    </row>
    <row r="105" spans="30:60">
      <c r="AD105" s="53"/>
      <c r="AY105" s="11"/>
      <c r="AZ105" s="11"/>
      <c r="BA105" s="11"/>
      <c r="BB105" s="11"/>
      <c r="BC105" s="11"/>
      <c r="BD105" s="11"/>
      <c r="BE105" s="11"/>
      <c r="BF105" s="11"/>
      <c r="BG105" s="11"/>
      <c r="BH105" s="11"/>
    </row>
    <row r="106" spans="30:60">
      <c r="AD106" s="53"/>
      <c r="AY106" s="11"/>
      <c r="AZ106" s="11"/>
      <c r="BA106" s="11"/>
      <c r="BB106" s="11"/>
      <c r="BC106" s="11"/>
      <c r="BD106" s="11"/>
      <c r="BE106" s="11"/>
      <c r="BF106" s="11"/>
      <c r="BG106" s="11"/>
      <c r="BH106" s="11"/>
    </row>
    <row r="107" spans="30:60">
      <c r="AD107" s="53"/>
      <c r="AY107" s="11"/>
      <c r="AZ107" s="11"/>
      <c r="BA107" s="11"/>
      <c r="BB107" s="11"/>
      <c r="BC107" s="11"/>
      <c r="BD107" s="11"/>
      <c r="BE107" s="11"/>
      <c r="BF107" s="11"/>
      <c r="BG107" s="11"/>
      <c r="BH107" s="11"/>
    </row>
    <row r="108" spans="30:60">
      <c r="AY108" s="11"/>
      <c r="AZ108" s="11"/>
      <c r="BA108" s="11"/>
      <c r="BB108" s="11"/>
      <c r="BC108" s="11"/>
      <c r="BD108" s="11"/>
      <c r="BE108" s="11"/>
      <c r="BF108" s="11"/>
      <c r="BG108" s="11"/>
      <c r="BH108" s="11"/>
    </row>
    <row r="109" spans="30:60">
      <c r="AY109" s="11"/>
      <c r="AZ109" s="11"/>
      <c r="BA109" s="11"/>
      <c r="BB109" s="11"/>
      <c r="BC109" s="11"/>
      <c r="BD109" s="11"/>
      <c r="BE109" s="11"/>
      <c r="BF109" s="11"/>
      <c r="BG109" s="11"/>
      <c r="BH109" s="11"/>
    </row>
    <row r="110" spans="30:60">
      <c r="AY110" s="11"/>
      <c r="AZ110" s="11"/>
      <c r="BA110" s="11"/>
      <c r="BB110" s="11"/>
      <c r="BC110" s="11"/>
      <c r="BD110" s="11"/>
      <c r="BE110" s="11"/>
      <c r="BF110" s="11"/>
      <c r="BG110" s="11"/>
      <c r="BH110" s="11"/>
    </row>
  </sheetData>
  <mergeCells count="117">
    <mergeCell ref="BR2:BS2"/>
    <mergeCell ref="CB4:CD4"/>
    <mergeCell ref="BT3:CD3"/>
    <mergeCell ref="BJ4:BJ5"/>
    <mergeCell ref="BL4:BL5"/>
    <mergeCell ref="BM4:BM5"/>
    <mergeCell ref="CB1:CD1"/>
    <mergeCell ref="CC2:CD2"/>
    <mergeCell ref="BT1:BV1"/>
    <mergeCell ref="BP1:BS1"/>
    <mergeCell ref="BT2:BU2"/>
    <mergeCell ref="BU4:BU5"/>
    <mergeCell ref="BV4:BV5"/>
    <mergeCell ref="BN4:BN5"/>
    <mergeCell ref="BP3:BQ3"/>
    <mergeCell ref="BQ4:BQ5"/>
    <mergeCell ref="BY4:CA4"/>
    <mergeCell ref="AJ53:AP53"/>
    <mergeCell ref="BS3:BS5"/>
    <mergeCell ref="BX4:BX5"/>
    <mergeCell ref="BT4:BT5"/>
    <mergeCell ref="BW4:BW5"/>
    <mergeCell ref="J55:Q55"/>
    <mergeCell ref="AA55:AH55"/>
    <mergeCell ref="J54:Q54"/>
    <mergeCell ref="S53:Y53"/>
    <mergeCell ref="AA53:AH53"/>
    <mergeCell ref="S54:T54"/>
    <mergeCell ref="J53:Q53"/>
    <mergeCell ref="AJ54:AP54"/>
    <mergeCell ref="O4:O5"/>
    <mergeCell ref="AB4:AB5"/>
    <mergeCell ref="AE4:AE5"/>
    <mergeCell ref="AA4:AA5"/>
    <mergeCell ref="AK4:AK5"/>
    <mergeCell ref="AL4:AL5"/>
    <mergeCell ref="AV3:AX3"/>
    <mergeCell ref="K4:K5"/>
    <mergeCell ref="R4:S4"/>
    <mergeCell ref="O3:Q3"/>
    <mergeCell ref="R3:T3"/>
    <mergeCell ref="AU4:AU5"/>
    <mergeCell ref="AZ4:AZ5"/>
    <mergeCell ref="T4:T5"/>
    <mergeCell ref="Y4:Y5"/>
    <mergeCell ref="U3:U5"/>
    <mergeCell ref="V4:V5"/>
    <mergeCell ref="AT4:AT5"/>
    <mergeCell ref="AR4:AR5"/>
    <mergeCell ref="AO4:AO5"/>
    <mergeCell ref="AF4:AF5"/>
    <mergeCell ref="AG4:AG5"/>
    <mergeCell ref="AI1:AJ1"/>
    <mergeCell ref="AJ4:AJ5"/>
    <mergeCell ref="AI3:AL3"/>
    <mergeCell ref="I1:Q1"/>
    <mergeCell ref="AA3:AD3"/>
    <mergeCell ref="Z3:Z6"/>
    <mergeCell ref="AC4:AC5"/>
    <mergeCell ref="AD4:AD5"/>
    <mergeCell ref="M3:M5"/>
    <mergeCell ref="N3:N5"/>
    <mergeCell ref="V3:Y3"/>
    <mergeCell ref="X2:Y2"/>
    <mergeCell ref="P2:Q2"/>
    <mergeCell ref="I3:I6"/>
    <mergeCell ref="J4:J5"/>
    <mergeCell ref="P4:P5"/>
    <mergeCell ref="L4:L5"/>
    <mergeCell ref="W4:W5"/>
    <mergeCell ref="J3:L3"/>
    <mergeCell ref="AZ56:BH56"/>
    <mergeCell ref="BJ54:BR54"/>
    <mergeCell ref="AZ55:BH55"/>
    <mergeCell ref="BD4:BE4"/>
    <mergeCell ref="BC3:BC5"/>
    <mergeCell ref="AV4:AV5"/>
    <mergeCell ref="BJ53:BR53"/>
    <mergeCell ref="BA4:BA5"/>
    <mergeCell ref="BR3:BR5"/>
    <mergeCell ref="BP4:BP5"/>
    <mergeCell ref="AZ54:BH54"/>
    <mergeCell ref="AY3:BA3"/>
    <mergeCell ref="BB3:BB5"/>
    <mergeCell ref="BJ56:BK56"/>
    <mergeCell ref="BJ3:BN3"/>
    <mergeCell ref="BK4:BK5"/>
    <mergeCell ref="BO3:BO5"/>
    <mergeCell ref="BI3:BI6"/>
    <mergeCell ref="BH4:BH5"/>
    <mergeCell ref="AY4:AY5"/>
    <mergeCell ref="AW4:AW5"/>
    <mergeCell ref="BF4:BG4"/>
    <mergeCell ref="C15:G16"/>
    <mergeCell ref="AY1:BE1"/>
    <mergeCell ref="AV1:AX1"/>
    <mergeCell ref="AW2:AX2"/>
    <mergeCell ref="BD3:BH3"/>
    <mergeCell ref="AX4:AX5"/>
    <mergeCell ref="BG2:BH2"/>
    <mergeCell ref="BF1:BH1"/>
    <mergeCell ref="AN1:AP1"/>
    <mergeCell ref="AO2:AP2"/>
    <mergeCell ref="AN4:AN5"/>
    <mergeCell ref="AP4:AP5"/>
    <mergeCell ref="AM3:AP3"/>
    <mergeCell ref="AS4:AS5"/>
    <mergeCell ref="AM4:AM5"/>
    <mergeCell ref="AQ3:AQ6"/>
    <mergeCell ref="AR3:AU3"/>
    <mergeCell ref="AE1:AH1"/>
    <mergeCell ref="AI4:AI5"/>
    <mergeCell ref="AG2:AH2"/>
    <mergeCell ref="W1:Y1"/>
    <mergeCell ref="X4:X5"/>
    <mergeCell ref="AE3:AH3"/>
    <mergeCell ref="AH4:AH5"/>
  </mergeCells>
  <phoneticPr fontId="4" type="noConversion"/>
  <conditionalFormatting sqref="Z15:Z16 AQ15:AQ16 BI15:BI16 I15:I16">
    <cfRule type="expression" priority="85" stopIfTrue="1">
      <formula>MOD(row,0)=0</formula>
    </cfRule>
  </conditionalFormatting>
  <conditionalFormatting sqref="Z16 AQ16 BI16 I16">
    <cfRule type="expression" dxfId="9" priority="81" stopIfTrue="1">
      <formula>MOD(ROW(),2)=1</formula>
    </cfRule>
  </conditionalFormatting>
  <conditionalFormatting sqref="Z16 AQ16 BI16 I16">
    <cfRule type="expression" dxfId="8" priority="79" stopIfTrue="1">
      <formula>MOD(ROW(),2)=1</formula>
    </cfRule>
    <cfRule type="expression" priority="80" stopIfTrue="1">
      <formula>MOD(ROW(),2)=1</formula>
    </cfRule>
  </conditionalFormatting>
  <conditionalFormatting sqref="AQ16 Z16 BI16 I16">
    <cfRule type="expression" priority="77" stopIfTrue="1">
      <formula>MOD((((#REF!))),0)=0</formula>
    </cfRule>
  </conditionalFormatting>
  <conditionalFormatting sqref="Z16 AQ16 BI16">
    <cfRule type="expression" priority="46" stopIfTrue="1">
      <formula>MOD((((#REF!))),0)=0</formula>
    </cfRule>
  </conditionalFormatting>
  <pageMargins left="0.62992125984252001" right="0.511811023622047" top="0.31496062992126" bottom="2.5590551E-2" header="0" footer="6.4960630000000005E-2"/>
  <pageSetup paperSize="448" orientation="portrait" useFirstPageNumber="1" r:id="rId1"/>
  <headerFooter differentFirst="1" alignWithMargins="0">
    <oddFooter>&amp;C&amp;"Times New Roman,Regular"&amp;8&amp;P</oddFooter>
  </headerFooter>
  <colBreaks count="1" manualBreakCount="1">
    <brk id="8" max="1048575" man="1"/>
  </colBreaks>
</worksheet>
</file>

<file path=xl/worksheets/sheet30.xml><?xml version="1.0" encoding="utf-8"?>
<worksheet xmlns="http://schemas.openxmlformats.org/spreadsheetml/2006/main" xmlns:r="http://schemas.openxmlformats.org/officeDocument/2006/relationships">
  <sheetPr codeName="Sheet30"/>
  <dimension ref="A1:AB61"/>
  <sheetViews>
    <sheetView zoomScale="150" zoomScaleNormal="150" workbookViewId="0">
      <pane xSplit="1" ySplit="6" topLeftCell="B26" activePane="bottomRight" state="frozen"/>
      <selection pane="topRight" activeCell="B1" sqref="B1"/>
      <selection pane="bottomLeft" activeCell="A7" sqref="A7"/>
      <selection pane="bottomRight" activeCell="G40" sqref="G40"/>
    </sheetView>
  </sheetViews>
  <sheetFormatPr defaultColWidth="9.140625" defaultRowHeight="11.25"/>
  <cols>
    <col min="1" max="1" width="9" style="11" customWidth="1"/>
    <col min="2" max="2" width="11" style="11" customWidth="1"/>
    <col min="3" max="3" width="11.85546875" style="11" customWidth="1"/>
    <col min="4" max="4" width="11.42578125" style="11" customWidth="1"/>
    <col min="5" max="5" width="10.42578125" style="11" customWidth="1"/>
    <col min="6" max="6" width="9" style="11" customWidth="1"/>
    <col min="7" max="7" width="11.28515625" style="11" customWidth="1"/>
    <col min="8" max="8" width="10.28515625" style="11" customWidth="1"/>
    <col min="9" max="9" width="11.140625" style="11" customWidth="1"/>
    <col min="10" max="10" width="10.42578125" style="11" customWidth="1"/>
    <col min="11" max="11" width="11" style="11" customWidth="1"/>
    <col min="12" max="12" width="10.7109375" style="11" customWidth="1"/>
    <col min="13" max="13" width="10.5703125" style="11" customWidth="1"/>
    <col min="14" max="14" width="10.7109375" style="11" customWidth="1"/>
    <col min="15" max="15" width="15.85546875" style="11" customWidth="1"/>
    <col min="16" max="16" width="15" style="11" customWidth="1"/>
    <col min="17" max="17" width="12.5703125" style="11" customWidth="1"/>
    <col min="18" max="18" width="13.28515625" style="11" customWidth="1"/>
    <col min="19" max="19" width="15.7109375" style="11" customWidth="1"/>
    <col min="20" max="20" width="7.5703125" style="11" customWidth="1"/>
    <col min="21" max="21" width="8.85546875" style="11" customWidth="1"/>
    <col min="22" max="22" width="11.7109375" style="11" customWidth="1"/>
    <col min="23" max="23" width="7.5703125" style="11" customWidth="1"/>
    <col min="24" max="24" width="8.42578125" style="11" customWidth="1"/>
    <col min="25" max="25" width="7.7109375" style="11" customWidth="1"/>
    <col min="26" max="26" width="9.42578125" style="11" customWidth="1"/>
    <col min="27" max="27" width="8.140625" style="11" customWidth="1"/>
    <col min="28" max="28" width="8.7109375" style="11" customWidth="1"/>
    <col min="29" max="16384" width="9.140625" style="11"/>
  </cols>
  <sheetData>
    <row r="1" spans="1:28" ht="16.5" customHeight="1"/>
    <row r="2" spans="1:28" s="525" customFormat="1" ht="27.75" customHeight="1">
      <c r="A2" s="2210" t="s">
        <v>1699</v>
      </c>
      <c r="B2" s="2210"/>
      <c r="C2" s="2210"/>
      <c r="D2" s="2210"/>
      <c r="E2" s="2210"/>
      <c r="F2" s="2212" t="s">
        <v>1818</v>
      </c>
      <c r="G2" s="2212"/>
      <c r="H2" s="544"/>
      <c r="I2" s="2212" t="s">
        <v>1358</v>
      </c>
      <c r="J2" s="2212"/>
      <c r="K2" s="2212"/>
      <c r="L2" s="2212"/>
      <c r="M2" s="2212"/>
      <c r="N2" s="2212"/>
      <c r="O2" s="2213" t="s">
        <v>1308</v>
      </c>
      <c r="P2" s="2213"/>
      <c r="Q2" s="2213"/>
      <c r="R2" s="2212" t="s">
        <v>1818</v>
      </c>
      <c r="S2" s="2212"/>
      <c r="T2" s="2210" t="s">
        <v>1307</v>
      </c>
      <c r="U2" s="2210"/>
      <c r="V2" s="2210"/>
      <c r="W2" s="2210"/>
      <c r="X2" s="2210"/>
      <c r="Y2" s="2210"/>
      <c r="Z2" s="2212" t="s">
        <v>1819</v>
      </c>
      <c r="AA2" s="2212"/>
      <c r="AB2" s="2212"/>
    </row>
    <row r="3" spans="1:28" s="62" customFormat="1" ht="21.75" customHeight="1">
      <c r="A3" s="2211" t="s">
        <v>1308</v>
      </c>
      <c r="B3" s="2211"/>
      <c r="C3" s="2211"/>
      <c r="D3" s="2211"/>
      <c r="E3" s="2211"/>
      <c r="F3" s="2200" t="s">
        <v>66</v>
      </c>
      <c r="G3" s="2200"/>
      <c r="H3" s="99"/>
      <c r="K3" s="96"/>
      <c r="L3" s="96"/>
      <c r="M3" s="2059"/>
      <c r="N3" s="2059"/>
      <c r="O3" s="180"/>
      <c r="P3" s="180"/>
      <c r="R3" s="2059" t="s">
        <v>66</v>
      </c>
      <c r="S3" s="2059"/>
      <c r="T3" s="2216" t="s">
        <v>1700</v>
      </c>
      <c r="U3" s="2216"/>
      <c r="V3" s="2216"/>
      <c r="W3" s="2216"/>
      <c r="X3" s="2216"/>
      <c r="Y3" s="2216"/>
      <c r="Z3" s="2216"/>
      <c r="AA3" s="2059" t="s">
        <v>66</v>
      </c>
      <c r="AB3" s="2059"/>
    </row>
    <row r="4" spans="1:28" s="205" customFormat="1" ht="16.5" customHeight="1">
      <c r="A4" s="2214" t="s">
        <v>739</v>
      </c>
      <c r="B4" s="2215" t="s">
        <v>1306</v>
      </c>
      <c r="C4" s="2215"/>
      <c r="D4" s="2215"/>
      <c r="E4" s="2215"/>
      <c r="F4" s="2215"/>
      <c r="G4" s="2215"/>
      <c r="H4" s="2027" t="s">
        <v>739</v>
      </c>
      <c r="I4" s="2101" t="s">
        <v>1368</v>
      </c>
      <c r="J4" s="2102"/>
      <c r="K4" s="2102"/>
      <c r="L4" s="2102"/>
      <c r="M4" s="2102"/>
      <c r="N4" s="2102"/>
      <c r="O4" s="2102"/>
      <c r="P4" s="2102"/>
      <c r="Q4" s="2102"/>
      <c r="R4" s="2103"/>
      <c r="S4" s="2027" t="s">
        <v>739</v>
      </c>
      <c r="T4" s="2105" t="s">
        <v>739</v>
      </c>
      <c r="U4" s="2101" t="s">
        <v>92</v>
      </c>
      <c r="V4" s="2102"/>
      <c r="W4" s="2102"/>
      <c r="X4" s="2103"/>
      <c r="Y4" s="2102" t="s">
        <v>93</v>
      </c>
      <c r="Z4" s="2102"/>
      <c r="AA4" s="2102"/>
      <c r="AB4" s="2103"/>
    </row>
    <row r="5" spans="1:28" s="182" customFormat="1" ht="12.75" customHeight="1">
      <c r="A5" s="2028"/>
      <c r="B5" s="2203" t="s">
        <v>1309</v>
      </c>
      <c r="C5" s="2203"/>
      <c r="D5" s="2203"/>
      <c r="E5" s="2203"/>
      <c r="F5" s="2030" t="s">
        <v>1357</v>
      </c>
      <c r="G5" s="2030"/>
      <c r="H5" s="2028"/>
      <c r="I5" s="2206" t="s">
        <v>1357</v>
      </c>
      <c r="J5" s="2207"/>
      <c r="K5" s="2203" t="s">
        <v>184</v>
      </c>
      <c r="L5" s="2203"/>
      <c r="M5" s="2203"/>
      <c r="N5" s="2203"/>
      <c r="O5" s="2206" t="s">
        <v>735</v>
      </c>
      <c r="P5" s="2207"/>
      <c r="Q5" s="2207"/>
      <c r="R5" s="2208"/>
      <c r="S5" s="2028"/>
      <c r="T5" s="2105"/>
      <c r="U5" s="2046" t="s">
        <v>1247</v>
      </c>
      <c r="V5" s="2046" t="s">
        <v>1977</v>
      </c>
      <c r="W5" s="2046" t="s">
        <v>1216</v>
      </c>
      <c r="X5" s="2046" t="s">
        <v>94</v>
      </c>
      <c r="Y5" s="2046" t="s">
        <v>1248</v>
      </c>
      <c r="Z5" s="2021" t="s">
        <v>91</v>
      </c>
      <c r="AA5" s="2046" t="s">
        <v>39</v>
      </c>
      <c r="AB5" s="2002" t="s">
        <v>1218</v>
      </c>
    </row>
    <row r="6" spans="1:28" s="112" customFormat="1" ht="25.5" customHeight="1">
      <c r="A6" s="2029"/>
      <c r="B6" s="27" t="s">
        <v>90</v>
      </c>
      <c r="C6" s="27" t="s">
        <v>91</v>
      </c>
      <c r="D6" s="27" t="s">
        <v>39</v>
      </c>
      <c r="E6" s="27" t="s">
        <v>1213</v>
      </c>
      <c r="F6" s="27" t="s">
        <v>90</v>
      </c>
      <c r="G6" s="27" t="s">
        <v>91</v>
      </c>
      <c r="H6" s="2029"/>
      <c r="I6" s="27" t="s">
        <v>1246</v>
      </c>
      <c r="J6" s="27" t="s">
        <v>1214</v>
      </c>
      <c r="K6" s="27" t="s">
        <v>1217</v>
      </c>
      <c r="L6" s="27" t="s">
        <v>91</v>
      </c>
      <c r="M6" s="27" t="s">
        <v>39</v>
      </c>
      <c r="N6" s="27" t="s">
        <v>1245</v>
      </c>
      <c r="O6" s="27" t="s">
        <v>1310</v>
      </c>
      <c r="P6" s="27" t="s">
        <v>91</v>
      </c>
      <c r="Q6" s="27" t="s">
        <v>1215</v>
      </c>
      <c r="R6" s="27" t="s">
        <v>1369</v>
      </c>
      <c r="S6" s="2029"/>
      <c r="T6" s="2105"/>
      <c r="U6" s="2046"/>
      <c r="V6" s="2046"/>
      <c r="W6" s="2046"/>
      <c r="X6" s="2046"/>
      <c r="Y6" s="2046"/>
      <c r="Z6" s="2051"/>
      <c r="AA6" s="2046"/>
      <c r="AB6" s="2002"/>
    </row>
    <row r="7" spans="1:28" s="81" customFormat="1" ht="15" customHeight="1">
      <c r="A7" s="204">
        <v>1993</v>
      </c>
      <c r="B7" s="206">
        <v>1738.3</v>
      </c>
      <c r="C7" s="206">
        <v>1769.7</v>
      </c>
      <c r="D7" s="206">
        <v>-31.9</v>
      </c>
      <c r="E7" s="204">
        <v>64492</v>
      </c>
      <c r="F7" s="206">
        <v>195.1</v>
      </c>
      <c r="G7" s="206">
        <v>91.85</v>
      </c>
      <c r="H7" s="204">
        <v>1993</v>
      </c>
      <c r="I7" s="206">
        <v>54.36</v>
      </c>
      <c r="J7" s="204">
        <v>826</v>
      </c>
      <c r="K7" s="206">
        <v>835.92</v>
      </c>
      <c r="L7" s="206">
        <v>813.51</v>
      </c>
      <c r="M7" s="206">
        <v>3.23</v>
      </c>
      <c r="N7" s="204">
        <v>18276</v>
      </c>
      <c r="O7" s="206">
        <v>2769.32</v>
      </c>
      <c r="P7" s="206">
        <v>2675.06</v>
      </c>
      <c r="Q7" s="206">
        <v>25.69</v>
      </c>
      <c r="R7" s="204">
        <v>83594</v>
      </c>
      <c r="S7" s="204">
        <v>1993</v>
      </c>
      <c r="T7" s="111" t="s">
        <v>801</v>
      </c>
      <c r="U7" s="206">
        <v>665.13</v>
      </c>
      <c r="V7" s="206">
        <v>188.71</v>
      </c>
      <c r="W7" s="206">
        <v>476.42</v>
      </c>
      <c r="X7" s="204">
        <v>6435</v>
      </c>
      <c r="Y7" s="206">
        <v>186.68</v>
      </c>
      <c r="Z7" s="206">
        <v>511.26</v>
      </c>
      <c r="AA7" s="206">
        <v>-330.69</v>
      </c>
      <c r="AB7" s="204">
        <v>16871</v>
      </c>
    </row>
    <row r="8" spans="1:28" s="81" customFormat="1" ht="15" customHeight="1">
      <c r="A8" s="498">
        <v>1994</v>
      </c>
      <c r="B8" s="499">
        <v>1702.56</v>
      </c>
      <c r="C8" s="499">
        <v>1683.24</v>
      </c>
      <c r="D8" s="499">
        <v>18.82</v>
      </c>
      <c r="E8" s="498">
        <v>63804</v>
      </c>
      <c r="F8" s="499">
        <v>242.36</v>
      </c>
      <c r="G8" s="499">
        <v>105.74</v>
      </c>
      <c r="H8" s="498">
        <v>1994</v>
      </c>
      <c r="I8" s="499">
        <v>68.319999999999993</v>
      </c>
      <c r="J8" s="498">
        <v>888</v>
      </c>
      <c r="K8" s="499">
        <v>851.89</v>
      </c>
      <c r="L8" s="499">
        <v>801.25</v>
      </c>
      <c r="M8" s="499">
        <v>14.8</v>
      </c>
      <c r="N8" s="498">
        <v>18794</v>
      </c>
      <c r="O8" s="499">
        <v>2796.81</v>
      </c>
      <c r="P8" s="499">
        <v>2590.23</v>
      </c>
      <c r="Q8" s="499">
        <v>101.94</v>
      </c>
      <c r="R8" s="498">
        <v>83486</v>
      </c>
      <c r="S8" s="498">
        <v>1994</v>
      </c>
      <c r="T8" s="500" t="s">
        <v>802</v>
      </c>
      <c r="U8" s="499">
        <v>838.06</v>
      </c>
      <c r="V8" s="499">
        <v>239.33</v>
      </c>
      <c r="W8" s="499">
        <v>598.73</v>
      </c>
      <c r="X8" s="498">
        <v>6345</v>
      </c>
      <c r="Y8" s="499">
        <v>310.63</v>
      </c>
      <c r="Z8" s="499">
        <v>617.73</v>
      </c>
      <c r="AA8" s="499">
        <v>-307.10000000000002</v>
      </c>
      <c r="AB8" s="498">
        <v>16856</v>
      </c>
    </row>
    <row r="9" spans="1:28" s="81" customFormat="1" ht="15" customHeight="1">
      <c r="A9" s="204">
        <v>1995</v>
      </c>
      <c r="B9" s="206">
        <v>1982.08</v>
      </c>
      <c r="C9" s="206">
        <v>1869.11</v>
      </c>
      <c r="D9" s="206">
        <v>112.37</v>
      </c>
      <c r="E9" s="204">
        <v>63803</v>
      </c>
      <c r="F9" s="206">
        <v>335.65</v>
      </c>
      <c r="G9" s="206">
        <v>151.38999999999999</v>
      </c>
      <c r="H9" s="204">
        <v>1995</v>
      </c>
      <c r="I9" s="206">
        <v>90.76</v>
      </c>
      <c r="J9" s="204">
        <v>966</v>
      </c>
      <c r="K9" s="206">
        <v>943.89</v>
      </c>
      <c r="L9" s="206">
        <v>831.99</v>
      </c>
      <c r="M9" s="206">
        <v>56.56</v>
      </c>
      <c r="N9" s="204">
        <v>20083</v>
      </c>
      <c r="O9" s="206">
        <v>3261.62</v>
      </c>
      <c r="P9" s="206">
        <v>2964.39</v>
      </c>
      <c r="Q9" s="206">
        <v>259.69</v>
      </c>
      <c r="R9" s="204">
        <v>84852</v>
      </c>
      <c r="S9" s="204">
        <v>1995</v>
      </c>
      <c r="T9" s="111" t="s">
        <v>803</v>
      </c>
      <c r="U9" s="206">
        <v>840.64</v>
      </c>
      <c r="V9" s="206">
        <v>310.44</v>
      </c>
      <c r="W9" s="206">
        <v>530.20000000000005</v>
      </c>
      <c r="X9" s="204">
        <v>6281</v>
      </c>
      <c r="Y9" s="206">
        <v>235.97</v>
      </c>
      <c r="Z9" s="206">
        <v>528.04</v>
      </c>
      <c r="AA9" s="206">
        <v>-292.07</v>
      </c>
      <c r="AB9" s="204">
        <v>16459</v>
      </c>
    </row>
    <row r="10" spans="1:28" s="81" customFormat="1" ht="15" customHeight="1">
      <c r="A10" s="498">
        <v>1996</v>
      </c>
      <c r="B10" s="499">
        <v>2249.11</v>
      </c>
      <c r="C10" s="499">
        <v>2220.5</v>
      </c>
      <c r="D10" s="499">
        <v>28.11</v>
      </c>
      <c r="E10" s="498">
        <v>63731</v>
      </c>
      <c r="F10" s="499">
        <v>408.46</v>
      </c>
      <c r="G10" s="499">
        <v>221.73</v>
      </c>
      <c r="H10" s="498">
        <v>1996</v>
      </c>
      <c r="I10" s="499">
        <v>98.72</v>
      </c>
      <c r="J10" s="498">
        <v>1016</v>
      </c>
      <c r="K10" s="499">
        <v>1132.23</v>
      </c>
      <c r="L10" s="499">
        <v>939.75</v>
      </c>
      <c r="M10" s="499">
        <v>131.49</v>
      </c>
      <c r="N10" s="498">
        <v>21140</v>
      </c>
      <c r="O10" s="499">
        <v>3789.8</v>
      </c>
      <c r="P10" s="499">
        <v>3381.98</v>
      </c>
      <c r="Q10" s="499">
        <v>258.32</v>
      </c>
      <c r="R10" s="498">
        <v>85887</v>
      </c>
      <c r="S10" s="498">
        <v>1996</v>
      </c>
      <c r="T10" s="500" t="s">
        <v>804</v>
      </c>
      <c r="U10" s="499">
        <v>936.03</v>
      </c>
      <c r="V10" s="499">
        <v>301.69</v>
      </c>
      <c r="W10" s="499">
        <v>634.34</v>
      </c>
      <c r="X10" s="498">
        <v>6215</v>
      </c>
      <c r="Y10" s="499">
        <v>410.88</v>
      </c>
      <c r="Z10" s="499">
        <v>615.38</v>
      </c>
      <c r="AA10" s="499">
        <v>-204.5</v>
      </c>
      <c r="AB10" s="498">
        <v>16273</v>
      </c>
    </row>
    <row r="11" spans="1:28" s="81" customFormat="1" ht="15" customHeight="1">
      <c r="A11" s="204">
        <v>1997</v>
      </c>
      <c r="B11" s="206">
        <v>2574.08</v>
      </c>
      <c r="C11" s="206">
        <v>2556.81</v>
      </c>
      <c r="D11" s="206">
        <v>16.77</v>
      </c>
      <c r="E11" s="204">
        <v>62723</v>
      </c>
      <c r="F11" s="206">
        <v>564.1</v>
      </c>
      <c r="G11" s="206">
        <v>335.64</v>
      </c>
      <c r="H11" s="204">
        <v>1997</v>
      </c>
      <c r="I11" s="206">
        <v>134.21</v>
      </c>
      <c r="J11" s="204">
        <v>1125</v>
      </c>
      <c r="K11" s="206">
        <v>1414.22</v>
      </c>
      <c r="L11" s="206">
        <v>1180.04</v>
      </c>
      <c r="M11" s="206">
        <v>144.47999999999999</v>
      </c>
      <c r="N11" s="204">
        <v>22194</v>
      </c>
      <c r="O11" s="206">
        <v>4552.3999999999996</v>
      </c>
      <c r="P11" s="206">
        <v>4072.49</v>
      </c>
      <c r="Q11" s="206">
        <v>295.45999999999998</v>
      </c>
      <c r="R11" s="204">
        <v>86042</v>
      </c>
      <c r="S11" s="204">
        <v>1997</v>
      </c>
      <c r="T11" s="111" t="s">
        <v>805</v>
      </c>
      <c r="U11" s="206">
        <v>1059.3900000000001</v>
      </c>
      <c r="V11" s="206">
        <v>288.75</v>
      </c>
      <c r="W11" s="206">
        <v>770.64</v>
      </c>
      <c r="X11" s="204">
        <v>6129</v>
      </c>
      <c r="Y11" s="206">
        <v>440.48</v>
      </c>
      <c r="Z11" s="206">
        <v>701.5</v>
      </c>
      <c r="AA11" s="206">
        <v>-261.02</v>
      </c>
      <c r="AB11" s="204">
        <v>16342</v>
      </c>
    </row>
    <row r="12" spans="1:28" s="81" customFormat="1" ht="15" customHeight="1">
      <c r="A12" s="498">
        <v>1998</v>
      </c>
      <c r="B12" s="499">
        <v>2815.17</v>
      </c>
      <c r="C12" s="499">
        <v>2808.69</v>
      </c>
      <c r="D12" s="499">
        <v>-5.98</v>
      </c>
      <c r="E12" s="498">
        <v>63583</v>
      </c>
      <c r="F12" s="499">
        <v>585.59</v>
      </c>
      <c r="G12" s="499">
        <v>326.62</v>
      </c>
      <c r="H12" s="498">
        <v>1998</v>
      </c>
      <c r="I12" s="499">
        <v>149.43</v>
      </c>
      <c r="J12" s="498">
        <v>1262</v>
      </c>
      <c r="K12" s="499">
        <v>1696.46</v>
      </c>
      <c r="L12" s="499">
        <v>1457.83</v>
      </c>
      <c r="M12" s="499">
        <v>158.35</v>
      </c>
      <c r="N12" s="498">
        <v>22893</v>
      </c>
      <c r="O12" s="499">
        <v>5097.22</v>
      </c>
      <c r="P12" s="499">
        <v>4593.1400000000003</v>
      </c>
      <c r="Q12" s="499">
        <v>301.8</v>
      </c>
      <c r="R12" s="498">
        <v>87738</v>
      </c>
      <c r="S12" s="498">
        <v>1998</v>
      </c>
      <c r="T12" s="500" t="s">
        <v>806</v>
      </c>
      <c r="U12" s="499">
        <v>1171.56</v>
      </c>
      <c r="V12" s="499">
        <v>384.7</v>
      </c>
      <c r="W12" s="499">
        <v>786.86</v>
      </c>
      <c r="X12" s="498">
        <v>6178</v>
      </c>
      <c r="Y12" s="499">
        <v>492.91</v>
      </c>
      <c r="Z12" s="499">
        <v>766.77</v>
      </c>
      <c r="AA12" s="499">
        <v>-296.7</v>
      </c>
      <c r="AB12" s="498">
        <v>16114</v>
      </c>
    </row>
    <row r="13" spans="1:28" s="81" customFormat="1" ht="15" customHeight="1">
      <c r="A13" s="204">
        <v>1999</v>
      </c>
      <c r="B13" s="206">
        <v>3161.26</v>
      </c>
      <c r="C13" s="206">
        <v>3164.79</v>
      </c>
      <c r="D13" s="206">
        <v>-16.66</v>
      </c>
      <c r="E13" s="204">
        <v>62419</v>
      </c>
      <c r="F13" s="206">
        <v>713.65</v>
      </c>
      <c r="G13" s="206">
        <v>447.39</v>
      </c>
      <c r="H13" s="204">
        <v>1999</v>
      </c>
      <c r="I13" s="206">
        <v>149.69999999999999</v>
      </c>
      <c r="J13" s="204">
        <v>1311</v>
      </c>
      <c r="K13" s="206">
        <v>2094.5100000000002</v>
      </c>
      <c r="L13" s="206">
        <v>1760.92</v>
      </c>
      <c r="M13" s="206">
        <v>178.44</v>
      </c>
      <c r="N13" s="204">
        <v>24281</v>
      </c>
      <c r="O13" s="206">
        <v>5969.42</v>
      </c>
      <c r="P13" s="206">
        <v>5373.1</v>
      </c>
      <c r="Q13" s="206">
        <v>311.48</v>
      </c>
      <c r="R13" s="204">
        <v>88011</v>
      </c>
      <c r="S13" s="204">
        <v>1999</v>
      </c>
      <c r="T13" s="111" t="s">
        <v>807</v>
      </c>
      <c r="U13" s="206">
        <v>1159.3499999999999</v>
      </c>
      <c r="V13" s="206">
        <v>363.37</v>
      </c>
      <c r="W13" s="206">
        <v>795.98</v>
      </c>
      <c r="X13" s="204">
        <v>6061</v>
      </c>
      <c r="Y13" s="206">
        <v>598.45000000000005</v>
      </c>
      <c r="Z13" s="206">
        <v>766</v>
      </c>
      <c r="AA13" s="206">
        <v>-532.37</v>
      </c>
      <c r="AB13" s="204">
        <v>16036</v>
      </c>
    </row>
    <row r="14" spans="1:28" s="81" customFormat="1" ht="15" customHeight="1">
      <c r="A14" s="498">
        <v>2000</v>
      </c>
      <c r="B14" s="499">
        <v>3726.27</v>
      </c>
      <c r="C14" s="499">
        <v>3532.16</v>
      </c>
      <c r="D14" s="499">
        <v>24.58</v>
      </c>
      <c r="E14" s="498">
        <v>62091</v>
      </c>
      <c r="F14" s="499">
        <v>967.5</v>
      </c>
      <c r="G14" s="499">
        <v>548.08000000000004</v>
      </c>
      <c r="H14" s="498">
        <v>2000</v>
      </c>
      <c r="I14" s="499">
        <v>220.46</v>
      </c>
      <c r="J14" s="498">
        <v>1280</v>
      </c>
      <c r="K14" s="499">
        <v>3267.62</v>
      </c>
      <c r="L14" s="499">
        <v>2462.09</v>
      </c>
      <c r="M14" s="499">
        <v>309.97000000000003</v>
      </c>
      <c r="N14" s="498">
        <v>25975</v>
      </c>
      <c r="O14" s="499">
        <v>7961.39</v>
      </c>
      <c r="P14" s="499">
        <v>6542.33</v>
      </c>
      <c r="Q14" s="499">
        <v>555.01</v>
      </c>
      <c r="R14" s="498">
        <v>89346</v>
      </c>
      <c r="S14" s="498">
        <v>2000</v>
      </c>
      <c r="T14" s="500" t="s">
        <v>808</v>
      </c>
      <c r="U14" s="499">
        <v>1172.58</v>
      </c>
      <c r="V14" s="499">
        <v>456.64</v>
      </c>
      <c r="W14" s="499">
        <v>715.95</v>
      </c>
      <c r="X14" s="498">
        <v>5926</v>
      </c>
      <c r="Y14" s="499">
        <v>820.34</v>
      </c>
      <c r="Z14" s="499">
        <v>736.36</v>
      </c>
      <c r="AA14" s="499">
        <v>79.81</v>
      </c>
      <c r="AB14" s="498">
        <v>16164</v>
      </c>
    </row>
    <row r="15" spans="1:28" s="81" customFormat="1" ht="15" customHeight="1">
      <c r="A15" s="204">
        <v>2001</v>
      </c>
      <c r="B15" s="206">
        <v>3878.16</v>
      </c>
      <c r="C15" s="206">
        <v>3735.96</v>
      </c>
      <c r="D15" s="206">
        <v>38.24</v>
      </c>
      <c r="E15" s="204">
        <v>61325</v>
      </c>
      <c r="F15" s="206">
        <v>1068.9100000000001</v>
      </c>
      <c r="G15" s="206">
        <v>588.16999999999996</v>
      </c>
      <c r="H15" s="204">
        <v>2001</v>
      </c>
      <c r="I15" s="206">
        <v>259.81</v>
      </c>
      <c r="J15" s="204">
        <v>1588</v>
      </c>
      <c r="K15" s="206">
        <v>4321</v>
      </c>
      <c r="L15" s="206">
        <v>3126</v>
      </c>
      <c r="M15" s="206">
        <v>514.48</v>
      </c>
      <c r="N15" s="204">
        <v>28068</v>
      </c>
      <c r="O15" s="206">
        <v>9268.07</v>
      </c>
      <c r="P15" s="206">
        <v>7450.13</v>
      </c>
      <c r="Q15" s="206">
        <v>812.53</v>
      </c>
      <c r="R15" s="204">
        <v>90981</v>
      </c>
      <c r="S15" s="204">
        <v>2001</v>
      </c>
      <c r="T15" s="111" t="s">
        <v>809</v>
      </c>
      <c r="U15" s="206">
        <v>1133.1500000000001</v>
      </c>
      <c r="V15" s="206">
        <v>183.34</v>
      </c>
      <c r="W15" s="206">
        <v>949.41</v>
      </c>
      <c r="X15" s="204">
        <v>5769</v>
      </c>
      <c r="Y15" s="206">
        <v>636.39</v>
      </c>
      <c r="Z15" s="206">
        <v>748.34</v>
      </c>
      <c r="AA15" s="206">
        <v>-114.64</v>
      </c>
      <c r="AB15" s="204">
        <v>16475</v>
      </c>
    </row>
    <row r="16" spans="1:28" s="81" customFormat="1" ht="15" customHeight="1">
      <c r="A16" s="498">
        <v>2002</v>
      </c>
      <c r="B16" s="499">
        <v>3665.52</v>
      </c>
      <c r="C16" s="499">
        <v>3420.35</v>
      </c>
      <c r="D16" s="499">
        <v>19.88</v>
      </c>
      <c r="E16" s="498">
        <v>60169</v>
      </c>
      <c r="F16" s="499">
        <v>1061.9000000000001</v>
      </c>
      <c r="G16" s="499">
        <v>570.79</v>
      </c>
      <c r="H16" s="498">
        <v>2002</v>
      </c>
      <c r="I16" s="499">
        <v>224.08</v>
      </c>
      <c r="J16" s="498">
        <v>1305</v>
      </c>
      <c r="K16" s="499">
        <v>5021.55</v>
      </c>
      <c r="L16" s="499">
        <v>3930.87</v>
      </c>
      <c r="M16" s="499">
        <v>458.79</v>
      </c>
      <c r="N16" s="498">
        <v>28336</v>
      </c>
      <c r="O16" s="499">
        <v>9748.9699999999993</v>
      </c>
      <c r="P16" s="499">
        <v>7922.01</v>
      </c>
      <c r="Q16" s="499">
        <v>702.75</v>
      </c>
      <c r="R16" s="498">
        <v>89810</v>
      </c>
      <c r="S16" s="498">
        <v>2002</v>
      </c>
      <c r="T16" s="500" t="s">
        <v>810</v>
      </c>
      <c r="U16" s="499">
        <v>1725.62</v>
      </c>
      <c r="V16" s="499">
        <v>365.57</v>
      </c>
      <c r="W16" s="499">
        <v>760.05</v>
      </c>
      <c r="X16" s="498">
        <v>5576</v>
      </c>
      <c r="Y16" s="499">
        <v>738.53</v>
      </c>
      <c r="Z16" s="499">
        <v>768.85</v>
      </c>
      <c r="AA16" s="499">
        <v>-24.32</v>
      </c>
      <c r="AB16" s="498">
        <v>15837</v>
      </c>
    </row>
    <row r="17" spans="1:28" s="81" customFormat="1" ht="15" customHeight="1">
      <c r="A17" s="204">
        <v>2003</v>
      </c>
      <c r="B17" s="206">
        <v>4165.22</v>
      </c>
      <c r="C17" s="206">
        <v>3860.79</v>
      </c>
      <c r="D17" s="206">
        <v>68.209999999999994</v>
      </c>
      <c r="E17" s="204">
        <v>58629</v>
      </c>
      <c r="F17" s="206">
        <v>772.93</v>
      </c>
      <c r="G17" s="206">
        <v>252.27</v>
      </c>
      <c r="H17" s="204">
        <v>2003</v>
      </c>
      <c r="I17" s="206">
        <v>276.44</v>
      </c>
      <c r="J17" s="204">
        <v>1409</v>
      </c>
      <c r="K17" s="206">
        <v>5921.25</v>
      </c>
      <c r="L17" s="206">
        <v>4543.82</v>
      </c>
      <c r="M17" s="206">
        <v>475.59</v>
      </c>
      <c r="N17" s="204">
        <v>32576</v>
      </c>
      <c r="O17" s="206">
        <v>10859.4</v>
      </c>
      <c r="P17" s="206">
        <v>8656.8799999999992</v>
      </c>
      <c r="Q17" s="206">
        <v>820.24</v>
      </c>
      <c r="R17" s="204">
        <v>92614</v>
      </c>
      <c r="S17" s="204">
        <v>2003</v>
      </c>
      <c r="T17" s="111" t="s">
        <v>811</v>
      </c>
      <c r="U17" s="206">
        <v>2100.69</v>
      </c>
      <c r="V17" s="206">
        <v>1161.21</v>
      </c>
      <c r="W17" s="206">
        <v>939.48</v>
      </c>
      <c r="X17" s="204">
        <v>5461</v>
      </c>
      <c r="Y17" s="206">
        <v>693.26</v>
      </c>
      <c r="Z17" s="206">
        <v>773.15</v>
      </c>
      <c r="AA17" s="206">
        <v>-87.89</v>
      </c>
      <c r="AB17" s="204">
        <v>15300</v>
      </c>
    </row>
    <row r="18" spans="1:28" s="81" customFormat="1" ht="15" customHeight="1">
      <c r="A18" s="498">
        <v>2004</v>
      </c>
      <c r="B18" s="499">
        <v>4008.46</v>
      </c>
      <c r="C18" s="499">
        <v>3693.77</v>
      </c>
      <c r="D18" s="499">
        <v>-1904.72</v>
      </c>
      <c r="E18" s="498">
        <v>57588</v>
      </c>
      <c r="F18" s="499">
        <v>1294.25</v>
      </c>
      <c r="G18" s="499">
        <v>640.37</v>
      </c>
      <c r="H18" s="498">
        <v>2004</v>
      </c>
      <c r="I18" s="499">
        <v>392.01</v>
      </c>
      <c r="J18" s="498">
        <v>1394</v>
      </c>
      <c r="K18" s="499">
        <v>7305.97</v>
      </c>
      <c r="L18" s="499">
        <v>5293.89</v>
      </c>
      <c r="M18" s="499">
        <v>736.49</v>
      </c>
      <c r="N18" s="498">
        <v>34786</v>
      </c>
      <c r="O18" s="499">
        <v>12608.68</v>
      </c>
      <c r="P18" s="499">
        <v>9628.0300000000007</v>
      </c>
      <c r="Q18" s="499">
        <v>-776.22</v>
      </c>
      <c r="R18" s="498">
        <v>93768</v>
      </c>
      <c r="S18" s="498">
        <v>2004</v>
      </c>
      <c r="T18" s="500" t="s">
        <v>812</v>
      </c>
      <c r="U18" s="499">
        <v>2415.7800000000002</v>
      </c>
      <c r="V18" s="499">
        <v>523.91</v>
      </c>
      <c r="W18" s="499">
        <v>1891.87</v>
      </c>
      <c r="X18" s="498">
        <v>5596</v>
      </c>
      <c r="Y18" s="499">
        <v>646.38</v>
      </c>
      <c r="Z18" s="499">
        <v>854.92</v>
      </c>
      <c r="AA18" s="499">
        <v>-240.68</v>
      </c>
      <c r="AB18" s="498">
        <v>14350</v>
      </c>
    </row>
    <row r="19" spans="1:28" s="81" customFormat="1" ht="15" customHeight="1">
      <c r="A19" s="204">
        <v>2005</v>
      </c>
      <c r="B19" s="206">
        <v>4836.34</v>
      </c>
      <c r="C19" s="206">
        <v>3814.7</v>
      </c>
      <c r="D19" s="206">
        <v>-1209.4100000000001</v>
      </c>
      <c r="E19" s="204">
        <v>56417</v>
      </c>
      <c r="F19" s="206">
        <v>1367.59</v>
      </c>
      <c r="G19" s="206">
        <v>529.5</v>
      </c>
      <c r="H19" s="204">
        <v>2005</v>
      </c>
      <c r="I19" s="206">
        <v>470.18</v>
      </c>
      <c r="J19" s="204">
        <v>1713</v>
      </c>
      <c r="K19" s="206">
        <v>9140.17</v>
      </c>
      <c r="L19" s="206">
        <v>6599.97</v>
      </c>
      <c r="M19" s="206">
        <v>954.71</v>
      </c>
      <c r="N19" s="204">
        <v>36715</v>
      </c>
      <c r="O19" s="206">
        <v>15344.1</v>
      </c>
      <c r="P19" s="206">
        <v>10944.17</v>
      </c>
      <c r="Q19" s="206">
        <v>215.48</v>
      </c>
      <c r="R19" s="204">
        <v>94845</v>
      </c>
      <c r="S19" s="204">
        <v>2005</v>
      </c>
      <c r="T19" s="111" t="s">
        <v>817</v>
      </c>
      <c r="U19" s="206">
        <v>3621.5</v>
      </c>
      <c r="V19" s="206">
        <v>1217.48</v>
      </c>
      <c r="W19" s="206">
        <f>U19-V19</f>
        <v>2404.02</v>
      </c>
      <c r="X19" s="204">
        <v>5481</v>
      </c>
      <c r="Y19" s="206">
        <v>1026.0899999999999</v>
      </c>
      <c r="Z19" s="206">
        <v>1088.9000000000001</v>
      </c>
      <c r="AA19" s="206">
        <v>-123</v>
      </c>
      <c r="AB19" s="204">
        <v>15406</v>
      </c>
    </row>
    <row r="20" spans="1:28" s="81" customFormat="1" ht="15" customHeight="1">
      <c r="A20" s="498">
        <v>2006</v>
      </c>
      <c r="B20" s="498">
        <v>5657.36</v>
      </c>
      <c r="C20" s="498">
        <v>4551.7700000000004</v>
      </c>
      <c r="D20" s="498">
        <v>-4415.92</v>
      </c>
      <c r="E20" s="498">
        <v>54591</v>
      </c>
      <c r="F20" s="499">
        <v>2372</v>
      </c>
      <c r="G20" s="498">
        <v>988.01</v>
      </c>
      <c r="H20" s="498">
        <v>2006</v>
      </c>
      <c r="I20" s="498">
        <v>624.12</v>
      </c>
      <c r="J20" s="498">
        <v>2384</v>
      </c>
      <c r="K20" s="498">
        <v>12757.48</v>
      </c>
      <c r="L20" s="498">
        <v>9400.6200000000008</v>
      </c>
      <c r="M20" s="498">
        <v>931.54</v>
      </c>
      <c r="N20" s="498">
        <v>42512</v>
      </c>
      <c r="O20" s="498">
        <v>20786.84</v>
      </c>
      <c r="P20" s="499">
        <v>14940.4</v>
      </c>
      <c r="Q20" s="498">
        <v>-2860.26</v>
      </c>
      <c r="R20" s="498">
        <v>99487</v>
      </c>
      <c r="S20" s="498">
        <v>2006</v>
      </c>
      <c r="T20" s="501" t="s">
        <v>826</v>
      </c>
      <c r="U20" s="502">
        <v>4279.41</v>
      </c>
      <c r="V20" s="502">
        <v>818.83</v>
      </c>
      <c r="W20" s="502">
        <v>3460.58</v>
      </c>
      <c r="X20" s="502">
        <v>5402</v>
      </c>
      <c r="Y20" s="503">
        <v>1234.32</v>
      </c>
      <c r="Z20" s="502">
        <v>1251.53</v>
      </c>
      <c r="AA20" s="503">
        <v>-143.62</v>
      </c>
      <c r="AB20" s="502">
        <v>15515</v>
      </c>
    </row>
    <row r="21" spans="1:28" s="81" customFormat="1" ht="15" customHeight="1">
      <c r="A21" s="204">
        <v>2007</v>
      </c>
      <c r="B21" s="204">
        <v>4713.37</v>
      </c>
      <c r="C21" s="204">
        <v>3243.54</v>
      </c>
      <c r="D21" s="206">
        <v>-809.1</v>
      </c>
      <c r="E21" s="204">
        <v>52177</v>
      </c>
      <c r="F21" s="206">
        <v>2656.66</v>
      </c>
      <c r="G21" s="204">
        <v>1266.5899999999999</v>
      </c>
      <c r="H21" s="204">
        <v>2007</v>
      </c>
      <c r="I21" s="204">
        <v>723.33</v>
      </c>
      <c r="J21" s="204">
        <v>2388</v>
      </c>
      <c r="K21" s="204">
        <v>16256.55</v>
      </c>
      <c r="L21" s="204">
        <v>11380.48</v>
      </c>
      <c r="M21" s="204">
        <v>1995.75</v>
      </c>
      <c r="N21" s="204">
        <v>45074</v>
      </c>
      <c r="O21" s="206">
        <v>23392.9</v>
      </c>
      <c r="P21" s="206">
        <v>15872.78</v>
      </c>
      <c r="Q21" s="204">
        <v>1909.98</v>
      </c>
      <c r="R21" s="204">
        <v>99639</v>
      </c>
      <c r="S21" s="204">
        <v>2007</v>
      </c>
      <c r="T21" s="81" t="s">
        <v>549</v>
      </c>
      <c r="U21" s="208">
        <v>4062.03</v>
      </c>
      <c r="V21" s="207">
        <v>909.2</v>
      </c>
      <c r="W21" s="208">
        <v>3152.83</v>
      </c>
      <c r="X21" s="208">
        <f>4031+1273</f>
        <v>5304</v>
      </c>
      <c r="Y21" s="208">
        <v>1472.26</v>
      </c>
      <c r="Z21" s="208">
        <v>1497.07</v>
      </c>
      <c r="AA21" s="208">
        <v>-167.17</v>
      </c>
      <c r="AB21" s="208">
        <v>15400</v>
      </c>
    </row>
    <row r="22" spans="1:28" s="208" customFormat="1" ht="15" customHeight="1">
      <c r="A22" s="498">
        <v>2008</v>
      </c>
      <c r="B22" s="498">
        <v>6750.95</v>
      </c>
      <c r="C22" s="498">
        <v>5227.88</v>
      </c>
      <c r="D22" s="498">
        <v>897.68</v>
      </c>
      <c r="E22" s="498">
        <v>53786</v>
      </c>
      <c r="F22" s="499">
        <v>3235.57</v>
      </c>
      <c r="G22" s="499">
        <v>1620.56</v>
      </c>
      <c r="H22" s="498">
        <v>2008</v>
      </c>
      <c r="I22" s="504">
        <v>1138.42</v>
      </c>
      <c r="J22" s="505">
        <v>2384</v>
      </c>
      <c r="K22" s="499">
        <v>21172.7</v>
      </c>
      <c r="L22" s="499">
        <v>14757.53</v>
      </c>
      <c r="M22" s="504">
        <v>2818.66</v>
      </c>
      <c r="N22" s="505">
        <v>46308</v>
      </c>
      <c r="O22" s="499">
        <v>31159.22</v>
      </c>
      <c r="P22" s="499">
        <v>21605.97</v>
      </c>
      <c r="Q22" s="499">
        <v>4854.76</v>
      </c>
      <c r="R22" s="505">
        <v>102478</v>
      </c>
      <c r="S22" s="498">
        <v>2008</v>
      </c>
      <c r="T22" s="501" t="s">
        <v>102</v>
      </c>
      <c r="U22" s="502">
        <v>3088.43</v>
      </c>
      <c r="V22" s="502">
        <v>582.63</v>
      </c>
      <c r="W22" s="503">
        <v>2505.8000000000002</v>
      </c>
      <c r="X22" s="502">
        <v>5259</v>
      </c>
      <c r="Y22" s="503">
        <v>1944.9</v>
      </c>
      <c r="Z22" s="502">
        <v>1685.01</v>
      </c>
      <c r="AA22" s="502">
        <v>40.159999999999997</v>
      </c>
      <c r="AB22" s="502">
        <v>15388</v>
      </c>
    </row>
    <row r="23" spans="1:28" s="208" customFormat="1" ht="15" customHeight="1">
      <c r="A23" s="204">
        <v>2009</v>
      </c>
      <c r="B23" s="204">
        <v>8026.68</v>
      </c>
      <c r="C23" s="204">
        <v>6083.51</v>
      </c>
      <c r="D23" s="204">
        <v>931.35</v>
      </c>
      <c r="E23" s="204">
        <v>50600</v>
      </c>
      <c r="F23" s="206">
        <v>2610.9499999999998</v>
      </c>
      <c r="G23" s="206">
        <v>1401.57</v>
      </c>
      <c r="H23" s="204">
        <v>2009</v>
      </c>
      <c r="I23" s="206">
        <v>708.78</v>
      </c>
      <c r="J23" s="215">
        <v>2760</v>
      </c>
      <c r="K23" s="206">
        <v>26262.19</v>
      </c>
      <c r="L23" s="206">
        <v>17911.02</v>
      </c>
      <c r="M23" s="206">
        <v>3947.72</v>
      </c>
      <c r="N23" s="215">
        <v>59874</v>
      </c>
      <c r="O23" s="206">
        <f t="shared" ref="O23:P25" si="0">B23+F23+K23</f>
        <v>36899.82</v>
      </c>
      <c r="P23" s="206">
        <f t="shared" si="0"/>
        <v>25396.1</v>
      </c>
      <c r="Q23" s="206">
        <f t="shared" ref="Q23:R25" si="1">D23+I23+M23</f>
        <v>5587.85</v>
      </c>
      <c r="R23" s="215">
        <f t="shared" si="1"/>
        <v>113234</v>
      </c>
      <c r="S23" s="204">
        <v>2009</v>
      </c>
      <c r="T23" s="81" t="s">
        <v>98</v>
      </c>
      <c r="U23" s="208">
        <v>1926.92</v>
      </c>
      <c r="V23" s="207">
        <v>639.1</v>
      </c>
      <c r="W23" s="207">
        <v>1287.82</v>
      </c>
      <c r="X23" s="208">
        <f>3914+1157</f>
        <v>5071</v>
      </c>
      <c r="Y23" s="208">
        <v>2327.42</v>
      </c>
      <c r="Z23" s="208">
        <v>2053.65</v>
      </c>
      <c r="AA23" s="208">
        <v>105.76</v>
      </c>
      <c r="AB23" s="208">
        <v>15293</v>
      </c>
    </row>
    <row r="24" spans="1:28" s="208" customFormat="1" ht="15" customHeight="1">
      <c r="A24" s="498">
        <v>2010</v>
      </c>
      <c r="B24" s="498">
        <v>10260.459999999999</v>
      </c>
      <c r="C24" s="498">
        <v>7163.33</v>
      </c>
      <c r="D24" s="498">
        <v>1176.26</v>
      </c>
      <c r="E24" s="498">
        <v>50069</v>
      </c>
      <c r="F24" s="499">
        <v>2632.77</v>
      </c>
      <c r="G24" s="499">
        <v>1338.96</v>
      </c>
      <c r="H24" s="498">
        <v>2010</v>
      </c>
      <c r="I24" s="499">
        <v>645.62</v>
      </c>
      <c r="J24" s="505">
        <v>3143</v>
      </c>
      <c r="K24" s="499">
        <v>32873.14</v>
      </c>
      <c r="L24" s="499">
        <v>20435.560000000001</v>
      </c>
      <c r="M24" s="499">
        <v>6032.03</v>
      </c>
      <c r="N24" s="505">
        <v>68720</v>
      </c>
      <c r="O24" s="499">
        <f t="shared" si="0"/>
        <v>45766.369999999995</v>
      </c>
      <c r="P24" s="499">
        <f t="shared" si="0"/>
        <v>28937.850000000002</v>
      </c>
      <c r="Q24" s="499">
        <f t="shared" si="1"/>
        <v>7853.91</v>
      </c>
      <c r="R24" s="505">
        <f t="shared" si="1"/>
        <v>121932</v>
      </c>
      <c r="S24" s="498">
        <v>2010</v>
      </c>
      <c r="T24" s="501" t="s">
        <v>241</v>
      </c>
      <c r="U24" s="502">
        <v>9862.5400000000009</v>
      </c>
      <c r="V24" s="503">
        <v>1019.94</v>
      </c>
      <c r="W24" s="502">
        <v>8842.59</v>
      </c>
      <c r="X24" s="502">
        <f>3848+1030</f>
        <v>4878</v>
      </c>
      <c r="Y24" s="503">
        <v>2610.5</v>
      </c>
      <c r="Z24" s="503">
        <v>2494.17</v>
      </c>
      <c r="AA24" s="502">
        <v>-58.41</v>
      </c>
      <c r="AB24" s="502">
        <v>14367</v>
      </c>
    </row>
    <row r="25" spans="1:28" s="556" customFormat="1" ht="15" customHeight="1">
      <c r="A25" s="740">
        <v>2011</v>
      </c>
      <c r="B25" s="741">
        <v>13224.12</v>
      </c>
      <c r="C25" s="741">
        <v>8569.5</v>
      </c>
      <c r="D25" s="740">
        <v>1799.33</v>
      </c>
      <c r="E25" s="740">
        <v>54025</v>
      </c>
      <c r="F25" s="741">
        <v>4378.41</v>
      </c>
      <c r="G25" s="741">
        <v>1925.6</v>
      </c>
      <c r="H25" s="740">
        <v>2011</v>
      </c>
      <c r="I25" s="741">
        <v>781.04</v>
      </c>
      <c r="J25" s="742">
        <v>3137</v>
      </c>
      <c r="K25" s="741">
        <v>41050.18</v>
      </c>
      <c r="L25" s="741">
        <v>29079.7</v>
      </c>
      <c r="M25" s="741">
        <v>6999.28</v>
      </c>
      <c r="N25" s="742">
        <v>75649</v>
      </c>
      <c r="O25" s="741">
        <f t="shared" si="0"/>
        <v>58652.71</v>
      </c>
      <c r="P25" s="741">
        <f t="shared" si="0"/>
        <v>39574.800000000003</v>
      </c>
      <c r="Q25" s="206">
        <f t="shared" si="1"/>
        <v>9579.65</v>
      </c>
      <c r="R25" s="215">
        <f t="shared" si="1"/>
        <v>132811</v>
      </c>
      <c r="S25" s="740">
        <v>2011</v>
      </c>
      <c r="T25" s="261" t="s">
        <v>1738</v>
      </c>
      <c r="U25" s="556">
        <v>8522.74</v>
      </c>
      <c r="V25" s="578">
        <v>1490.9978000000001</v>
      </c>
      <c r="W25" s="556">
        <v>7031.75</v>
      </c>
      <c r="X25" s="556">
        <v>4958</v>
      </c>
      <c r="Y25" s="578">
        <v>1818.91</v>
      </c>
      <c r="Z25" s="578">
        <v>1996.95</v>
      </c>
      <c r="AA25" s="578">
        <v>-208.04</v>
      </c>
      <c r="AB25" s="556">
        <v>13879</v>
      </c>
    </row>
    <row r="26" spans="1:28" s="556" customFormat="1" ht="15" customHeight="1">
      <c r="A26" s="498">
        <v>2012</v>
      </c>
      <c r="B26" s="499">
        <v>15725.253306500001</v>
      </c>
      <c r="C26" s="499">
        <v>11794.0446276</v>
      </c>
      <c r="D26" s="499">
        <v>-6522.876828200001</v>
      </c>
      <c r="E26" s="498">
        <v>57989</v>
      </c>
      <c r="F26" s="499">
        <v>5603.3493125000005</v>
      </c>
      <c r="G26" s="499">
        <v>2796.43</v>
      </c>
      <c r="H26" s="498">
        <v>2012</v>
      </c>
      <c r="I26" s="499">
        <v>1465.1193717000001</v>
      </c>
      <c r="J26" s="505">
        <v>3140</v>
      </c>
      <c r="K26" s="499">
        <v>52221.363523699983</v>
      </c>
      <c r="L26" s="499">
        <v>38973.794740899997</v>
      </c>
      <c r="M26" s="499">
        <v>3962.6805902000001</v>
      </c>
      <c r="N26" s="505">
        <v>81944</v>
      </c>
      <c r="O26" s="499">
        <f t="shared" ref="O26:P29" si="2">B26+F26+K26</f>
        <v>73549.966142699981</v>
      </c>
      <c r="P26" s="499">
        <f t="shared" si="2"/>
        <v>53564.269368499998</v>
      </c>
      <c r="Q26" s="499">
        <f t="shared" ref="Q26:R29" si="3">D26+I26+M26</f>
        <v>-1095.0768663000013</v>
      </c>
      <c r="R26" s="505">
        <f t="shared" si="3"/>
        <v>143073</v>
      </c>
      <c r="S26" s="498">
        <v>2012</v>
      </c>
      <c r="T26" s="840" t="s">
        <v>1782</v>
      </c>
      <c r="U26" s="502" t="s">
        <v>481</v>
      </c>
      <c r="V26" s="503" t="s">
        <v>481</v>
      </c>
      <c r="W26" s="502" t="s">
        <v>481</v>
      </c>
      <c r="X26" s="502" t="s">
        <v>481</v>
      </c>
      <c r="Y26" s="502">
        <f>252.03+1340.23</f>
        <v>1592.26</v>
      </c>
      <c r="Z26" s="502">
        <f>149.23+1079.22</f>
        <v>1228.45</v>
      </c>
      <c r="AA26" s="502">
        <f>83.7+2.79</f>
        <v>86.490000000000009</v>
      </c>
      <c r="AB26" s="502">
        <f>857+1657</f>
        <v>2514</v>
      </c>
    </row>
    <row r="27" spans="1:28" s="556" customFormat="1" ht="15" customHeight="1">
      <c r="A27" s="740">
        <v>2013</v>
      </c>
      <c r="B27" s="741">
        <v>16728.024012099999</v>
      </c>
      <c r="C27" s="741">
        <v>13949.002911900001</v>
      </c>
      <c r="D27" s="741">
        <v>2258.4407385999998</v>
      </c>
      <c r="E27" s="740">
        <v>58049</v>
      </c>
      <c r="F27" s="741">
        <v>5985.9425159000011</v>
      </c>
      <c r="G27" s="741">
        <v>3007.3867308999997</v>
      </c>
      <c r="H27" s="740">
        <v>2013</v>
      </c>
      <c r="I27" s="741">
        <v>1464.6336643</v>
      </c>
      <c r="J27" s="742">
        <v>3330</v>
      </c>
      <c r="K27" s="741">
        <v>57658.748551799996</v>
      </c>
      <c r="L27" s="741">
        <v>44904.274183500005</v>
      </c>
      <c r="M27" s="741">
        <v>4644.2722049999993</v>
      </c>
      <c r="N27" s="742">
        <v>85888</v>
      </c>
      <c r="O27" s="741">
        <f t="shared" si="2"/>
        <v>80372.715079799993</v>
      </c>
      <c r="P27" s="741">
        <f t="shared" si="2"/>
        <v>61860.663826300006</v>
      </c>
      <c r="Q27" s="741">
        <f t="shared" si="3"/>
        <v>8367.3466078999991</v>
      </c>
      <c r="R27" s="742">
        <f t="shared" si="3"/>
        <v>147267</v>
      </c>
      <c r="S27" s="740">
        <v>2013</v>
      </c>
      <c r="T27" s="839" t="s">
        <v>1333</v>
      </c>
      <c r="U27" s="556">
        <v>1685.34</v>
      </c>
      <c r="V27" s="578">
        <v>1380.9365</v>
      </c>
      <c r="W27" s="556">
        <v>304.41000000000003</v>
      </c>
      <c r="X27" s="556">
        <v>5239</v>
      </c>
      <c r="Y27" s="578">
        <v>1794.8927682999999</v>
      </c>
      <c r="Z27" s="578">
        <v>2210.8702908</v>
      </c>
      <c r="AA27" s="578">
        <v>-448.5010825</v>
      </c>
      <c r="AB27" s="556">
        <v>15034</v>
      </c>
    </row>
    <row r="28" spans="1:28" s="556" customFormat="1" ht="15" customHeight="1">
      <c r="A28" s="498">
        <v>2014</v>
      </c>
      <c r="B28" s="499">
        <v>18486.490000000002</v>
      </c>
      <c r="C28" s="499">
        <v>15256.82</v>
      </c>
      <c r="D28" s="499">
        <v>1227.44</v>
      </c>
      <c r="E28" s="498">
        <v>56187</v>
      </c>
      <c r="F28" s="499">
        <v>5906.7</v>
      </c>
      <c r="G28" s="499">
        <v>2721.73</v>
      </c>
      <c r="H28" s="498">
        <v>2014</v>
      </c>
      <c r="I28" s="499">
        <v>1706.03</v>
      </c>
      <c r="J28" s="505">
        <v>3880</v>
      </c>
      <c r="K28" s="499">
        <v>61356.65</v>
      </c>
      <c r="L28" s="499">
        <v>46637.05</v>
      </c>
      <c r="M28" s="499">
        <v>5511.02</v>
      </c>
      <c r="N28" s="505">
        <v>93624</v>
      </c>
      <c r="O28" s="499">
        <f t="shared" si="2"/>
        <v>85749.84</v>
      </c>
      <c r="P28" s="499">
        <f t="shared" si="2"/>
        <v>64615.600000000006</v>
      </c>
      <c r="Q28" s="499">
        <f t="shared" si="3"/>
        <v>8444.4900000000016</v>
      </c>
      <c r="R28" s="505">
        <f t="shared" si="3"/>
        <v>153691</v>
      </c>
      <c r="S28" s="498">
        <v>2014</v>
      </c>
      <c r="T28" s="840">
        <v>2013</v>
      </c>
      <c r="U28" s="502" t="s">
        <v>481</v>
      </c>
      <c r="V28" s="503" t="s">
        <v>481</v>
      </c>
      <c r="W28" s="502" t="s">
        <v>481</v>
      </c>
      <c r="X28" s="502" t="s">
        <v>481</v>
      </c>
      <c r="Y28" s="503">
        <v>2163.7902678</v>
      </c>
      <c r="Z28" s="503">
        <v>1791.2615637000001</v>
      </c>
      <c r="AA28" s="503">
        <v>48.857708699999996</v>
      </c>
      <c r="AB28" s="502">
        <v>2971</v>
      </c>
    </row>
    <row r="29" spans="1:28" s="556" customFormat="1" ht="15" customHeight="1">
      <c r="A29" s="208">
        <v>2015</v>
      </c>
      <c r="B29" s="128">
        <v>20782.27</v>
      </c>
      <c r="C29" s="128">
        <v>17852.88</v>
      </c>
      <c r="D29" s="1171">
        <v>365.93</v>
      </c>
      <c r="E29" s="1172">
        <v>58286</v>
      </c>
      <c r="F29" s="582">
        <v>5407.47</v>
      </c>
      <c r="G29" s="582">
        <v>2514.02</v>
      </c>
      <c r="H29" s="208">
        <v>2015</v>
      </c>
      <c r="I29" s="582">
        <v>1695.81</v>
      </c>
      <c r="J29" s="1173">
        <v>3876</v>
      </c>
      <c r="K29" s="582">
        <v>64033.43</v>
      </c>
      <c r="L29" s="582">
        <v>48463.98</v>
      </c>
      <c r="M29" s="582">
        <v>6145.79</v>
      </c>
      <c r="N29" s="1173">
        <v>92742</v>
      </c>
      <c r="O29" s="741">
        <f t="shared" si="2"/>
        <v>90223.17</v>
      </c>
      <c r="P29" s="741">
        <f t="shared" si="2"/>
        <v>68830.880000000005</v>
      </c>
      <c r="Q29" s="741">
        <f t="shared" si="3"/>
        <v>8207.5299999999988</v>
      </c>
      <c r="R29" s="742">
        <f t="shared" si="3"/>
        <v>154904</v>
      </c>
      <c r="S29" s="208">
        <v>2015</v>
      </c>
      <c r="T29" s="261" t="s">
        <v>1664</v>
      </c>
      <c r="U29" s="556">
        <v>5040.63</v>
      </c>
      <c r="V29" s="578">
        <v>1688.81</v>
      </c>
      <c r="W29" s="556">
        <v>3351.83</v>
      </c>
      <c r="X29" s="556">
        <v>5470</v>
      </c>
      <c r="Y29" s="578">
        <v>2035.3</v>
      </c>
      <c r="Z29" s="556">
        <v>2539.12</v>
      </c>
      <c r="AA29" s="556">
        <v>-3504.21</v>
      </c>
      <c r="AB29" s="556">
        <v>14237</v>
      </c>
    </row>
    <row r="30" spans="1:28" s="556" customFormat="1" ht="15" customHeight="1">
      <c r="A30" s="502">
        <v>2016</v>
      </c>
      <c r="B30" s="1433">
        <v>20405.580000000002</v>
      </c>
      <c r="C30" s="1433">
        <v>18437.03</v>
      </c>
      <c r="D30" s="1434">
        <v>-363.99</v>
      </c>
      <c r="E30" s="1435">
        <v>54405</v>
      </c>
      <c r="F30" s="587">
        <v>4405.96</v>
      </c>
      <c r="G30" s="587">
        <v>2009.23</v>
      </c>
      <c r="H30" s="502">
        <v>2016</v>
      </c>
      <c r="I30" s="587">
        <v>1385.13</v>
      </c>
      <c r="J30" s="1436">
        <v>3997</v>
      </c>
      <c r="K30" s="587">
        <v>66053.23</v>
      </c>
      <c r="L30" s="587">
        <v>48304.639999999999</v>
      </c>
      <c r="M30" s="587">
        <v>7075.22</v>
      </c>
      <c r="N30" s="1436">
        <v>101622</v>
      </c>
      <c r="O30" s="499">
        <f t="shared" ref="O30" si="4">B30+F30+K30</f>
        <v>90864.76999999999</v>
      </c>
      <c r="P30" s="499">
        <f t="shared" ref="P30" si="5">C30+G30+L30</f>
        <v>68750.899999999994</v>
      </c>
      <c r="Q30" s="499">
        <f t="shared" ref="Q30" si="6">D30+I30+M30</f>
        <v>8096.3600000000006</v>
      </c>
      <c r="R30" s="505">
        <f t="shared" ref="R30" si="7">E30+J30+N30</f>
        <v>160024</v>
      </c>
      <c r="S30" s="502">
        <v>2016</v>
      </c>
      <c r="T30" s="840">
        <v>2014</v>
      </c>
      <c r="U30" s="502" t="s">
        <v>481</v>
      </c>
      <c r="V30" s="503" t="s">
        <v>481</v>
      </c>
      <c r="W30" s="502" t="s">
        <v>481</v>
      </c>
      <c r="X30" s="502" t="s">
        <v>481</v>
      </c>
      <c r="Y30" s="502">
        <v>1988.85</v>
      </c>
      <c r="Z30" s="502">
        <v>1951.38</v>
      </c>
      <c r="AA30" s="502">
        <v>2.91</v>
      </c>
      <c r="AB30" s="502">
        <v>3115</v>
      </c>
    </row>
    <row r="31" spans="1:28" ht="15" customHeight="1" thickBot="1">
      <c r="A31" s="1442">
        <v>2017</v>
      </c>
      <c r="B31" s="1442">
        <v>20829.87</v>
      </c>
      <c r="C31" s="1442">
        <v>17032.490000000002</v>
      </c>
      <c r="D31" s="1442">
        <v>1091.04</v>
      </c>
      <c r="E31" s="1442">
        <v>51483</v>
      </c>
      <c r="F31" s="1442">
        <v>4369.22</v>
      </c>
      <c r="G31" s="1442">
        <v>2027.35</v>
      </c>
      <c r="H31" s="1442">
        <v>2017</v>
      </c>
      <c r="I31" s="1442">
        <v>1324.35</v>
      </c>
      <c r="J31" s="1442">
        <v>4003</v>
      </c>
      <c r="K31" s="1437">
        <v>71888.84</v>
      </c>
      <c r="L31" s="1437">
        <v>53138.79</v>
      </c>
      <c r="M31" s="1437">
        <v>6877.83</v>
      </c>
      <c r="N31" s="1438">
        <v>107255</v>
      </c>
      <c r="O31" s="1437">
        <f t="shared" ref="O31" si="8">B31+F31+K31</f>
        <v>97087.93</v>
      </c>
      <c r="P31" s="1437">
        <f t="shared" ref="P31" si="9">C31+G31+L31</f>
        <v>72198.63</v>
      </c>
      <c r="Q31" s="1437">
        <f t="shared" ref="Q31" si="10">D31+I31+M31</f>
        <v>9293.2199999999993</v>
      </c>
      <c r="R31" s="1438">
        <f t="shared" ref="R31" si="11">E31+J31+N31</f>
        <v>162741</v>
      </c>
      <c r="S31" s="1439">
        <v>2017</v>
      </c>
      <c r="T31" s="261" t="s">
        <v>1754</v>
      </c>
      <c r="U31" s="556">
        <v>2807.48</v>
      </c>
      <c r="V31" s="578">
        <v>5430.4471999999996</v>
      </c>
      <c r="W31" s="578">
        <v>-2622.97</v>
      </c>
      <c r="X31" s="556">
        <v>6067</v>
      </c>
      <c r="Y31" s="556">
        <v>2105.12</v>
      </c>
      <c r="Z31" s="556">
        <v>2551.56</v>
      </c>
      <c r="AA31" s="578">
        <v>-247.5</v>
      </c>
      <c r="AB31" s="556">
        <v>14094</v>
      </c>
    </row>
    <row r="32" spans="1:28" ht="15" customHeight="1">
      <c r="K32" s="96"/>
      <c r="L32" s="96"/>
      <c r="M32" s="96"/>
      <c r="N32" s="96"/>
      <c r="O32" s="96"/>
      <c r="P32" s="96"/>
      <c r="Q32" s="96"/>
      <c r="R32" s="96"/>
      <c r="S32" s="96"/>
      <c r="T32" s="501" t="s">
        <v>1954</v>
      </c>
      <c r="U32" s="502">
        <v>3502.18</v>
      </c>
      <c r="V32" s="503">
        <v>3349.1619999999998</v>
      </c>
      <c r="W32" s="503">
        <v>153.02000000000001</v>
      </c>
      <c r="X32" s="502">
        <v>5726</v>
      </c>
      <c r="Y32" s="503">
        <v>2060.8000000000002</v>
      </c>
      <c r="Z32" s="503">
        <v>2816.86</v>
      </c>
      <c r="AA32" s="502">
        <v>-674.71</v>
      </c>
      <c r="AB32" s="502">
        <v>13200</v>
      </c>
    </row>
    <row r="33" spans="1:28" ht="15" customHeight="1">
      <c r="A33" s="841" t="s">
        <v>610</v>
      </c>
      <c r="B33" s="842" t="s">
        <v>2123</v>
      </c>
      <c r="C33" s="35"/>
      <c r="D33" s="741"/>
      <c r="E33" s="740"/>
      <c r="F33" s="741"/>
      <c r="G33" s="741"/>
      <c r="H33" s="740"/>
      <c r="I33" s="741"/>
      <c r="J33" s="742"/>
      <c r="K33" s="96"/>
      <c r="L33" s="96"/>
      <c r="M33" s="96"/>
      <c r="N33" s="96"/>
      <c r="O33" s="96"/>
      <c r="P33" s="96"/>
      <c r="Q33" s="96"/>
      <c r="R33" s="96"/>
      <c r="S33" s="96"/>
      <c r="T33" s="261" t="s">
        <v>2046</v>
      </c>
      <c r="U33" s="578">
        <v>10866.435799999999</v>
      </c>
      <c r="V33" s="578">
        <v>3379.3724000000002</v>
      </c>
      <c r="W33" s="578">
        <f>U33-V33</f>
        <v>7487.0633999999991</v>
      </c>
      <c r="X33" s="556">
        <v>5664</v>
      </c>
      <c r="Y33" s="578">
        <v>2155</v>
      </c>
      <c r="Z33" s="578">
        <v>2921.68</v>
      </c>
      <c r="AA33" s="556">
        <v>-555.75</v>
      </c>
      <c r="AB33" s="556">
        <v>12286</v>
      </c>
    </row>
    <row r="34" spans="1:28" ht="15" customHeight="1" thickBot="1">
      <c r="A34" s="841"/>
      <c r="B34" s="2209" t="s">
        <v>2047</v>
      </c>
      <c r="C34" s="2209"/>
      <c r="D34" s="2209"/>
      <c r="E34" s="2209"/>
      <c r="F34" s="1638"/>
      <c r="G34" s="1638"/>
      <c r="H34" s="1638"/>
      <c r="I34" s="1638"/>
      <c r="J34" s="1638"/>
      <c r="K34" s="96"/>
      <c r="L34" s="96"/>
      <c r="M34" s="96"/>
      <c r="N34" s="96"/>
      <c r="O34" s="1443"/>
      <c r="P34" s="96"/>
      <c r="Q34" s="96"/>
      <c r="R34" s="96"/>
      <c r="S34" s="96"/>
      <c r="T34" s="1440" t="s">
        <v>2268</v>
      </c>
      <c r="U34" s="1441">
        <v>14247.9123</v>
      </c>
      <c r="V34" s="1441">
        <v>4583.1831000000002</v>
      </c>
      <c r="W34" s="1441">
        <f>U34-V34</f>
        <v>9664.7291999999998</v>
      </c>
      <c r="X34" s="1035">
        <v>5757</v>
      </c>
      <c r="Y34" s="1441" t="s">
        <v>481</v>
      </c>
      <c r="Z34" s="1441" t="s">
        <v>481</v>
      </c>
      <c r="AA34" s="1035" t="s">
        <v>481</v>
      </c>
      <c r="AB34" s="1035" t="s">
        <v>481</v>
      </c>
    </row>
    <row r="35" spans="1:28" ht="19.149999999999999" customHeight="1">
      <c r="A35" s="176"/>
      <c r="K35" s="96"/>
      <c r="L35" s="96"/>
      <c r="M35" s="96"/>
      <c r="N35" s="96"/>
      <c r="O35" s="96"/>
      <c r="P35" s="96"/>
      <c r="Q35" s="96"/>
      <c r="R35" s="96"/>
      <c r="S35" s="96"/>
      <c r="T35" s="2205" t="s">
        <v>2389</v>
      </c>
      <c r="U35" s="2205"/>
      <c r="V35" s="2205"/>
      <c r="W35" s="2205"/>
      <c r="X35" s="2205"/>
      <c r="Y35" s="2205"/>
      <c r="Z35" s="2205"/>
      <c r="AA35" s="2205"/>
      <c r="AB35" s="2205"/>
    </row>
    <row r="36" spans="1:28" ht="19.5" customHeight="1">
      <c r="B36" s="306"/>
      <c r="C36" s="306"/>
      <c r="D36" s="6"/>
      <c r="K36" s="174"/>
      <c r="L36" s="174"/>
      <c r="M36" s="174"/>
      <c r="N36" s="174"/>
      <c r="O36" s="1174"/>
      <c r="P36" s="1174"/>
      <c r="Q36" s="1174"/>
      <c r="R36" s="1174"/>
      <c r="S36" s="174"/>
      <c r="T36" s="2204" t="s">
        <v>2390</v>
      </c>
      <c r="U36" s="2204"/>
      <c r="V36" s="2204"/>
      <c r="W36" s="2204"/>
      <c r="X36" s="2204"/>
      <c r="Y36" s="2204"/>
      <c r="Z36" s="2204"/>
      <c r="AA36" s="2204"/>
      <c r="AB36" s="2204"/>
    </row>
    <row r="37" spans="1:28" ht="19.5" customHeight="1">
      <c r="A37" s="178"/>
      <c r="B37" s="178"/>
      <c r="K37" s="181"/>
      <c r="L37" s="181"/>
      <c r="M37" s="181"/>
      <c r="N37" s="181"/>
      <c r="O37" s="1175"/>
      <c r="P37" s="1175"/>
      <c r="Q37" s="1175"/>
      <c r="R37" s="1175"/>
      <c r="S37" s="181"/>
      <c r="T37" s="2204" t="s">
        <v>2238</v>
      </c>
      <c r="U37" s="2204"/>
      <c r="V37" s="2204"/>
      <c r="W37" s="2204"/>
      <c r="X37" s="2204"/>
      <c r="Y37" s="2204"/>
      <c r="Z37" s="2204"/>
      <c r="AA37" s="2204"/>
      <c r="AB37" s="2204"/>
    </row>
    <row r="38" spans="1:28" ht="11.25" customHeight="1">
      <c r="A38" s="178"/>
      <c r="B38" s="178"/>
      <c r="K38" s="181"/>
      <c r="L38" s="181"/>
      <c r="M38" s="181"/>
      <c r="N38" s="181"/>
      <c r="O38" s="181"/>
      <c r="P38" s="181"/>
      <c r="Q38" s="181"/>
      <c r="R38" s="181"/>
      <c r="S38" s="181"/>
      <c r="T38" s="2202" t="s">
        <v>2137</v>
      </c>
      <c r="U38" s="2202"/>
      <c r="V38" s="2202"/>
      <c r="W38" s="2202"/>
      <c r="X38" s="2202"/>
      <c r="Y38" s="2202"/>
    </row>
    <row r="39" spans="1:28" ht="15.75">
      <c r="I39" s="251"/>
      <c r="K39" s="96"/>
      <c r="O39" s="1194"/>
      <c r="P39" s="1194"/>
      <c r="Q39" s="1194"/>
      <c r="R39" s="1194"/>
    </row>
    <row r="40" spans="1:28">
      <c r="I40" s="251"/>
      <c r="K40" s="96"/>
    </row>
    <row r="41" spans="1:28">
      <c r="I41" s="251"/>
      <c r="K41" s="96"/>
    </row>
    <row r="42" spans="1:28" ht="15">
      <c r="K42" s="96"/>
      <c r="Y42" s="1195"/>
      <c r="Z42" s="1195"/>
      <c r="AA42" s="1195"/>
      <c r="AB42" s="1195"/>
    </row>
    <row r="43" spans="1:28" ht="15">
      <c r="K43" s="96"/>
      <c r="W43" s="245"/>
      <c r="Y43" s="1195"/>
      <c r="Z43" s="1195"/>
      <c r="AA43" s="1195"/>
      <c r="AB43" s="1195"/>
    </row>
    <row r="44" spans="1:28" ht="15">
      <c r="K44" s="96"/>
      <c r="Y44" s="1193"/>
      <c r="Z44" s="1193"/>
      <c r="AA44" s="1193"/>
      <c r="AB44" s="1193"/>
    </row>
    <row r="45" spans="1:28" ht="15">
      <c r="K45" s="96"/>
      <c r="Y45" s="1195"/>
      <c r="Z45" s="1195"/>
      <c r="AA45" s="1195"/>
      <c r="AB45" s="1195"/>
    </row>
    <row r="46" spans="1:28">
      <c r="K46" s="96"/>
    </row>
    <row r="47" spans="1:28">
      <c r="K47" s="96"/>
    </row>
    <row r="48" spans="1:28">
      <c r="K48" s="96"/>
    </row>
    <row r="49" spans="1:19">
      <c r="K49" s="96"/>
    </row>
    <row r="50" spans="1:19">
      <c r="K50" s="96"/>
    </row>
    <row r="51" spans="1:19">
      <c r="K51" s="96"/>
    </row>
    <row r="52" spans="1:19">
      <c r="K52" s="96"/>
    </row>
    <row r="53" spans="1:19">
      <c r="K53" s="96"/>
    </row>
    <row r="54" spans="1:19">
      <c r="K54" s="96"/>
    </row>
    <row r="55" spans="1:19">
      <c r="K55" s="96"/>
    </row>
    <row r="56" spans="1:19">
      <c r="K56" s="96"/>
    </row>
    <row r="57" spans="1:19">
      <c r="K57" s="96"/>
    </row>
    <row r="58" spans="1:19" ht="11.25" customHeight="1">
      <c r="K58" s="96"/>
    </row>
    <row r="59" spans="1:19">
      <c r="K59" s="96"/>
    </row>
    <row r="60" spans="1:19">
      <c r="A60" s="96"/>
      <c r="B60" s="96"/>
      <c r="C60" s="96"/>
      <c r="D60" s="96"/>
      <c r="E60" s="96"/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</row>
    <row r="61" spans="1:19">
      <c r="A61" s="96"/>
      <c r="B61" s="96"/>
      <c r="C61" s="96"/>
      <c r="D61" s="96"/>
      <c r="E61" s="96"/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</row>
  </sheetData>
  <mergeCells count="39">
    <mergeCell ref="T2:Y2"/>
    <mergeCell ref="Z2:AB2"/>
    <mergeCell ref="U5:U6"/>
    <mergeCell ref="W5:W6"/>
    <mergeCell ref="AA5:AA6"/>
    <mergeCell ref="AB5:AB6"/>
    <mergeCell ref="X5:X6"/>
    <mergeCell ref="V5:V6"/>
    <mergeCell ref="T4:T6"/>
    <mergeCell ref="U4:X4"/>
    <mergeCell ref="AA3:AB3"/>
    <mergeCell ref="Y5:Y6"/>
    <mergeCell ref="Z5:Z6"/>
    <mergeCell ref="T3:Z3"/>
    <mergeCell ref="R2:S2"/>
    <mergeCell ref="O2:Q2"/>
    <mergeCell ref="R3:S3"/>
    <mergeCell ref="F3:G3"/>
    <mergeCell ref="A4:A6"/>
    <mergeCell ref="B4:G4"/>
    <mergeCell ref="B5:E5"/>
    <mergeCell ref="B34:E34"/>
    <mergeCell ref="A2:E2"/>
    <mergeCell ref="A3:E3"/>
    <mergeCell ref="F2:G2"/>
    <mergeCell ref="I5:J5"/>
    <mergeCell ref="I2:N2"/>
    <mergeCell ref="M3:N3"/>
    <mergeCell ref="F5:G5"/>
    <mergeCell ref="T38:Y38"/>
    <mergeCell ref="H4:H6"/>
    <mergeCell ref="S4:S6"/>
    <mergeCell ref="K5:N5"/>
    <mergeCell ref="Y4:AB4"/>
    <mergeCell ref="I4:R4"/>
    <mergeCell ref="T37:AB37"/>
    <mergeCell ref="T35:AB35"/>
    <mergeCell ref="T36:AB36"/>
    <mergeCell ref="O5:R5"/>
  </mergeCells>
  <phoneticPr fontId="0" type="noConversion"/>
  <pageMargins left="0.62992125984252001" right="0.59055118110236204" top="0.511811023622047" bottom="0.511811023622047" header="0" footer="0.74803149606299202"/>
  <pageSetup paperSize="448" firstPageNumber="79" orientation="portrait" useFirstPageNumber="1" r:id="rId1"/>
  <headerFooter alignWithMargins="0">
    <oddFooter>&amp;C&amp;"Times New Roman,Regular"&amp;8&amp;P</oddFooter>
  </headerFooter>
</worksheet>
</file>

<file path=xl/worksheets/sheet31.xml><?xml version="1.0" encoding="utf-8"?>
<worksheet xmlns="http://schemas.openxmlformats.org/spreadsheetml/2006/main" xmlns:r="http://schemas.openxmlformats.org/officeDocument/2006/relationships">
  <sheetPr codeName="Sheet31"/>
  <dimension ref="A1:J98"/>
  <sheetViews>
    <sheetView zoomScale="130" zoomScaleNormal="130" workbookViewId="0">
      <pane xSplit="1" ySplit="3" topLeftCell="B31" activePane="bottomRight" state="frozen"/>
      <selection pane="topRight" activeCell="C1" sqref="C1"/>
      <selection pane="bottomLeft" activeCell="A4" sqref="A4"/>
      <selection pane="bottomRight" activeCell="E39" sqref="E39"/>
    </sheetView>
  </sheetViews>
  <sheetFormatPr defaultColWidth="9.140625" defaultRowHeight="11.25"/>
  <cols>
    <col min="1" max="1" width="12.28515625" style="8" customWidth="1"/>
    <col min="2" max="2" width="19.85546875" style="50" customWidth="1"/>
    <col min="3" max="3" width="20.28515625" style="50" customWidth="1"/>
    <col min="4" max="4" width="20.85546875" style="50" customWidth="1"/>
    <col min="5" max="5" width="12.42578125" style="50" customWidth="1"/>
    <col min="6" max="6" width="10" style="50" bestFit="1" customWidth="1"/>
    <col min="7" max="10" width="9.140625" style="50"/>
    <col min="11" max="11" width="11.28515625" style="50" customWidth="1"/>
    <col min="12" max="12" width="8.7109375" style="50" customWidth="1"/>
    <col min="13" max="15" width="9.140625" style="50"/>
    <col min="16" max="16" width="11.85546875" style="50" customWidth="1"/>
    <col min="17" max="16384" width="9.140625" style="50"/>
  </cols>
  <sheetData>
    <row r="1" spans="1:7" s="183" customFormat="1" ht="47.25" customHeight="1">
      <c r="A1" s="2217" t="s">
        <v>2198</v>
      </c>
      <c r="B1" s="2217"/>
      <c r="C1" s="2217"/>
      <c r="D1" s="185" t="s">
        <v>614</v>
      </c>
      <c r="E1" s="184"/>
      <c r="F1" s="184"/>
      <c r="G1" s="184"/>
    </row>
    <row r="2" spans="1:7" s="186" customFormat="1" ht="12" customHeight="1">
      <c r="A2" s="2030" t="s">
        <v>76</v>
      </c>
      <c r="B2" s="2218" t="s">
        <v>77</v>
      </c>
      <c r="C2" s="1910" t="s">
        <v>78</v>
      </c>
      <c r="D2" s="2220"/>
    </row>
    <row r="3" spans="1:7" s="186" customFormat="1" ht="12.75" customHeight="1">
      <c r="A3" s="2030"/>
      <c r="B3" s="2219"/>
      <c r="C3" s="1259" t="s">
        <v>1893</v>
      </c>
      <c r="D3" s="1259" t="s">
        <v>67</v>
      </c>
    </row>
    <row r="4" spans="1:7" ht="14.45" customHeight="1">
      <c r="A4" s="454" t="s">
        <v>549</v>
      </c>
      <c r="B4" s="1130">
        <v>981102</v>
      </c>
      <c r="C4" s="437">
        <v>7914.78</v>
      </c>
      <c r="D4" s="440">
        <v>54295.16</v>
      </c>
      <c r="E4" s="1083"/>
      <c r="F4" s="1081"/>
    </row>
    <row r="5" spans="1:7" s="315" customFormat="1" ht="14.45" customHeight="1">
      <c r="A5" s="526" t="s">
        <v>102</v>
      </c>
      <c r="B5" s="726">
        <v>650059</v>
      </c>
      <c r="C5" s="39">
        <v>9689.26</v>
      </c>
      <c r="D5" s="40">
        <v>66676.509999999995</v>
      </c>
      <c r="E5" s="1083"/>
      <c r="F5" s="1083"/>
    </row>
    <row r="6" spans="1:7" ht="14.45" customHeight="1">
      <c r="A6" s="472" t="s">
        <v>98</v>
      </c>
      <c r="B6" s="478">
        <v>427180</v>
      </c>
      <c r="C6" s="437">
        <v>10987.4</v>
      </c>
      <c r="D6" s="440">
        <v>76010.833200000008</v>
      </c>
      <c r="E6" s="1081"/>
      <c r="F6" s="1081"/>
    </row>
    <row r="7" spans="1:7" s="315" customFormat="1" ht="14.45" customHeight="1">
      <c r="A7" s="526" t="s">
        <v>241</v>
      </c>
      <c r="B7" s="726">
        <v>439375</v>
      </c>
      <c r="C7" s="39">
        <v>11650.32</v>
      </c>
      <c r="D7" s="40">
        <v>83008.885067382464</v>
      </c>
      <c r="E7" s="1083"/>
      <c r="F7" s="1083"/>
    </row>
    <row r="8" spans="1:7" s="315" customFormat="1" ht="14.45" customHeight="1">
      <c r="A8" s="472" t="s">
        <v>1142</v>
      </c>
      <c r="B8" s="478">
        <v>691402</v>
      </c>
      <c r="C8" s="437">
        <v>12843.429999999998</v>
      </c>
      <c r="D8" s="440">
        <v>101591.53129999999</v>
      </c>
      <c r="E8" s="1083"/>
      <c r="F8" s="1081"/>
    </row>
    <row r="9" spans="1:7" s="315" customFormat="1" ht="14.45" customHeight="1">
      <c r="A9" s="526" t="s">
        <v>1333</v>
      </c>
      <c r="B9" s="726">
        <v>441301</v>
      </c>
      <c r="C9" s="39">
        <v>14461.15</v>
      </c>
      <c r="D9" s="40">
        <v>115646.15801927802</v>
      </c>
      <c r="E9" s="1083"/>
      <c r="F9" s="1083"/>
    </row>
    <row r="10" spans="1:7" s="315" customFormat="1" ht="14.45" customHeight="1">
      <c r="A10" s="472" t="s">
        <v>1664</v>
      </c>
      <c r="B10" s="441">
        <v>408870</v>
      </c>
      <c r="C10" s="440">
        <v>14228.3</v>
      </c>
      <c r="D10" s="440">
        <v>110582.38341698999</v>
      </c>
      <c r="E10" s="1083"/>
      <c r="F10" s="1081"/>
    </row>
    <row r="11" spans="1:7" s="315" customFormat="1" ht="14.45" customHeight="1">
      <c r="A11" s="526" t="s">
        <v>1754</v>
      </c>
      <c r="B11" s="1427">
        <v>461829</v>
      </c>
      <c r="C11" s="1427">
        <v>15316.91</v>
      </c>
      <c r="D11" s="1428">
        <v>118982.31547276099</v>
      </c>
      <c r="E11" s="1083"/>
      <c r="F11" s="1083"/>
    </row>
    <row r="12" spans="1:7" s="315" customFormat="1" ht="14.45" customHeight="1">
      <c r="A12" s="880" t="s">
        <v>1954</v>
      </c>
      <c r="B12" s="881">
        <v>684537</v>
      </c>
      <c r="C12" s="1676">
        <v>14931.18</v>
      </c>
      <c r="D12" s="1676">
        <v>116856.72088078099</v>
      </c>
      <c r="E12" s="1083"/>
      <c r="F12" s="1081"/>
    </row>
    <row r="13" spans="1:7" s="315" customFormat="1" ht="14.45" customHeight="1">
      <c r="A13" s="843" t="s">
        <v>2070</v>
      </c>
      <c r="B13" s="1008">
        <v>905326</v>
      </c>
      <c r="C13" s="1009">
        <v>12769.45</v>
      </c>
      <c r="D13" s="1009">
        <v>101098.96241416999</v>
      </c>
      <c r="E13" s="1083"/>
      <c r="F13" s="1083"/>
    </row>
    <row r="14" spans="1:7" s="315" customFormat="1" ht="14.45" customHeight="1">
      <c r="A14" s="1024" t="s">
        <v>2268</v>
      </c>
      <c r="B14" s="1054">
        <f>SUM(B15:B26)</f>
        <v>880037</v>
      </c>
      <c r="C14" s="1055">
        <f>SUM(C15:C26)</f>
        <v>14981.689999999999</v>
      </c>
      <c r="D14" s="1055">
        <f>SUM(D15:D26)</f>
        <v>123156.004940445</v>
      </c>
      <c r="E14" s="1083"/>
      <c r="F14" s="1083"/>
    </row>
    <row r="15" spans="1:7" s="315" customFormat="1" ht="14.45" customHeight="1">
      <c r="A15" s="799" t="s">
        <v>818</v>
      </c>
      <c r="B15" s="1048">
        <v>76215</v>
      </c>
      <c r="C15" s="878">
        <v>1115.5700000000002</v>
      </c>
      <c r="D15" s="389">
        <v>8994.4169934000001</v>
      </c>
      <c r="E15" s="1083"/>
      <c r="F15" s="1083"/>
    </row>
    <row r="16" spans="1:7" s="315" customFormat="1" ht="14.45" customHeight="1">
      <c r="A16" s="880" t="s">
        <v>819</v>
      </c>
      <c r="B16" s="1039">
        <v>93341</v>
      </c>
      <c r="C16" s="882">
        <v>1418.58</v>
      </c>
      <c r="D16" s="434">
        <v>11447.046894600002</v>
      </c>
      <c r="E16" s="1083"/>
      <c r="F16" s="1083"/>
    </row>
    <row r="17" spans="1:10" s="315" customFormat="1" ht="14.45" customHeight="1">
      <c r="A17" s="799" t="s">
        <v>813</v>
      </c>
      <c r="B17" s="1048">
        <v>46415</v>
      </c>
      <c r="C17" s="878">
        <v>856.87000000000012</v>
      </c>
      <c r="D17" s="389">
        <v>6917.9742197999985</v>
      </c>
      <c r="E17" s="1083"/>
      <c r="F17" s="1083"/>
    </row>
    <row r="18" spans="1:10" s="315" customFormat="1" ht="14.45" customHeight="1">
      <c r="A18" s="880" t="s">
        <v>820</v>
      </c>
      <c r="B18" s="1039">
        <v>98312</v>
      </c>
      <c r="C18" s="882">
        <v>1162.77</v>
      </c>
      <c r="D18" s="434">
        <v>9397.5286512450002</v>
      </c>
      <c r="E18" s="1083"/>
      <c r="F18" s="1083"/>
    </row>
    <row r="19" spans="1:10" s="315" customFormat="1" ht="14.45" customHeight="1">
      <c r="A19" s="799" t="s">
        <v>821</v>
      </c>
      <c r="B19" s="1048">
        <v>97059</v>
      </c>
      <c r="C19" s="878">
        <v>1214.75</v>
      </c>
      <c r="D19" s="389">
        <v>9870.4511249999996</v>
      </c>
      <c r="E19" s="1083"/>
      <c r="F19" s="1083"/>
    </row>
    <row r="20" spans="1:10" s="315" customFormat="1" ht="14.45" customHeight="1">
      <c r="A20" s="880" t="s">
        <v>814</v>
      </c>
      <c r="B20" s="1039">
        <v>76693</v>
      </c>
      <c r="C20" s="882">
        <v>1163.8200000000002</v>
      </c>
      <c r="D20" s="434">
        <v>9607.5668640000004</v>
      </c>
      <c r="E20" s="1083"/>
      <c r="F20" s="1083"/>
    </row>
    <row r="21" spans="1:10" s="315" customFormat="1" ht="14.45" customHeight="1">
      <c r="A21" s="799" t="s">
        <v>822</v>
      </c>
      <c r="B21" s="1048">
        <v>81846</v>
      </c>
      <c r="C21" s="878">
        <v>1379.7899999999997</v>
      </c>
      <c r="D21" s="389">
        <v>11426.730884999999</v>
      </c>
      <c r="E21" s="1083"/>
      <c r="F21" s="1083"/>
    </row>
    <row r="22" spans="1:10" s="315" customFormat="1" ht="14.45" customHeight="1">
      <c r="A22" s="880" t="s">
        <v>823</v>
      </c>
      <c r="B22" s="1039">
        <v>59382</v>
      </c>
      <c r="C22" s="1039">
        <v>1149.08</v>
      </c>
      <c r="D22" s="1385">
        <v>9528.1253968000001</v>
      </c>
      <c r="E22" s="1083"/>
      <c r="F22" s="1083"/>
    </row>
    <row r="23" spans="1:10" s="315" customFormat="1" ht="14.45" customHeight="1">
      <c r="A23" s="799" t="s">
        <v>815</v>
      </c>
      <c r="B23" s="1048">
        <v>62973</v>
      </c>
      <c r="C23" s="878">
        <v>1299.7699999999998</v>
      </c>
      <c r="D23" s="389">
        <v>10782.891919999996</v>
      </c>
      <c r="E23" s="1083"/>
      <c r="F23" s="1083"/>
    </row>
    <row r="24" spans="1:10" s="315" customFormat="1" ht="14.45" customHeight="1">
      <c r="A24" s="880" t="s">
        <v>824</v>
      </c>
      <c r="B24" s="1039">
        <v>69103</v>
      </c>
      <c r="C24" s="882">
        <v>1331.3299999999997</v>
      </c>
      <c r="D24" s="434">
        <v>11046.657421799997</v>
      </c>
      <c r="E24" s="1083"/>
      <c r="F24" s="1083"/>
    </row>
    <row r="25" spans="1:10" s="315" customFormat="1" ht="14.45" customHeight="1">
      <c r="A25" s="799" t="s">
        <v>825</v>
      </c>
      <c r="B25" s="1048">
        <v>73723</v>
      </c>
      <c r="C25" s="878">
        <v>1504.98</v>
      </c>
      <c r="D25" s="389">
        <v>12549.215530800002</v>
      </c>
      <c r="E25" s="1083"/>
      <c r="F25" s="1083"/>
    </row>
    <row r="26" spans="1:10" s="315" customFormat="1" ht="14.45" customHeight="1">
      <c r="A26" s="880" t="s">
        <v>816</v>
      </c>
      <c r="B26" s="1039">
        <v>44975</v>
      </c>
      <c r="C26" s="882">
        <v>1384.38</v>
      </c>
      <c r="D26" s="434">
        <v>11587.399038000001</v>
      </c>
      <c r="E26" s="1083"/>
      <c r="F26" s="1083"/>
    </row>
    <row r="27" spans="1:10" s="315" customFormat="1" ht="14.45" customHeight="1">
      <c r="A27" s="843" t="s">
        <v>2524</v>
      </c>
      <c r="B27" s="1048"/>
      <c r="C27" s="878"/>
      <c r="D27" s="389"/>
      <c r="E27" s="1083"/>
      <c r="F27" s="1083"/>
    </row>
    <row r="28" spans="1:10" s="315" customFormat="1" ht="14.45" customHeight="1">
      <c r="A28" s="880" t="s">
        <v>818</v>
      </c>
      <c r="B28" s="1039">
        <v>58627</v>
      </c>
      <c r="C28" s="882">
        <v>1318.18</v>
      </c>
      <c r="D28" s="434">
        <v>11039.3884096</v>
      </c>
      <c r="E28" s="1083"/>
      <c r="F28" s="1083"/>
      <c r="J28" s="1083"/>
    </row>
    <row r="29" spans="1:10" s="315" customFormat="1" ht="14.45" customHeight="1">
      <c r="A29" s="799" t="s">
        <v>819</v>
      </c>
      <c r="B29" s="1048">
        <v>49727</v>
      </c>
      <c r="C29" s="878">
        <v>1411.05</v>
      </c>
      <c r="D29" s="389">
        <v>11817.543750000001</v>
      </c>
      <c r="E29" s="1083"/>
      <c r="F29" s="1083"/>
    </row>
    <row r="30" spans="1:10" ht="14.45" customHeight="1">
      <c r="A30" s="880" t="s">
        <v>813</v>
      </c>
      <c r="B30" s="1135">
        <v>55037</v>
      </c>
      <c r="C30" s="882">
        <v>1139.6600000000001</v>
      </c>
      <c r="D30" s="434">
        <v>9544.6525000000001</v>
      </c>
      <c r="E30" s="315"/>
      <c r="F30" s="315"/>
    </row>
    <row r="31" spans="1:10" ht="14.45" customHeight="1">
      <c r="A31" s="799" t="s">
        <v>820</v>
      </c>
      <c r="B31" s="1562">
        <v>59192</v>
      </c>
      <c r="C31" s="878">
        <v>1239.1099999999999</v>
      </c>
      <c r="D31" s="389">
        <v>10385.811113699998</v>
      </c>
      <c r="E31" s="315"/>
      <c r="F31" s="315"/>
    </row>
    <row r="32" spans="1:10" ht="14.45" customHeight="1">
      <c r="A32" s="880" t="s">
        <v>821</v>
      </c>
      <c r="B32" s="1135">
        <v>70377</v>
      </c>
      <c r="C32" s="882">
        <v>1180.44</v>
      </c>
      <c r="D32" s="434">
        <v>9900.7634340000041</v>
      </c>
      <c r="E32" s="315"/>
      <c r="F32" s="315"/>
    </row>
    <row r="33" spans="1:8" ht="14.45" customHeight="1">
      <c r="A33" s="799" t="s">
        <v>814</v>
      </c>
      <c r="B33" s="1562">
        <v>49219</v>
      </c>
      <c r="C33" s="878">
        <v>1206.9100000000001</v>
      </c>
      <c r="D33" s="389">
        <v>10125.974900000001</v>
      </c>
      <c r="E33" s="315"/>
      <c r="F33" s="315"/>
    </row>
    <row r="34" spans="1:8" ht="14.45" customHeight="1">
      <c r="A34" s="880" t="s">
        <v>822</v>
      </c>
      <c r="B34" s="1135">
        <v>59037</v>
      </c>
      <c r="C34" s="882">
        <v>1597.21</v>
      </c>
      <c r="D34" s="434">
        <v>13407.252265700001</v>
      </c>
      <c r="E34" s="315"/>
      <c r="F34" s="315"/>
    </row>
    <row r="35" spans="1:8" ht="14.45" customHeight="1">
      <c r="A35" s="799" t="s">
        <v>823</v>
      </c>
      <c r="B35" s="1562">
        <v>50570</v>
      </c>
      <c r="C35" s="878">
        <v>1317.73</v>
      </c>
      <c r="D35" s="389">
        <v>11074.4269341</v>
      </c>
      <c r="E35" s="315"/>
      <c r="F35" s="315"/>
    </row>
    <row r="36" spans="1:8" ht="14.45" customHeight="1">
      <c r="A36" s="880" t="s">
        <v>815</v>
      </c>
      <c r="B36" s="1135">
        <v>55721</v>
      </c>
      <c r="C36" s="882">
        <v>1458.6800000000003</v>
      </c>
      <c r="D36" s="434">
        <v>12283.267130800003</v>
      </c>
      <c r="E36" s="315"/>
      <c r="F36" s="315"/>
    </row>
    <row r="37" spans="1:8" s="315" customFormat="1" ht="14.45" customHeight="1">
      <c r="A37" s="799" t="s">
        <v>824</v>
      </c>
      <c r="B37" s="1562">
        <v>61443</v>
      </c>
      <c r="C37" s="878">
        <v>1434.3000000000006</v>
      </c>
      <c r="D37" s="389">
        <v>12095.59533</v>
      </c>
    </row>
    <row r="38" spans="1:8" s="315" customFormat="1" ht="14.45" customHeight="1" thickBot="1">
      <c r="A38" s="1708" t="s">
        <v>825</v>
      </c>
      <c r="B38" s="1709" t="s">
        <v>481</v>
      </c>
      <c r="C38" s="1710">
        <v>1755.7900000000002</v>
      </c>
      <c r="D38" s="707">
        <v>14835.073541700001</v>
      </c>
    </row>
    <row r="39" spans="1:8" ht="12.75" customHeight="1">
      <c r="A39" s="297" t="s">
        <v>1610</v>
      </c>
      <c r="B39" s="2005" t="s">
        <v>2239</v>
      </c>
      <c r="C39" s="2005"/>
      <c r="D39" s="301"/>
    </row>
    <row r="40" spans="1:8">
      <c r="A40" s="297" t="s">
        <v>473</v>
      </c>
      <c r="B40" s="2005" t="s">
        <v>2191</v>
      </c>
      <c r="C40" s="2005"/>
      <c r="D40" s="393" t="s">
        <v>608</v>
      </c>
    </row>
    <row r="41" spans="1:8">
      <c r="A41" s="217"/>
      <c r="B41" s="1264" t="s">
        <v>2208</v>
      </c>
      <c r="C41" s="1264"/>
      <c r="D41" s="1264"/>
    </row>
    <row r="42" spans="1:8">
      <c r="A42" s="87"/>
      <c r="B42" s="98"/>
    </row>
    <row r="43" spans="1:8">
      <c r="A43" s="87"/>
      <c r="B43" s="98"/>
    </row>
    <row r="44" spans="1:8">
      <c r="A44" s="87"/>
      <c r="B44" s="98"/>
      <c r="F44" s="1081"/>
      <c r="G44" s="1081"/>
      <c r="H44" s="1081"/>
    </row>
    <row r="45" spans="1:8">
      <c r="A45" s="87"/>
      <c r="B45" s="1067"/>
      <c r="F45" s="1081"/>
      <c r="G45" s="1081"/>
      <c r="H45" s="1081"/>
    </row>
    <row r="46" spans="1:8">
      <c r="A46" s="87"/>
      <c r="B46" s="1067"/>
      <c r="F46" s="1081"/>
      <c r="G46" s="1081"/>
      <c r="H46" s="1081"/>
    </row>
    <row r="47" spans="1:8">
      <c r="A47" s="87"/>
      <c r="B47" s="1067"/>
      <c r="F47" s="1081"/>
      <c r="G47" s="1081"/>
      <c r="H47" s="1081"/>
    </row>
    <row r="48" spans="1:8">
      <c r="A48" s="87"/>
      <c r="B48" s="98"/>
    </row>
    <row r="49" spans="1:2">
      <c r="A49" s="87"/>
      <c r="B49" s="98"/>
    </row>
    <row r="50" spans="1:2">
      <c r="A50" s="87"/>
      <c r="B50" s="98"/>
    </row>
    <row r="51" spans="1:2">
      <c r="A51" s="87"/>
      <c r="B51" s="98"/>
    </row>
    <row r="52" spans="1:2">
      <c r="A52" s="87"/>
      <c r="B52" s="98"/>
    </row>
    <row r="53" spans="1:2">
      <c r="A53" s="87"/>
      <c r="B53" s="98"/>
    </row>
    <row r="54" spans="1:2">
      <c r="A54" s="87"/>
      <c r="B54" s="98"/>
    </row>
    <row r="55" spans="1:2">
      <c r="A55" s="87"/>
      <c r="B55" s="98"/>
    </row>
    <row r="56" spans="1:2">
      <c r="A56" s="87"/>
      <c r="B56" s="98"/>
    </row>
    <row r="57" spans="1:2">
      <c r="A57" s="87"/>
      <c r="B57" s="98"/>
    </row>
    <row r="58" spans="1:2">
      <c r="A58" s="87"/>
      <c r="B58" s="98"/>
    </row>
    <row r="59" spans="1:2">
      <c r="A59" s="87"/>
      <c r="B59" s="98"/>
    </row>
    <row r="60" spans="1:2">
      <c r="A60" s="87"/>
      <c r="B60" s="98"/>
    </row>
    <row r="61" spans="1:2">
      <c r="A61" s="87"/>
      <c r="B61" s="98"/>
    </row>
    <row r="62" spans="1:2">
      <c r="A62" s="87"/>
      <c r="B62" s="98"/>
    </row>
    <row r="63" spans="1:2">
      <c r="A63" s="87"/>
      <c r="B63" s="98"/>
    </row>
    <row r="64" spans="1:2">
      <c r="A64" s="87"/>
      <c r="B64" s="98"/>
    </row>
    <row r="65" spans="1:2">
      <c r="A65" s="87"/>
      <c r="B65" s="98"/>
    </row>
    <row r="66" spans="1:2">
      <c r="A66" s="87"/>
      <c r="B66" s="98"/>
    </row>
    <row r="67" spans="1:2">
      <c r="A67" s="87"/>
      <c r="B67" s="98"/>
    </row>
    <row r="68" spans="1:2">
      <c r="A68" s="87"/>
      <c r="B68" s="98"/>
    </row>
    <row r="69" spans="1:2">
      <c r="A69" s="87"/>
      <c r="B69" s="98"/>
    </row>
    <row r="70" spans="1:2">
      <c r="A70" s="87"/>
      <c r="B70" s="98"/>
    </row>
    <row r="71" spans="1:2">
      <c r="A71" s="87"/>
      <c r="B71" s="98"/>
    </row>
    <row r="72" spans="1:2">
      <c r="A72" s="87"/>
      <c r="B72" s="98"/>
    </row>
    <row r="73" spans="1:2">
      <c r="A73" s="87"/>
      <c r="B73" s="98"/>
    </row>
    <row r="74" spans="1:2">
      <c r="A74" s="87"/>
      <c r="B74" s="98"/>
    </row>
    <row r="75" spans="1:2">
      <c r="A75" s="87"/>
      <c r="B75" s="98"/>
    </row>
    <row r="76" spans="1:2">
      <c r="A76" s="87"/>
      <c r="B76" s="98"/>
    </row>
    <row r="77" spans="1:2">
      <c r="A77" s="87"/>
      <c r="B77" s="98"/>
    </row>
    <row r="78" spans="1:2">
      <c r="A78" s="87"/>
      <c r="B78" s="98"/>
    </row>
    <row r="79" spans="1:2">
      <c r="A79" s="87"/>
      <c r="B79" s="98"/>
    </row>
    <row r="80" spans="1:2">
      <c r="A80" s="87"/>
      <c r="B80" s="98"/>
    </row>
    <row r="81" spans="1:2">
      <c r="A81" s="87"/>
      <c r="B81" s="98"/>
    </row>
    <row r="82" spans="1:2">
      <c r="A82" s="87"/>
      <c r="B82" s="98"/>
    </row>
    <row r="83" spans="1:2">
      <c r="A83" s="87"/>
      <c r="B83" s="98"/>
    </row>
    <row r="84" spans="1:2">
      <c r="A84" s="87"/>
      <c r="B84" s="98"/>
    </row>
    <row r="85" spans="1:2">
      <c r="A85" s="87"/>
      <c r="B85" s="98"/>
    </row>
    <row r="86" spans="1:2">
      <c r="A86" s="87"/>
      <c r="B86" s="98"/>
    </row>
    <row r="87" spans="1:2">
      <c r="A87" s="87"/>
      <c r="B87" s="98"/>
    </row>
    <row r="88" spans="1:2">
      <c r="A88" s="87"/>
      <c r="B88" s="98"/>
    </row>
    <row r="89" spans="1:2">
      <c r="A89" s="87"/>
      <c r="B89" s="98"/>
    </row>
    <row r="90" spans="1:2">
      <c r="A90" s="87"/>
      <c r="B90" s="98"/>
    </row>
    <row r="91" spans="1:2">
      <c r="A91" s="87"/>
      <c r="B91" s="98"/>
    </row>
    <row r="92" spans="1:2">
      <c r="A92" s="87"/>
      <c r="B92" s="98"/>
    </row>
    <row r="93" spans="1:2">
      <c r="A93" s="87"/>
      <c r="B93" s="98"/>
    </row>
    <row r="94" spans="1:2">
      <c r="A94" s="87"/>
      <c r="B94" s="98"/>
    </row>
    <row r="95" spans="1:2">
      <c r="A95" s="87"/>
      <c r="B95" s="98"/>
    </row>
    <row r="96" spans="1:2">
      <c r="A96" s="87"/>
      <c r="B96" s="98"/>
    </row>
    <row r="97" spans="1:2">
      <c r="A97" s="87"/>
      <c r="B97" s="98"/>
    </row>
    <row r="98" spans="1:2">
      <c r="A98" s="87"/>
      <c r="B98" s="98"/>
    </row>
  </sheetData>
  <mergeCells count="6">
    <mergeCell ref="A1:C1"/>
    <mergeCell ref="A2:A3"/>
    <mergeCell ref="B2:B3"/>
    <mergeCell ref="B39:C39"/>
    <mergeCell ref="B40:C40"/>
    <mergeCell ref="C2:D2"/>
  </mergeCells>
  <phoneticPr fontId="0" type="noConversion"/>
  <printOptions horizontalCentered="1"/>
  <pageMargins left="0.23622047244094499" right="0.196850393700787" top="0.511811023622047" bottom="0.511811023622047" header="0" footer="0.35433070866141703"/>
  <pageSetup paperSize="448" firstPageNumber="83" orientation="portrait" useFirstPageNumber="1" r:id="rId1"/>
  <headerFooter alignWithMargins="0">
    <oddFooter>&amp;C&amp;"Times New Roman,Regular"&amp;8&amp;P</oddFooter>
  </headerFooter>
</worksheet>
</file>

<file path=xl/worksheets/sheet32.xml><?xml version="1.0" encoding="utf-8"?>
<worksheet xmlns="http://schemas.openxmlformats.org/spreadsheetml/2006/main" xmlns:r="http://schemas.openxmlformats.org/officeDocument/2006/relationships">
  <sheetPr codeName="Sheet32"/>
  <dimension ref="A1:Y349"/>
  <sheetViews>
    <sheetView zoomScale="130" zoomScaleNormal="130" workbookViewId="0">
      <pane xSplit="1" ySplit="3" topLeftCell="B34" activePane="bottomRight" state="frozen"/>
      <selection pane="topRight" activeCell="B1" sqref="B1"/>
      <selection pane="bottomLeft" activeCell="A4" sqref="A4"/>
      <selection pane="bottomRight" activeCell="O46" sqref="O46"/>
    </sheetView>
  </sheetViews>
  <sheetFormatPr defaultColWidth="9.140625" defaultRowHeight="11.25"/>
  <cols>
    <col min="1" max="1" width="8.5703125" style="10" customWidth="1"/>
    <col min="2" max="11" width="7.5703125" style="10" customWidth="1"/>
    <col min="12" max="12" width="6.85546875" style="10" customWidth="1"/>
    <col min="13" max="13" width="6" style="10" customWidth="1"/>
    <col min="14" max="14" width="6.7109375" style="10" customWidth="1"/>
    <col min="15" max="16" width="7.5703125" style="10" customWidth="1"/>
    <col min="17" max="17" width="7.140625" style="10" customWidth="1"/>
    <col min="18" max="18" width="7.5703125" style="10" customWidth="1"/>
    <col min="19" max="19" width="6.85546875" style="10" customWidth="1"/>
    <col min="20" max="20" width="7.5703125" style="10" customWidth="1"/>
    <col min="21" max="21" width="7.85546875" style="10" customWidth="1"/>
    <col min="22" max="22" width="10.85546875" style="10" bestFit="1" customWidth="1"/>
    <col min="23" max="23" width="9.28515625" style="10" bestFit="1" customWidth="1"/>
    <col min="24" max="24" width="10" style="10" bestFit="1" customWidth="1"/>
    <col min="25" max="16384" width="9.140625" style="10"/>
  </cols>
  <sheetData>
    <row r="1" spans="1:25" s="32" customFormat="1" ht="14.25" customHeight="1">
      <c r="A1" s="2035" t="s">
        <v>617</v>
      </c>
      <c r="B1" s="2035"/>
      <c r="C1" s="2035"/>
      <c r="D1" s="2035"/>
      <c r="E1" s="2035"/>
      <c r="F1" s="2035"/>
      <c r="G1" s="2035"/>
      <c r="H1" s="2035"/>
      <c r="I1" s="2035"/>
      <c r="J1" s="2035"/>
      <c r="K1" s="293" t="s">
        <v>539</v>
      </c>
      <c r="L1" s="83"/>
      <c r="M1" s="83"/>
      <c r="N1" s="83"/>
      <c r="O1" s="71"/>
      <c r="P1" s="71"/>
      <c r="Q1" s="71"/>
      <c r="R1" s="71"/>
      <c r="S1" s="71"/>
      <c r="T1" s="2035" t="s">
        <v>1820</v>
      </c>
      <c r="U1" s="2035"/>
    </row>
    <row r="2" spans="1:25" s="54" customFormat="1" ht="12" customHeight="1">
      <c r="B2" s="15"/>
      <c r="C2" s="15"/>
      <c r="D2" s="15"/>
      <c r="E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2059" t="s">
        <v>31</v>
      </c>
      <c r="U2" s="2059"/>
    </row>
    <row r="3" spans="1:25" s="272" customFormat="1" ht="50.25" customHeight="1">
      <c r="A3" s="120" t="s">
        <v>739</v>
      </c>
      <c r="B3" s="27" t="s">
        <v>79</v>
      </c>
      <c r="C3" s="1199" t="s">
        <v>2300</v>
      </c>
      <c r="D3" s="1199" t="s">
        <v>2301</v>
      </c>
      <c r="E3" s="27" t="s">
        <v>80</v>
      </c>
      <c r="F3" s="1199" t="s">
        <v>2302</v>
      </c>
      <c r="G3" s="27" t="s">
        <v>81</v>
      </c>
      <c r="H3" s="27" t="s">
        <v>82</v>
      </c>
      <c r="I3" s="27" t="s">
        <v>83</v>
      </c>
      <c r="J3" s="27" t="s">
        <v>84</v>
      </c>
      <c r="K3" s="27" t="s">
        <v>85</v>
      </c>
      <c r="L3" s="27" t="s">
        <v>86</v>
      </c>
      <c r="M3" s="27" t="s">
        <v>87</v>
      </c>
      <c r="N3" s="27" t="s">
        <v>88</v>
      </c>
      <c r="O3" s="27" t="s">
        <v>772</v>
      </c>
      <c r="P3" s="79" t="s">
        <v>794</v>
      </c>
      <c r="Q3" s="79" t="s">
        <v>1138</v>
      </c>
      <c r="R3" s="79" t="s">
        <v>1143</v>
      </c>
      <c r="S3" s="1635" t="s">
        <v>2789</v>
      </c>
      <c r="T3" s="27" t="s">
        <v>89</v>
      </c>
      <c r="U3" s="27" t="s">
        <v>735</v>
      </c>
    </row>
    <row r="4" spans="1:25" s="375" customFormat="1" ht="14.45" customHeight="1">
      <c r="A4" s="832" t="s">
        <v>549</v>
      </c>
      <c r="B4" s="796">
        <v>15943.64</v>
      </c>
      <c r="C4" s="796">
        <v>7786.82</v>
      </c>
      <c r="D4" s="796">
        <v>6148.16</v>
      </c>
      <c r="E4" s="796">
        <v>5925.33</v>
      </c>
      <c r="F4" s="796">
        <v>9467.07</v>
      </c>
      <c r="G4" s="796">
        <v>2.48</v>
      </c>
      <c r="H4" s="796">
        <v>1988.05</v>
      </c>
      <c r="I4" s="796">
        <v>1513.8</v>
      </c>
      <c r="J4" s="796">
        <v>892.49</v>
      </c>
      <c r="K4" s="796">
        <v>184.32</v>
      </c>
      <c r="L4" s="796">
        <v>948.03</v>
      </c>
      <c r="M4" s="796">
        <v>22.22</v>
      </c>
      <c r="N4" s="796">
        <v>111.74</v>
      </c>
      <c r="O4" s="796">
        <v>633.86</v>
      </c>
      <c r="P4" s="830">
        <v>89.934599999999989</v>
      </c>
      <c r="Q4" s="830">
        <v>1471.1956</v>
      </c>
      <c r="R4" s="830">
        <v>135.07339999999999</v>
      </c>
      <c r="S4" s="830">
        <v>55.565999999999995</v>
      </c>
      <c r="T4" s="796">
        <v>975.38</v>
      </c>
      <c r="U4" s="796">
        <f t="shared" ref="U4:U9" si="0">SUM(B4:T4)</f>
        <v>54295.159599999999</v>
      </c>
      <c r="V4" s="119"/>
      <c r="W4" s="119"/>
      <c r="X4" s="119"/>
    </row>
    <row r="5" spans="1:25" s="1134" customFormat="1" ht="14.45" customHeight="1">
      <c r="A5" s="1133" t="s">
        <v>102</v>
      </c>
      <c r="B5" s="795">
        <v>19673.165260000002</v>
      </c>
      <c r="C5" s="795">
        <v>12080.396579999999</v>
      </c>
      <c r="D5" s="795">
        <v>5433.3067099999989</v>
      </c>
      <c r="E5" s="795">
        <v>6678.4437600000001</v>
      </c>
      <c r="F5" s="795">
        <v>10837.676299999999</v>
      </c>
      <c r="G5" s="795">
        <v>8.6116600000000005</v>
      </c>
      <c r="H5" s="795">
        <v>2362.5123699999999</v>
      </c>
      <c r="I5" s="795">
        <v>1996.0067199999999</v>
      </c>
      <c r="J5" s="795">
        <v>1136.70847</v>
      </c>
      <c r="K5" s="795">
        <v>132.92401000000001</v>
      </c>
      <c r="L5" s="795">
        <v>1082.6939</v>
      </c>
      <c r="M5" s="795">
        <v>22.581469999999999</v>
      </c>
      <c r="N5" s="795">
        <v>97.110609999999994</v>
      </c>
      <c r="O5" s="795">
        <v>1943.98224</v>
      </c>
      <c r="P5" s="1132">
        <v>46.6464</v>
      </c>
      <c r="Q5" s="1132">
        <v>1285.8719999999998</v>
      </c>
      <c r="R5" s="1132">
        <v>126.11039999999998</v>
      </c>
      <c r="S5" s="1132">
        <v>62.539199999999994</v>
      </c>
      <c r="T5" s="795">
        <v>1669.2267999999999</v>
      </c>
      <c r="U5" s="1131">
        <f t="shared" si="0"/>
        <v>66676.514859999996</v>
      </c>
      <c r="V5" s="716"/>
      <c r="W5" s="716"/>
      <c r="X5" s="716"/>
    </row>
    <row r="6" spans="1:25" s="11" customFormat="1" ht="14.45" customHeight="1">
      <c r="A6" s="833" t="s">
        <v>98</v>
      </c>
      <c r="B6" s="796">
        <v>23709.401759999997</v>
      </c>
      <c r="C6" s="796">
        <v>13077.514040000002</v>
      </c>
      <c r="D6" s="796">
        <v>5723.8957499999997</v>
      </c>
      <c r="E6" s="796">
        <v>7050.7496800000008</v>
      </c>
      <c r="F6" s="796">
        <v>10044.25626</v>
      </c>
      <c r="G6" s="796">
        <v>10.44585</v>
      </c>
      <c r="H6" s="796">
        <v>2496.5547799999999</v>
      </c>
      <c r="I6" s="796">
        <v>2414.7833399999995</v>
      </c>
      <c r="J6" s="796">
        <v>1338.3879299999999</v>
      </c>
      <c r="K6" s="796">
        <v>114.11791000000001</v>
      </c>
      <c r="L6" s="796">
        <v>1177.0468499999997</v>
      </c>
      <c r="M6" s="796">
        <v>31.072650000000003</v>
      </c>
      <c r="N6" s="796">
        <v>101.95625</v>
      </c>
      <c r="O6" s="796">
        <v>4061.917840000001</v>
      </c>
      <c r="P6" s="796">
        <v>58.456209999999999</v>
      </c>
      <c r="Q6" s="796">
        <v>1259.92806</v>
      </c>
      <c r="R6" s="796">
        <v>143.63157000000001</v>
      </c>
      <c r="S6" s="796">
        <v>57.544499999999999</v>
      </c>
      <c r="T6" s="796">
        <v>3139.1719699999944</v>
      </c>
      <c r="U6" s="796">
        <f t="shared" si="0"/>
        <v>76010.833200000008</v>
      </c>
      <c r="V6" s="119"/>
      <c r="W6" s="119"/>
      <c r="X6" s="119"/>
      <c r="Y6" s="245"/>
    </row>
    <row r="7" spans="1:25" s="251" customFormat="1" ht="14.45" customHeight="1">
      <c r="A7" s="889" t="s">
        <v>241</v>
      </c>
      <c r="B7" s="795">
        <v>23447.611522103758</v>
      </c>
      <c r="C7" s="795">
        <v>14274.536554243999</v>
      </c>
      <c r="D7" s="795">
        <v>6329.345799345223</v>
      </c>
      <c r="E7" s="795">
        <v>7668.545797496</v>
      </c>
      <c r="F7" s="795">
        <v>13162.814794050668</v>
      </c>
      <c r="G7" s="795">
        <v>42.006690047596507</v>
      </c>
      <c r="H7" s="795">
        <v>2273.663133048</v>
      </c>
      <c r="I7" s="795">
        <v>2378.4981804742797</v>
      </c>
      <c r="J7" s="795">
        <v>1443.4474231873241</v>
      </c>
      <c r="K7" s="795">
        <v>184.06482744244911</v>
      </c>
      <c r="L7" s="795">
        <v>1326.4480618323998</v>
      </c>
      <c r="M7" s="795">
        <v>16.463787679999999</v>
      </c>
      <c r="N7" s="795">
        <v>108.62308996920061</v>
      </c>
      <c r="O7" s="795">
        <v>5011.1663160175985</v>
      </c>
      <c r="P7" s="795">
        <v>93.970096692639999</v>
      </c>
      <c r="Q7" s="795">
        <v>1538.1769608763173</v>
      </c>
      <c r="R7" s="795">
        <v>170.3696918419937</v>
      </c>
      <c r="S7" s="795">
        <v>79.384371033026895</v>
      </c>
      <c r="T7" s="795">
        <v>3459.7479699999994</v>
      </c>
      <c r="U7" s="1131">
        <f t="shared" si="0"/>
        <v>83008.885067382464</v>
      </c>
      <c r="V7" s="716"/>
      <c r="W7" s="716"/>
      <c r="X7" s="716"/>
    </row>
    <row r="8" spans="1:25" s="11" customFormat="1" ht="14.45" customHeight="1">
      <c r="A8" s="833" t="s">
        <v>1142</v>
      </c>
      <c r="B8" s="796">
        <v>29163.283242118639</v>
      </c>
      <c r="C8" s="796">
        <v>19038.108899337632</v>
      </c>
      <c r="D8" s="796">
        <v>7809.7835324582902</v>
      </c>
      <c r="E8" s="796">
        <v>9385.6420626336549</v>
      </c>
      <c r="F8" s="796">
        <v>11828.910059940725</v>
      </c>
      <c r="G8" s="796">
        <v>102.87052779546001</v>
      </c>
      <c r="H8" s="796">
        <v>2651.53684450951</v>
      </c>
      <c r="I8" s="796">
        <v>3174.0609841537071</v>
      </c>
      <c r="J8" s="796">
        <v>2481.4516458887801</v>
      </c>
      <c r="K8" s="796">
        <v>275.82418570616346</v>
      </c>
      <c r="L8" s="796">
        <v>2371.4713983471402</v>
      </c>
      <c r="M8" s="796">
        <v>8.9624438679999994</v>
      </c>
      <c r="N8" s="796">
        <v>173.68251222769157</v>
      </c>
      <c r="O8" s="796">
        <v>6712.3823075712635</v>
      </c>
      <c r="P8" s="796">
        <v>422.0270226909729</v>
      </c>
      <c r="Q8" s="796">
        <v>1914.8794293305637</v>
      </c>
      <c r="R8" s="796">
        <v>239.72250396515088</v>
      </c>
      <c r="S8" s="796">
        <v>178.82062360774498</v>
      </c>
      <c r="T8" s="796">
        <v>3658.1110738488965</v>
      </c>
      <c r="U8" s="796">
        <f t="shared" si="0"/>
        <v>101591.53129999999</v>
      </c>
      <c r="V8" s="119"/>
      <c r="W8" s="119"/>
      <c r="X8" s="119"/>
      <c r="Y8" s="245"/>
    </row>
    <row r="9" spans="1:25" s="251" customFormat="1" ht="14.45" customHeight="1">
      <c r="A9" s="889" t="s">
        <v>1333</v>
      </c>
      <c r="B9" s="795">
        <v>30645.329417797999</v>
      </c>
      <c r="C9" s="795">
        <v>22629.954310562003</v>
      </c>
      <c r="D9" s="795">
        <v>7944.261095199</v>
      </c>
      <c r="E9" s="795">
        <v>9487.7621551789998</v>
      </c>
      <c r="F9" s="795">
        <v>14854.690027008</v>
      </c>
      <c r="G9" s="795">
        <v>459.92579137900003</v>
      </c>
      <c r="H9" s="795">
        <v>2297.8989676470005</v>
      </c>
      <c r="I9" s="795">
        <v>4875.3607362970006</v>
      </c>
      <c r="J9" s="795">
        <v>3983.3948069319999</v>
      </c>
      <c r="K9" s="795">
        <v>206.712431503</v>
      </c>
      <c r="L9" s="795">
        <v>2890.2409015500002</v>
      </c>
      <c r="M9" s="795">
        <v>21.251621922999998</v>
      </c>
      <c r="N9" s="795">
        <v>169.73017864899998</v>
      </c>
      <c r="O9" s="795">
        <v>7967.163443454001</v>
      </c>
      <c r="P9" s="795">
        <v>488.01441817900002</v>
      </c>
      <c r="Q9" s="795">
        <v>1866.267097298</v>
      </c>
      <c r="R9" s="795">
        <v>494.83839057</v>
      </c>
      <c r="S9" s="795">
        <v>156.27197931100002</v>
      </c>
      <c r="T9" s="795">
        <v>4207.0907388400001</v>
      </c>
      <c r="U9" s="1131">
        <f t="shared" si="0"/>
        <v>115646.158509278</v>
      </c>
      <c r="V9" s="716"/>
      <c r="W9" s="716"/>
      <c r="X9" s="716"/>
    </row>
    <row r="10" spans="1:25" s="39" customFormat="1" ht="14.45" customHeight="1">
      <c r="A10" s="834" t="s">
        <v>1664</v>
      </c>
      <c r="B10" s="796">
        <v>24240.140711880998</v>
      </c>
      <c r="C10" s="796">
        <v>20866.964531202</v>
      </c>
      <c r="D10" s="796">
        <v>7004.6693670379991</v>
      </c>
      <c r="E10" s="796">
        <v>8602.8400845840006</v>
      </c>
      <c r="F10" s="796">
        <v>18056.862406150001</v>
      </c>
      <c r="G10" s="796">
        <v>559.41628836799998</v>
      </c>
      <c r="H10" s="796">
        <v>2001.5196785359999</v>
      </c>
      <c r="I10" s="796">
        <v>5448.4327879120001</v>
      </c>
      <c r="J10" s="796">
        <v>3335.1378381119998</v>
      </c>
      <c r="K10" s="796">
        <v>209.31088224700002</v>
      </c>
      <c r="L10" s="796">
        <v>3570.1673695179998</v>
      </c>
      <c r="M10" s="796">
        <v>3.0288693630000005</v>
      </c>
      <c r="N10" s="796">
        <v>132.67317405499998</v>
      </c>
      <c r="O10" s="796">
        <v>8274.3293595220002</v>
      </c>
      <c r="P10" s="796">
        <v>422.62113959999994</v>
      </c>
      <c r="Q10" s="796">
        <v>2095.1929835080005</v>
      </c>
      <c r="R10" s="796">
        <v>455.27028396500003</v>
      </c>
      <c r="S10" s="796">
        <v>137.56719587499998</v>
      </c>
      <c r="T10" s="796">
        <v>5166.238465553999</v>
      </c>
      <c r="U10" s="796">
        <v>110582.38341698998</v>
      </c>
      <c r="V10" s="716"/>
      <c r="W10" s="119"/>
      <c r="X10" s="119"/>
    </row>
    <row r="11" spans="1:25" s="39" customFormat="1" ht="14.45" customHeight="1">
      <c r="A11" s="829" t="s">
        <v>1754</v>
      </c>
      <c r="B11" s="795">
        <v>25987.258654580997</v>
      </c>
      <c r="C11" s="795">
        <v>21934.982243472998</v>
      </c>
      <c r="D11" s="795">
        <v>6309.8007089949997</v>
      </c>
      <c r="E11" s="795">
        <v>8371.9666337629988</v>
      </c>
      <c r="F11" s="795">
        <v>18489.105624444001</v>
      </c>
      <c r="G11" s="795">
        <v>355.14259886400004</v>
      </c>
      <c r="H11" s="795">
        <v>2409.4986989259996</v>
      </c>
      <c r="I11" s="795">
        <v>7109.6637192180006</v>
      </c>
      <c r="J11" s="795">
        <v>3444.4421886290006</v>
      </c>
      <c r="K11" s="795">
        <v>164.36111672899997</v>
      </c>
      <c r="L11" s="795">
        <v>4306.5368910809993</v>
      </c>
      <c r="M11" s="795">
        <v>1.0878520650000001</v>
      </c>
      <c r="N11" s="795">
        <v>126.68805762700001</v>
      </c>
      <c r="O11" s="795">
        <v>10732.610499937999</v>
      </c>
      <c r="P11" s="795">
        <v>480.40710343800004</v>
      </c>
      <c r="Q11" s="795">
        <v>2020.3891492669998</v>
      </c>
      <c r="R11" s="795">
        <v>469.14853845199997</v>
      </c>
      <c r="S11" s="795">
        <v>152.87326095199998</v>
      </c>
      <c r="T11" s="795">
        <v>6116.3519323189985</v>
      </c>
      <c r="U11" s="795">
        <v>118982.31547276098</v>
      </c>
      <c r="V11" s="716"/>
      <c r="W11" s="716"/>
      <c r="X11" s="716"/>
    </row>
    <row r="12" spans="1:25" s="39" customFormat="1" ht="14.45" customHeight="1">
      <c r="A12" s="834" t="s">
        <v>1954</v>
      </c>
      <c r="B12" s="796">
        <v>23165.843384732998</v>
      </c>
      <c r="C12" s="796">
        <v>21248.75908046</v>
      </c>
      <c r="D12" s="796">
        <v>6747.2028958150004</v>
      </c>
      <c r="E12" s="796">
        <v>8122.9117313530023</v>
      </c>
      <c r="F12" s="796">
        <v>18889.249921554001</v>
      </c>
      <c r="G12" s="796">
        <v>95.893180836999989</v>
      </c>
      <c r="H12" s="796">
        <v>3379.2433817339997</v>
      </c>
      <c r="I12" s="796">
        <v>7132.6719513709986</v>
      </c>
      <c r="J12" s="796">
        <v>3046.1566874470004</v>
      </c>
      <c r="K12" s="796">
        <v>204.66359045500002</v>
      </c>
      <c r="L12" s="796">
        <v>3806.9407668829999</v>
      </c>
      <c r="M12" s="796">
        <v>1.4088847410000001</v>
      </c>
      <c r="N12" s="796">
        <v>178.34404229900002</v>
      </c>
      <c r="O12" s="796">
        <v>10364.006886042</v>
      </c>
      <c r="P12" s="796">
        <v>540.57418486999995</v>
      </c>
      <c r="Q12" s="796">
        <v>2736.7067065770002</v>
      </c>
      <c r="R12" s="796">
        <v>506.556349066</v>
      </c>
      <c r="S12" s="796">
        <v>211.20321155199997</v>
      </c>
      <c r="T12" s="796">
        <v>6478.3840429919992</v>
      </c>
      <c r="U12" s="796">
        <v>116856.72088078098</v>
      </c>
      <c r="V12" s="119"/>
      <c r="W12" s="119"/>
      <c r="X12" s="119"/>
    </row>
    <row r="13" spans="1:25" s="39" customFormat="1" ht="14.45" customHeight="1">
      <c r="A13" s="836" t="s">
        <v>2046</v>
      </c>
      <c r="B13" s="831">
        <v>17943.426236539002</v>
      </c>
      <c r="C13" s="831">
        <v>16573.528397069</v>
      </c>
      <c r="D13" s="831">
        <v>6405.7376632189998</v>
      </c>
      <c r="E13" s="831">
        <v>8180.2432115789998</v>
      </c>
      <c r="F13" s="831">
        <v>13373.095621944</v>
      </c>
      <c r="G13" s="831">
        <v>17.628407153000001</v>
      </c>
      <c r="H13" s="831">
        <v>4562.3081073049998</v>
      </c>
      <c r="I13" s="831">
        <v>7107.4456062180016</v>
      </c>
      <c r="J13" s="831">
        <v>2380.5595638059999</v>
      </c>
      <c r="K13" s="831">
        <v>251.78556692700002</v>
      </c>
      <c r="L13" s="831">
        <v>3465.3919270970009</v>
      </c>
      <c r="M13" s="831">
        <v>0.15725730799999998</v>
      </c>
      <c r="N13" s="831">
        <v>181.68376342400001</v>
      </c>
      <c r="O13" s="831">
        <v>8729.7625331060008</v>
      </c>
      <c r="P13" s="831">
        <v>411.69327297199999</v>
      </c>
      <c r="Q13" s="831">
        <v>4047.0763187749994</v>
      </c>
      <c r="R13" s="831">
        <v>638.67820879400006</v>
      </c>
      <c r="S13" s="831">
        <v>150.208864742</v>
      </c>
      <c r="T13" s="831">
        <v>6678.5518861929977</v>
      </c>
      <c r="U13" s="831">
        <v>101098.96241417</v>
      </c>
      <c r="V13" s="716"/>
      <c r="W13" s="716"/>
      <c r="X13" s="716"/>
    </row>
    <row r="14" spans="1:25" s="39" customFormat="1" ht="14.45" customHeight="1">
      <c r="A14" s="835" t="s">
        <v>2268</v>
      </c>
      <c r="B14" s="816">
        <f t="shared" ref="B14:T14" si="1">SUM(B15:B26)</f>
        <v>21303.057974675001</v>
      </c>
      <c r="C14" s="816">
        <f t="shared" si="1"/>
        <v>19981.775415710003</v>
      </c>
      <c r="D14" s="816">
        <f t="shared" si="1"/>
        <v>9090.1559443150018</v>
      </c>
      <c r="E14" s="816">
        <f t="shared" si="1"/>
        <v>9868.4859093200012</v>
      </c>
      <c r="F14" s="816">
        <f t="shared" si="1"/>
        <v>16410.639824310001</v>
      </c>
      <c r="G14" s="816">
        <f t="shared" si="1"/>
        <v>19.443675874999997</v>
      </c>
      <c r="H14" s="816">
        <f t="shared" si="1"/>
        <v>6950.4103529849999</v>
      </c>
      <c r="I14" s="816">
        <f t="shared" si="1"/>
        <v>7874.3254532150004</v>
      </c>
      <c r="J14" s="816">
        <f t="shared" si="1"/>
        <v>2715.2346651450002</v>
      </c>
      <c r="K14" s="816">
        <f t="shared" si="1"/>
        <v>330.55203132999998</v>
      </c>
      <c r="L14" s="816">
        <f t="shared" si="1"/>
        <v>4451.4895316450002</v>
      </c>
      <c r="M14" s="816">
        <f t="shared" si="1"/>
        <v>0.3327156</v>
      </c>
      <c r="N14" s="816">
        <f t="shared" si="1"/>
        <v>258.69044694500002</v>
      </c>
      <c r="O14" s="816">
        <f t="shared" si="1"/>
        <v>9103.3843674349991</v>
      </c>
      <c r="P14" s="816">
        <f t="shared" si="1"/>
        <v>464.68689706499993</v>
      </c>
      <c r="Q14" s="816">
        <f t="shared" si="1"/>
        <v>5434.0171208399997</v>
      </c>
      <c r="R14" s="816">
        <f t="shared" si="1"/>
        <v>791.06830617999992</v>
      </c>
      <c r="S14" s="816">
        <f t="shared" si="1"/>
        <v>174.71432794999998</v>
      </c>
      <c r="T14" s="816">
        <f t="shared" si="1"/>
        <v>7933.5399799049983</v>
      </c>
      <c r="U14" s="816">
        <f>SUM(B14:T14)</f>
        <v>123156.00494044498</v>
      </c>
      <c r="V14" s="716"/>
      <c r="W14" s="716"/>
      <c r="X14" s="716"/>
    </row>
    <row r="15" spans="1:25" s="39" customFormat="1" ht="14.45" customHeight="1">
      <c r="A15" s="829" t="s">
        <v>818</v>
      </c>
      <c r="B15" s="966">
        <v>1607.686428</v>
      </c>
      <c r="C15" s="966">
        <v>1370.2422689999999</v>
      </c>
      <c r="D15" s="966">
        <v>646.62212399999999</v>
      </c>
      <c r="E15" s="966">
        <v>712.81623419999994</v>
      </c>
      <c r="F15" s="966">
        <v>1181.8188396</v>
      </c>
      <c r="G15" s="966">
        <v>0.40313100000000002</v>
      </c>
      <c r="H15" s="966">
        <v>493.10983920000001</v>
      </c>
      <c r="I15" s="966">
        <v>610.66283879999992</v>
      </c>
      <c r="J15" s="966">
        <v>220.51265699999999</v>
      </c>
      <c r="K15" s="966">
        <v>19.269661800000002</v>
      </c>
      <c r="L15" s="966">
        <v>327.98738159999999</v>
      </c>
      <c r="M15" s="966">
        <v>0</v>
      </c>
      <c r="N15" s="966">
        <v>14.5933422</v>
      </c>
      <c r="O15" s="966">
        <v>589.21626959999992</v>
      </c>
      <c r="P15" s="966">
        <v>35.878658999999999</v>
      </c>
      <c r="Q15" s="966">
        <v>485.61160259999997</v>
      </c>
      <c r="R15" s="966">
        <v>60.953407199999994</v>
      </c>
      <c r="S15" s="966">
        <v>13.2226968</v>
      </c>
      <c r="T15" s="966">
        <v>603.80961180000077</v>
      </c>
      <c r="U15" s="966">
        <f t="shared" ref="U15:U38" si="2">SUM(B15:T15)</f>
        <v>8994.4169934000001</v>
      </c>
      <c r="V15" s="716"/>
      <c r="W15" s="716"/>
      <c r="X15" s="716"/>
    </row>
    <row r="16" spans="1:25" s="39" customFormat="1" ht="14.45" customHeight="1">
      <c r="A16" s="834" t="s">
        <v>819</v>
      </c>
      <c r="B16" s="965">
        <v>2014.2761394000001</v>
      </c>
      <c r="C16" s="965">
        <v>1701.2652771</v>
      </c>
      <c r="D16" s="965">
        <v>951.37872300000015</v>
      </c>
      <c r="E16" s="965">
        <v>804.19341420000001</v>
      </c>
      <c r="F16" s="965">
        <v>1606.4501796000002</v>
      </c>
      <c r="G16" s="965">
        <v>1.5331803000000002</v>
      </c>
      <c r="H16" s="965">
        <v>529.51205940000011</v>
      </c>
      <c r="I16" s="965">
        <v>775.54715069999997</v>
      </c>
      <c r="J16" s="965">
        <v>222.55322460000002</v>
      </c>
      <c r="K16" s="965">
        <v>26.871002100000005</v>
      </c>
      <c r="L16" s="965">
        <v>420.97903290000005</v>
      </c>
      <c r="M16" s="965">
        <v>0</v>
      </c>
      <c r="N16" s="965">
        <v>24.853659600000004</v>
      </c>
      <c r="O16" s="965">
        <v>827.59458719999998</v>
      </c>
      <c r="P16" s="965">
        <v>49.949400300000008</v>
      </c>
      <c r="Q16" s="965">
        <v>647.08278029999997</v>
      </c>
      <c r="R16" s="965">
        <v>63.102473400000008</v>
      </c>
      <c r="S16" s="965">
        <v>15.9773526</v>
      </c>
      <c r="T16" s="965">
        <v>763.92725790000009</v>
      </c>
      <c r="U16" s="965">
        <f t="shared" si="2"/>
        <v>11447.046894600002</v>
      </c>
      <c r="V16" s="716"/>
      <c r="W16" s="716"/>
      <c r="X16" s="716"/>
    </row>
    <row r="17" spans="1:24" s="39" customFormat="1" ht="14.45" customHeight="1">
      <c r="A17" s="829" t="s">
        <v>813</v>
      </c>
      <c r="B17" s="966">
        <v>1154.2740137999999</v>
      </c>
      <c r="C17" s="966">
        <v>1081.2084768</v>
      </c>
      <c r="D17" s="966">
        <v>483.44357520000005</v>
      </c>
      <c r="E17" s="966">
        <v>505.48433939999995</v>
      </c>
      <c r="F17" s="966">
        <v>1093.8031991999999</v>
      </c>
      <c r="G17" s="966">
        <v>0.80735399999999991</v>
      </c>
      <c r="H17" s="966">
        <v>301.14304199999998</v>
      </c>
      <c r="I17" s="966">
        <v>467.7001722</v>
      </c>
      <c r="J17" s="966">
        <v>147.8265174</v>
      </c>
      <c r="K17" s="966">
        <v>18.811348200000001</v>
      </c>
      <c r="L17" s="966">
        <v>249.14944439999999</v>
      </c>
      <c r="M17" s="966">
        <v>0</v>
      </c>
      <c r="N17" s="966">
        <v>11.7873684</v>
      </c>
      <c r="O17" s="966">
        <v>512.91199619999998</v>
      </c>
      <c r="P17" s="966">
        <v>31.163864400000001</v>
      </c>
      <c r="Q17" s="966">
        <v>337.55470739999998</v>
      </c>
      <c r="R17" s="966">
        <v>51.105508199999996</v>
      </c>
      <c r="S17" s="966">
        <v>9.0423647999999996</v>
      </c>
      <c r="T17" s="966">
        <v>460.75692780000082</v>
      </c>
      <c r="U17" s="966">
        <f t="shared" si="2"/>
        <v>6917.9742197999985</v>
      </c>
      <c r="V17" s="716"/>
      <c r="W17" s="716"/>
      <c r="X17" s="716"/>
    </row>
    <row r="18" spans="1:24" s="39" customFormat="1" ht="14.45" customHeight="1">
      <c r="A18" s="834" t="s">
        <v>820</v>
      </c>
      <c r="B18" s="965">
        <v>1700.0525914750001</v>
      </c>
      <c r="C18" s="965">
        <v>1544.15045461</v>
      </c>
      <c r="D18" s="965">
        <v>596.37214511500008</v>
      </c>
      <c r="E18" s="965">
        <v>729.96791091999989</v>
      </c>
      <c r="F18" s="965">
        <v>1351.7984143099998</v>
      </c>
      <c r="G18" s="965">
        <v>1.2123027749999999</v>
      </c>
      <c r="H18" s="965">
        <v>410.64735998499998</v>
      </c>
      <c r="I18" s="965">
        <v>628.70021911499998</v>
      </c>
      <c r="J18" s="965">
        <v>188.87677234500001</v>
      </c>
      <c r="K18" s="965">
        <v>25.700818829999996</v>
      </c>
      <c r="L18" s="965">
        <v>350.51714234499997</v>
      </c>
      <c r="M18" s="965">
        <v>0</v>
      </c>
      <c r="N18" s="965">
        <v>17.537980144999999</v>
      </c>
      <c r="O18" s="965">
        <v>721.80507223500001</v>
      </c>
      <c r="P18" s="965">
        <v>31.439051964999997</v>
      </c>
      <c r="Q18" s="965">
        <v>433.51947233999999</v>
      </c>
      <c r="R18" s="965">
        <v>60.453498379999999</v>
      </c>
      <c r="S18" s="965">
        <v>15.355835149999999</v>
      </c>
      <c r="T18" s="965">
        <v>589.42160920499907</v>
      </c>
      <c r="U18" s="965">
        <f t="shared" si="2"/>
        <v>9397.5286512450002</v>
      </c>
      <c r="V18" s="716"/>
      <c r="W18" s="716"/>
      <c r="X18" s="716"/>
    </row>
    <row r="19" spans="1:24" s="39" customFormat="1" ht="14.45" customHeight="1">
      <c r="A19" s="829" t="s">
        <v>821</v>
      </c>
      <c r="B19" s="966">
        <v>1582.6036349999999</v>
      </c>
      <c r="C19" s="966">
        <v>1728.2938499999996</v>
      </c>
      <c r="D19" s="966">
        <v>755.67149999999992</v>
      </c>
      <c r="E19" s="966">
        <v>738.93296999999995</v>
      </c>
      <c r="F19" s="966">
        <v>1437.4822049999998</v>
      </c>
      <c r="G19" s="966">
        <v>1.5438449999999999</v>
      </c>
      <c r="H19" s="966">
        <v>501.26209499999993</v>
      </c>
      <c r="I19" s="966">
        <v>605.26849499999992</v>
      </c>
      <c r="J19" s="966">
        <v>198.18094500000001</v>
      </c>
      <c r="K19" s="966">
        <v>33.395805000000003</v>
      </c>
      <c r="L19" s="966">
        <v>345.902535</v>
      </c>
      <c r="M19" s="966">
        <v>0</v>
      </c>
      <c r="N19" s="966">
        <v>20.395004999999998</v>
      </c>
      <c r="O19" s="966">
        <v>724.46957999999995</v>
      </c>
      <c r="P19" s="966">
        <v>34.69588499999999</v>
      </c>
      <c r="Q19" s="966">
        <v>463.15350000000001</v>
      </c>
      <c r="R19" s="966">
        <v>77.192249999999973</v>
      </c>
      <c r="S19" s="966">
        <v>9.7505999999999986</v>
      </c>
      <c r="T19" s="966">
        <v>612.25642499999924</v>
      </c>
      <c r="U19" s="966">
        <f t="shared" si="2"/>
        <v>9870.4511249999996</v>
      </c>
      <c r="V19" s="716"/>
      <c r="W19" s="716"/>
      <c r="X19" s="716"/>
    </row>
    <row r="20" spans="1:24" s="39" customFormat="1" ht="14.45" customHeight="1">
      <c r="A20" s="834" t="s">
        <v>814</v>
      </c>
      <c r="B20" s="965">
        <v>1686.5373600000003</v>
      </c>
      <c r="C20" s="965">
        <v>1813.8325440000001</v>
      </c>
      <c r="D20" s="965">
        <v>610.14183200000002</v>
      </c>
      <c r="E20" s="965">
        <v>784.16144800000006</v>
      </c>
      <c r="F20" s="965">
        <v>1129.889224</v>
      </c>
      <c r="G20" s="965">
        <v>1.5684880000000001</v>
      </c>
      <c r="H20" s="965">
        <v>513.47343999999998</v>
      </c>
      <c r="I20" s="965">
        <v>568.7832800000001</v>
      </c>
      <c r="J20" s="965">
        <v>205.30682400000001</v>
      </c>
      <c r="K20" s="965">
        <v>24.270288000000001</v>
      </c>
      <c r="L20" s="965">
        <v>339.94913600000007</v>
      </c>
      <c r="M20" s="965">
        <v>0</v>
      </c>
      <c r="N20" s="965">
        <v>21.298416000000003</v>
      </c>
      <c r="O20" s="965">
        <v>716.1386</v>
      </c>
      <c r="P20" s="965">
        <v>37.396056000000002</v>
      </c>
      <c r="Q20" s="965">
        <v>401.53292800000003</v>
      </c>
      <c r="R20" s="965">
        <v>59.767648000000008</v>
      </c>
      <c r="S20" s="965">
        <v>16.840608</v>
      </c>
      <c r="T20" s="965">
        <v>676.67874399999937</v>
      </c>
      <c r="U20" s="965">
        <f t="shared" si="2"/>
        <v>9607.5668640000004</v>
      </c>
      <c r="V20" s="716"/>
      <c r="W20" s="716"/>
      <c r="X20" s="716"/>
    </row>
    <row r="21" spans="1:24" s="39" customFormat="1" ht="14.45" customHeight="1">
      <c r="A21" s="829" t="s">
        <v>822</v>
      </c>
      <c r="B21" s="966">
        <v>1843.544715</v>
      </c>
      <c r="C21" s="966">
        <v>1650.8342099999998</v>
      </c>
      <c r="D21" s="966">
        <v>1106.0771399999999</v>
      </c>
      <c r="E21" s="966">
        <v>934.89853499999992</v>
      </c>
      <c r="F21" s="966">
        <v>1404.790845</v>
      </c>
      <c r="G21" s="966">
        <v>1.076595</v>
      </c>
      <c r="H21" s="966">
        <v>659.04177000000004</v>
      </c>
      <c r="I21" s="966">
        <v>673.36876499999994</v>
      </c>
      <c r="J21" s="966">
        <v>260.37036000000001</v>
      </c>
      <c r="K21" s="966">
        <v>29.482139999999998</v>
      </c>
      <c r="L21" s="966">
        <v>426.91132499999992</v>
      </c>
      <c r="M21" s="966">
        <v>0.16563</v>
      </c>
      <c r="N21" s="966">
        <v>23.685089999999999</v>
      </c>
      <c r="O21" s="966">
        <v>873.03572999999994</v>
      </c>
      <c r="P21" s="966">
        <v>47.204549999999998</v>
      </c>
      <c r="Q21" s="966">
        <v>578.87684999999999</v>
      </c>
      <c r="R21" s="966">
        <v>83.725965000000002</v>
      </c>
      <c r="S21" s="966">
        <v>14.741069999999999</v>
      </c>
      <c r="T21" s="966">
        <v>814.89959999999883</v>
      </c>
      <c r="U21" s="966">
        <f t="shared" si="2"/>
        <v>11426.730884999999</v>
      </c>
      <c r="V21" s="716"/>
      <c r="W21" s="716"/>
      <c r="X21" s="716"/>
    </row>
    <row r="22" spans="1:24" s="39" customFormat="1" ht="14.45" customHeight="1">
      <c r="A22" s="834" t="s">
        <v>823</v>
      </c>
      <c r="B22" s="965">
        <v>1616.6005216000001</v>
      </c>
      <c r="C22" s="965">
        <v>1431.606894</v>
      </c>
      <c r="D22" s="965">
        <v>680.76991599999997</v>
      </c>
      <c r="E22" s="965">
        <v>816.67514040000015</v>
      </c>
      <c r="F22" s="965">
        <v>1176.7120436</v>
      </c>
      <c r="G22" s="965">
        <v>4.8093367999999996</v>
      </c>
      <c r="H22" s="965">
        <v>574.3840692</v>
      </c>
      <c r="I22" s="965">
        <v>615.34635159999993</v>
      </c>
      <c r="J22" s="965">
        <v>245.85661399999998</v>
      </c>
      <c r="K22" s="965">
        <v>25.705076000000002</v>
      </c>
      <c r="L22" s="965">
        <v>373.22111959999995</v>
      </c>
      <c r="M22" s="965">
        <v>0</v>
      </c>
      <c r="N22" s="965">
        <v>23.880844799999998</v>
      </c>
      <c r="O22" s="965">
        <v>808.21734119999996</v>
      </c>
      <c r="P22" s="965">
        <v>32.172804800000002</v>
      </c>
      <c r="Q22" s="965">
        <v>396.18984880000005</v>
      </c>
      <c r="R22" s="965">
        <v>69.40370519999999</v>
      </c>
      <c r="S22" s="965">
        <v>12.852538000000001</v>
      </c>
      <c r="T22" s="965">
        <v>623.72123119999992</v>
      </c>
      <c r="U22" s="965">
        <f t="shared" si="2"/>
        <v>9528.1253968000001</v>
      </c>
      <c r="V22" s="716"/>
      <c r="W22" s="716"/>
      <c r="X22" s="716"/>
    </row>
    <row r="23" spans="1:24" s="39" customFormat="1" ht="14.45" customHeight="1">
      <c r="A23" s="829" t="s">
        <v>815</v>
      </c>
      <c r="B23" s="966">
        <v>1956.1968000000002</v>
      </c>
      <c r="C23" s="966">
        <v>1649.9084799999996</v>
      </c>
      <c r="D23" s="966">
        <v>834.07983999999976</v>
      </c>
      <c r="E23" s="966">
        <v>925.25288</v>
      </c>
      <c r="F23" s="966">
        <v>1258.5861600000001</v>
      </c>
      <c r="G23" s="966">
        <v>1.2444</v>
      </c>
      <c r="H23" s="966">
        <v>712.12864000000002</v>
      </c>
      <c r="I23" s="966">
        <v>682.84375999999997</v>
      </c>
      <c r="J23" s="966">
        <v>239.42255999999998</v>
      </c>
      <c r="K23" s="966">
        <v>29.284879999999998</v>
      </c>
      <c r="L23" s="966">
        <v>413.88743999999997</v>
      </c>
      <c r="M23" s="966">
        <v>0</v>
      </c>
      <c r="N23" s="966">
        <v>28.787119999999998</v>
      </c>
      <c r="O23" s="966">
        <v>846.02607999999987</v>
      </c>
      <c r="P23" s="966">
        <v>40.069679999999998</v>
      </c>
      <c r="Q23" s="966">
        <v>405.34255999999993</v>
      </c>
      <c r="R23" s="966">
        <v>66.036159999999995</v>
      </c>
      <c r="S23" s="966">
        <v>15.18168</v>
      </c>
      <c r="T23" s="966">
        <v>678.61279999999908</v>
      </c>
      <c r="U23" s="966">
        <f t="shared" si="2"/>
        <v>10782.891919999996</v>
      </c>
      <c r="V23" s="716"/>
      <c r="W23" s="716"/>
      <c r="X23" s="716"/>
    </row>
    <row r="24" spans="1:24" s="39" customFormat="1" ht="14.45" customHeight="1">
      <c r="A24" s="834" t="s">
        <v>824</v>
      </c>
      <c r="B24" s="965">
        <v>1974.79548</v>
      </c>
      <c r="C24" s="965">
        <v>1760.4720881999997</v>
      </c>
      <c r="D24" s="965">
        <v>894.88106099999982</v>
      </c>
      <c r="E24" s="965">
        <v>944.91474479999999</v>
      </c>
      <c r="F24" s="965">
        <v>1459.938087</v>
      </c>
      <c r="G24" s="965">
        <v>2.4892379999999998</v>
      </c>
      <c r="H24" s="965">
        <v>681.63633900000002</v>
      </c>
      <c r="I24" s="965">
        <v>679.47899940000002</v>
      </c>
      <c r="J24" s="965">
        <v>258.63182820000003</v>
      </c>
      <c r="K24" s="965">
        <v>32.609017799999997</v>
      </c>
      <c r="L24" s="965">
        <v>405.99471779999999</v>
      </c>
      <c r="M24" s="965">
        <v>0</v>
      </c>
      <c r="N24" s="965">
        <v>20.660675399999999</v>
      </c>
      <c r="O24" s="965">
        <v>767.51504999999997</v>
      </c>
      <c r="P24" s="965">
        <v>38.002366799999997</v>
      </c>
      <c r="Q24" s="965">
        <v>401.01624179999993</v>
      </c>
      <c r="R24" s="965">
        <v>71.358155999999994</v>
      </c>
      <c r="S24" s="965">
        <v>17.092767599999998</v>
      </c>
      <c r="T24" s="965">
        <v>635.17056299999956</v>
      </c>
      <c r="U24" s="965">
        <f t="shared" si="2"/>
        <v>11046.657421799997</v>
      </c>
      <c r="V24" s="716"/>
      <c r="W24" s="716"/>
      <c r="X24" s="716"/>
    </row>
    <row r="25" spans="1:24" s="39" customFormat="1" ht="14.45" customHeight="1">
      <c r="A25" s="829" t="s">
        <v>825</v>
      </c>
      <c r="B25" s="966">
        <v>2244.2131244000002</v>
      </c>
      <c r="C25" s="966">
        <v>2172.5857530000003</v>
      </c>
      <c r="D25" s="966">
        <v>883.8767600000001</v>
      </c>
      <c r="E25" s="966">
        <v>1050.9794984000002</v>
      </c>
      <c r="F25" s="966">
        <v>1610.1566260000002</v>
      </c>
      <c r="G25" s="966">
        <v>1.6676920000000002</v>
      </c>
      <c r="H25" s="966">
        <v>840.68353719999993</v>
      </c>
      <c r="I25" s="966">
        <v>751.62878440000009</v>
      </c>
      <c r="J25" s="966">
        <v>274.83564160000003</v>
      </c>
      <c r="K25" s="966">
        <v>35.5218396</v>
      </c>
      <c r="L25" s="966">
        <v>421.92607600000002</v>
      </c>
      <c r="M25" s="966">
        <v>8.3384600000000003E-2</v>
      </c>
      <c r="N25" s="966">
        <v>25.765841399999999</v>
      </c>
      <c r="O25" s="966">
        <v>838.84907600000008</v>
      </c>
      <c r="P25" s="966">
        <v>44.027068800000009</v>
      </c>
      <c r="Q25" s="966">
        <v>462.45099160000001</v>
      </c>
      <c r="R25" s="966">
        <v>68.62552580000002</v>
      </c>
      <c r="S25" s="966">
        <v>20.846150000000002</v>
      </c>
      <c r="T25" s="966">
        <v>800.49216000000047</v>
      </c>
      <c r="U25" s="966">
        <f t="shared" si="2"/>
        <v>12549.215530800002</v>
      </c>
      <c r="V25" s="716"/>
      <c r="W25" s="716"/>
      <c r="X25" s="716"/>
    </row>
    <row r="26" spans="1:24" s="39" customFormat="1" ht="14.45" customHeight="1">
      <c r="A26" s="834" t="s">
        <v>816</v>
      </c>
      <c r="B26" s="965">
        <v>1922.2771659999999</v>
      </c>
      <c r="C26" s="965">
        <v>2077.3751189999998</v>
      </c>
      <c r="D26" s="965">
        <v>646.84132799999998</v>
      </c>
      <c r="E26" s="965">
        <v>920.2087939999999</v>
      </c>
      <c r="F26" s="965">
        <v>1699.2140009999998</v>
      </c>
      <c r="G26" s="965">
        <v>1.0881129999999999</v>
      </c>
      <c r="H26" s="965">
        <v>733.38816199999997</v>
      </c>
      <c r="I26" s="965">
        <v>814.99663699999996</v>
      </c>
      <c r="J26" s="965">
        <v>252.86072099999996</v>
      </c>
      <c r="K26" s="965">
        <v>29.630153999999997</v>
      </c>
      <c r="L26" s="965">
        <v>375.06418100000002</v>
      </c>
      <c r="M26" s="965">
        <v>8.3700999999999998E-2</v>
      </c>
      <c r="N26" s="965">
        <v>25.445103999999997</v>
      </c>
      <c r="O26" s="965">
        <v>877.60498499999994</v>
      </c>
      <c r="P26" s="965">
        <v>42.687509999999989</v>
      </c>
      <c r="Q26" s="965">
        <v>421.68563800000004</v>
      </c>
      <c r="R26" s="965">
        <v>59.344008999999993</v>
      </c>
      <c r="S26" s="965">
        <v>13.810664999999997</v>
      </c>
      <c r="T26" s="965">
        <v>673.79305000000136</v>
      </c>
      <c r="U26" s="965">
        <f t="shared" si="2"/>
        <v>11587.399038000001</v>
      </c>
      <c r="V26" s="716"/>
      <c r="W26" s="716"/>
      <c r="X26" s="716"/>
    </row>
    <row r="27" spans="1:24" s="39" customFormat="1" ht="14.45" customHeight="1">
      <c r="A27" s="836" t="s">
        <v>2524</v>
      </c>
      <c r="B27" s="966"/>
      <c r="C27" s="966"/>
      <c r="D27" s="966"/>
      <c r="E27" s="966"/>
      <c r="F27" s="966"/>
      <c r="G27" s="966"/>
      <c r="H27" s="966"/>
      <c r="I27" s="966"/>
      <c r="J27" s="966"/>
      <c r="K27" s="966"/>
      <c r="L27" s="966"/>
      <c r="M27" s="966"/>
      <c r="N27" s="966"/>
      <c r="O27" s="966"/>
      <c r="P27" s="966"/>
      <c r="Q27" s="966"/>
      <c r="R27" s="966"/>
      <c r="S27" s="966"/>
      <c r="T27" s="966"/>
      <c r="U27" s="966"/>
      <c r="V27" s="716"/>
      <c r="W27" s="716"/>
      <c r="X27" s="716"/>
    </row>
    <row r="28" spans="1:24" s="39" customFormat="1" ht="14.45" customHeight="1">
      <c r="A28" s="834" t="s">
        <v>818</v>
      </c>
      <c r="B28" s="965">
        <v>2033.6332576000004</v>
      </c>
      <c r="C28" s="965">
        <v>1940.0038880000004</v>
      </c>
      <c r="D28" s="965">
        <v>651.80445759999998</v>
      </c>
      <c r="E28" s="965">
        <v>898.27246720000005</v>
      </c>
      <c r="F28" s="965">
        <v>1316.5897312000002</v>
      </c>
      <c r="G28" s="965">
        <v>37.1000096</v>
      </c>
      <c r="H28" s="965">
        <v>732.11802240000009</v>
      </c>
      <c r="I28" s="965">
        <v>638.2374112</v>
      </c>
      <c r="J28" s="965">
        <v>249.81789760000001</v>
      </c>
      <c r="K28" s="965">
        <v>29.730256000000004</v>
      </c>
      <c r="L28" s="965">
        <v>376.10867519999999</v>
      </c>
      <c r="M28" s="965">
        <v>0</v>
      </c>
      <c r="N28" s="965">
        <v>22.360502400000001</v>
      </c>
      <c r="O28" s="965">
        <v>783.53880320000007</v>
      </c>
      <c r="P28" s="965">
        <v>35.927548800000004</v>
      </c>
      <c r="Q28" s="965">
        <v>501.56198080000001</v>
      </c>
      <c r="R28" s="965">
        <v>61.97292800000001</v>
      </c>
      <c r="S28" s="965">
        <v>14.7395072</v>
      </c>
      <c r="T28" s="965">
        <v>715.87106560000007</v>
      </c>
      <c r="U28" s="965">
        <f t="shared" si="2"/>
        <v>11039.3884096</v>
      </c>
      <c r="V28" s="716"/>
      <c r="W28" s="716"/>
      <c r="X28" s="716"/>
    </row>
    <row r="29" spans="1:24" s="39" customFormat="1" ht="14.45" customHeight="1">
      <c r="A29" s="829" t="s">
        <v>819</v>
      </c>
      <c r="B29" s="966">
        <v>2250.44625</v>
      </c>
      <c r="C29" s="966">
        <v>1780.3575000000001</v>
      </c>
      <c r="D29" s="966">
        <v>814.55250000000001</v>
      </c>
      <c r="E29" s="966">
        <v>950.7299999999999</v>
      </c>
      <c r="F29" s="966">
        <v>1376.4312500000001</v>
      </c>
      <c r="G29" s="966">
        <v>1.92625</v>
      </c>
      <c r="H29" s="966">
        <v>726.61500000000001</v>
      </c>
      <c r="I29" s="966">
        <v>936.57625000000007</v>
      </c>
      <c r="J29" s="966">
        <v>261.80250000000001</v>
      </c>
      <c r="K29" s="966">
        <v>34.17</v>
      </c>
      <c r="L29" s="966">
        <v>375.45124999999996</v>
      </c>
      <c r="M29" s="966">
        <v>0</v>
      </c>
      <c r="N29" s="966">
        <v>26.967500000000001</v>
      </c>
      <c r="O29" s="966">
        <v>927.86625000000004</v>
      </c>
      <c r="P29" s="966">
        <v>44.303750000000001</v>
      </c>
      <c r="Q29" s="966">
        <v>515.39750000000004</v>
      </c>
      <c r="R29" s="966">
        <v>61.388750000000002</v>
      </c>
      <c r="S29" s="966">
        <v>15.242500000000001</v>
      </c>
      <c r="T29" s="966">
        <v>717.3187499999998</v>
      </c>
      <c r="U29" s="966">
        <f t="shared" si="2"/>
        <v>11817.543750000001</v>
      </c>
      <c r="V29" s="716"/>
      <c r="W29" s="716"/>
      <c r="X29" s="716"/>
    </row>
    <row r="30" spans="1:24" s="202" customFormat="1" ht="14.45" customHeight="1">
      <c r="A30" s="834" t="s">
        <v>813</v>
      </c>
      <c r="B30" s="965">
        <v>1802.97</v>
      </c>
      <c r="C30" s="965">
        <v>1362.5287499999999</v>
      </c>
      <c r="D30" s="965">
        <v>668.57624999999996</v>
      </c>
      <c r="E30" s="965">
        <v>806.93124999999986</v>
      </c>
      <c r="F30" s="965">
        <v>1044.865</v>
      </c>
      <c r="G30" s="965">
        <v>1.2562500000000001</v>
      </c>
      <c r="H30" s="965">
        <v>646.63374999999996</v>
      </c>
      <c r="I30" s="965">
        <v>615.05999999999995</v>
      </c>
      <c r="J30" s="965">
        <v>235.33750000000001</v>
      </c>
      <c r="K30" s="965">
        <v>28.72625</v>
      </c>
      <c r="L30" s="965">
        <v>278.13375000000002</v>
      </c>
      <c r="M30" s="965">
        <v>0</v>
      </c>
      <c r="N30" s="965">
        <v>22.026249999999997</v>
      </c>
      <c r="O30" s="965">
        <v>750.48374999999999</v>
      </c>
      <c r="P30" s="965">
        <v>27.05125</v>
      </c>
      <c r="Q30" s="965">
        <v>564.3075</v>
      </c>
      <c r="R30" s="965">
        <v>63.482500000000002</v>
      </c>
      <c r="S30" s="965">
        <v>12.981249999999999</v>
      </c>
      <c r="T30" s="965">
        <v>613.30125000000066</v>
      </c>
      <c r="U30" s="965">
        <f t="shared" si="2"/>
        <v>9544.6525000000001</v>
      </c>
      <c r="V30" s="21"/>
      <c r="W30" s="21"/>
      <c r="X30" s="21"/>
    </row>
    <row r="31" spans="1:24" s="202" customFormat="1" ht="14.45" customHeight="1">
      <c r="A31" s="829" t="s">
        <v>820</v>
      </c>
      <c r="B31" s="966">
        <v>2046.8876306999998</v>
      </c>
      <c r="C31" s="966">
        <v>1622.1045951000001</v>
      </c>
      <c r="D31" s="966">
        <v>692.32594199999994</v>
      </c>
      <c r="E31" s="966">
        <v>869.17917899999998</v>
      </c>
      <c r="F31" s="966">
        <v>1176.6188345999999</v>
      </c>
      <c r="G31" s="966">
        <v>2.5145010000000001</v>
      </c>
      <c r="H31" s="966">
        <v>676.14931890000003</v>
      </c>
      <c r="I31" s="966">
        <v>634.07333549999998</v>
      </c>
      <c r="J31" s="966">
        <v>212.39151779999997</v>
      </c>
      <c r="K31" s="966">
        <v>45.093384599999993</v>
      </c>
      <c r="L31" s="966">
        <v>296.3758512</v>
      </c>
      <c r="M31" s="966">
        <v>0</v>
      </c>
      <c r="N31" s="966">
        <v>23.887759500000001</v>
      </c>
      <c r="O31" s="966">
        <v>780.3334769999999</v>
      </c>
      <c r="P31" s="966">
        <v>30.928362299999996</v>
      </c>
      <c r="Q31" s="966">
        <v>524.94399210000006</v>
      </c>
      <c r="R31" s="966">
        <v>63.030158399999991</v>
      </c>
      <c r="S31" s="966">
        <v>13.5783054</v>
      </c>
      <c r="T31" s="966">
        <v>675.3949685999994</v>
      </c>
      <c r="U31" s="966">
        <f t="shared" si="2"/>
        <v>10385.811113699998</v>
      </c>
      <c r="V31" s="21"/>
      <c r="W31" s="21"/>
      <c r="X31" s="21"/>
    </row>
    <row r="32" spans="1:24" s="202" customFormat="1" ht="14.45" customHeight="1">
      <c r="A32" s="834" t="s">
        <v>821</v>
      </c>
      <c r="B32" s="965">
        <v>1852.5139945000003</v>
      </c>
      <c r="C32" s="965">
        <v>1540.0852070000001</v>
      </c>
      <c r="D32" s="965">
        <v>687.00783850000005</v>
      </c>
      <c r="E32" s="965">
        <v>909.52423400000009</v>
      </c>
      <c r="F32" s="965">
        <v>1061.1675220000002</v>
      </c>
      <c r="G32" s="965">
        <v>2.2645845000000007</v>
      </c>
      <c r="H32" s="965">
        <v>625.02532200000007</v>
      </c>
      <c r="I32" s="965">
        <v>613.53465250000011</v>
      </c>
      <c r="J32" s="965">
        <v>216.39363000000003</v>
      </c>
      <c r="K32" s="965">
        <v>32.9622855</v>
      </c>
      <c r="L32" s="965">
        <v>284.91827950000004</v>
      </c>
      <c r="M32" s="965">
        <v>0</v>
      </c>
      <c r="N32" s="965">
        <v>29.523472000000005</v>
      </c>
      <c r="O32" s="965">
        <v>742.61596900000018</v>
      </c>
      <c r="P32" s="965">
        <v>37.575328000000006</v>
      </c>
      <c r="Q32" s="965">
        <v>506.84756050000004</v>
      </c>
      <c r="R32" s="965">
        <v>69.447258000000005</v>
      </c>
      <c r="S32" s="965">
        <v>11.406796000000002</v>
      </c>
      <c r="T32" s="965">
        <v>677.94950050000182</v>
      </c>
      <c r="U32" s="965">
        <f>SUM(B32:T32)</f>
        <v>9900.7634340000041</v>
      </c>
      <c r="V32" s="21"/>
      <c r="W32" s="21"/>
      <c r="X32" s="21"/>
    </row>
    <row r="33" spans="1:25" s="202" customFormat="1" ht="14.45" customHeight="1">
      <c r="A33" s="1619" t="s">
        <v>814</v>
      </c>
      <c r="B33" s="966">
        <v>1940.4392</v>
      </c>
      <c r="C33" s="966">
        <v>1402.0529000000001</v>
      </c>
      <c r="D33" s="966">
        <v>704.34050000000002</v>
      </c>
      <c r="E33" s="966">
        <v>881.70510000000013</v>
      </c>
      <c r="F33" s="966">
        <v>1276.3706999999999</v>
      </c>
      <c r="G33" s="966">
        <v>2.0975000000000001</v>
      </c>
      <c r="H33" s="966">
        <v>622.11850000000015</v>
      </c>
      <c r="I33" s="966">
        <v>595.27050000000008</v>
      </c>
      <c r="J33" s="966">
        <v>208.07200000000003</v>
      </c>
      <c r="K33" s="966">
        <v>39.2652</v>
      </c>
      <c r="L33" s="966">
        <v>360.85390000000001</v>
      </c>
      <c r="M33" s="966">
        <v>0</v>
      </c>
      <c r="N33" s="966">
        <v>33.727799999999995</v>
      </c>
      <c r="O33" s="966">
        <v>742.01160000000004</v>
      </c>
      <c r="P33" s="966">
        <v>35.657500000000006</v>
      </c>
      <c r="Q33" s="966">
        <v>522.19360000000006</v>
      </c>
      <c r="R33" s="966">
        <v>78.782100000000014</v>
      </c>
      <c r="S33" s="966">
        <v>12.417200000000001</v>
      </c>
      <c r="T33" s="966">
        <v>668.59910000000002</v>
      </c>
      <c r="U33" s="966">
        <f t="shared" si="2"/>
        <v>10125.974900000001</v>
      </c>
      <c r="V33" s="21"/>
      <c r="W33" s="21"/>
      <c r="X33" s="21"/>
    </row>
    <row r="34" spans="1:25" s="202" customFormat="1" ht="14.45" customHeight="1">
      <c r="A34" s="834" t="s">
        <v>822</v>
      </c>
      <c r="B34" s="965">
        <v>2479.7217597000003</v>
      </c>
      <c r="C34" s="965">
        <v>2130.4403460000003</v>
      </c>
      <c r="D34" s="965">
        <v>1030.9719593999998</v>
      </c>
      <c r="E34" s="965">
        <v>1249.6400879</v>
      </c>
      <c r="F34" s="965">
        <v>1518.6732363999997</v>
      </c>
      <c r="G34" s="965">
        <v>3.4416096999999994</v>
      </c>
      <c r="H34" s="965">
        <v>808.0228042</v>
      </c>
      <c r="I34" s="965">
        <v>754.80376639999997</v>
      </c>
      <c r="J34" s="965">
        <v>300.9309945</v>
      </c>
      <c r="K34" s="965">
        <v>54.058454800000007</v>
      </c>
      <c r="L34" s="965">
        <v>356.75222500000001</v>
      </c>
      <c r="M34" s="965">
        <v>0</v>
      </c>
      <c r="N34" s="965">
        <v>37.773764999999997</v>
      </c>
      <c r="O34" s="965">
        <v>899.85502400000007</v>
      </c>
      <c r="P34" s="965">
        <v>43.313917199999999</v>
      </c>
      <c r="Q34" s="965">
        <v>693.10661689999984</v>
      </c>
      <c r="R34" s="965">
        <v>99.386972799999995</v>
      </c>
      <c r="S34" s="965">
        <v>13.262788599999999</v>
      </c>
      <c r="T34" s="965">
        <v>933.09593720000066</v>
      </c>
      <c r="U34" s="965">
        <f t="shared" si="2"/>
        <v>13407.252265700001</v>
      </c>
      <c r="V34" s="21"/>
      <c r="W34" s="21"/>
      <c r="X34" s="21"/>
    </row>
    <row r="35" spans="1:25" s="1647" customFormat="1" ht="14.45" customHeight="1">
      <c r="A35" s="829" t="s">
        <v>823</v>
      </c>
      <c r="B35" s="966">
        <v>2005.234962</v>
      </c>
      <c r="C35" s="966">
        <v>1905.9817143</v>
      </c>
      <c r="D35" s="966">
        <v>965.47104960000001</v>
      </c>
      <c r="E35" s="966">
        <v>1005.9791490000001</v>
      </c>
      <c r="F35" s="966">
        <v>1080.6081786000002</v>
      </c>
      <c r="G35" s="966">
        <v>2.3531676000000004</v>
      </c>
      <c r="H35" s="966">
        <v>592.83015180000007</v>
      </c>
      <c r="I35" s="966">
        <v>744.18925349999995</v>
      </c>
      <c r="J35" s="966">
        <v>232.71146730000004</v>
      </c>
      <c r="K35" s="966">
        <v>47.819727300000004</v>
      </c>
      <c r="L35" s="966">
        <v>274.90040070000003</v>
      </c>
      <c r="M35" s="966">
        <v>0</v>
      </c>
      <c r="N35" s="966">
        <v>84.545950200000021</v>
      </c>
      <c r="O35" s="966">
        <v>811.59069690000001</v>
      </c>
      <c r="P35" s="966">
        <v>38.0708901</v>
      </c>
      <c r="Q35" s="966">
        <v>452.64859620000004</v>
      </c>
      <c r="R35" s="966">
        <v>94.042662300000003</v>
      </c>
      <c r="S35" s="966">
        <v>9.6647955000000003</v>
      </c>
      <c r="T35" s="966">
        <v>725.78412120000064</v>
      </c>
      <c r="U35" s="966">
        <f t="shared" si="2"/>
        <v>11074.426934100004</v>
      </c>
      <c r="V35" s="40"/>
      <c r="W35" s="40"/>
      <c r="X35" s="40"/>
    </row>
    <row r="36" spans="1:25" s="1647" customFormat="1" ht="14.45" customHeight="1">
      <c r="A36" s="834" t="s">
        <v>815</v>
      </c>
      <c r="B36" s="965">
        <v>2389.4048375000002</v>
      </c>
      <c r="C36" s="965">
        <v>1969.0380023000002</v>
      </c>
      <c r="D36" s="965">
        <v>905.74232360000008</v>
      </c>
      <c r="E36" s="965">
        <v>1127.3780428</v>
      </c>
      <c r="F36" s="965">
        <v>1331.3300610000001</v>
      </c>
      <c r="G36" s="965">
        <v>2.9472835000000002</v>
      </c>
      <c r="H36" s="965">
        <v>731.43155660000002</v>
      </c>
      <c r="I36" s="965">
        <v>828.18666350000001</v>
      </c>
      <c r="J36" s="965">
        <v>266.35022029999999</v>
      </c>
      <c r="K36" s="965">
        <v>51.703773400000003</v>
      </c>
      <c r="L36" s="965">
        <v>322.68543920000002</v>
      </c>
      <c r="M36" s="965">
        <v>0</v>
      </c>
      <c r="N36" s="965">
        <v>30.4833322</v>
      </c>
      <c r="O36" s="965">
        <v>853.36488540000005</v>
      </c>
      <c r="P36" s="965">
        <v>43.872420099999999</v>
      </c>
      <c r="Q36" s="965">
        <v>501.03819499999997</v>
      </c>
      <c r="R36" s="965">
        <v>83.787059499999998</v>
      </c>
      <c r="S36" s="965">
        <v>18.357365800000004</v>
      </c>
      <c r="T36" s="965">
        <v>826.16566910000051</v>
      </c>
      <c r="U36" s="965">
        <f t="shared" si="2"/>
        <v>12283.267130800004</v>
      </c>
      <c r="V36" s="40"/>
      <c r="W36" s="40"/>
      <c r="X36" s="40"/>
    </row>
    <row r="37" spans="1:25" s="1647" customFormat="1" ht="14.45" customHeight="1">
      <c r="A37" s="829" t="s">
        <v>2855</v>
      </c>
      <c r="B37" s="966">
        <v>2278.0333030000002</v>
      </c>
      <c r="C37" s="966">
        <v>1709.136377</v>
      </c>
      <c r="D37" s="966">
        <v>810.673903</v>
      </c>
      <c r="E37" s="966">
        <v>1226.7630570000001</v>
      </c>
      <c r="F37" s="966">
        <v>1289.3366590000001</v>
      </c>
      <c r="G37" s="966">
        <v>1.6866200000000002</v>
      </c>
      <c r="H37" s="966">
        <v>810.42091000000005</v>
      </c>
      <c r="I37" s="966">
        <v>763.27988100000016</v>
      </c>
      <c r="J37" s="966">
        <v>286.13508300000001</v>
      </c>
      <c r="K37" s="966">
        <v>49.755290000000002</v>
      </c>
      <c r="L37" s="966">
        <v>391.12717800000007</v>
      </c>
      <c r="M37" s="966">
        <v>0</v>
      </c>
      <c r="N37" s="966">
        <v>28.588208999999999</v>
      </c>
      <c r="O37" s="966">
        <v>890.87268400000016</v>
      </c>
      <c r="P37" s="966">
        <v>41.575182999999996</v>
      </c>
      <c r="Q37" s="966">
        <v>524.117165</v>
      </c>
      <c r="R37" s="966">
        <v>87.451246999999995</v>
      </c>
      <c r="S37" s="966">
        <v>16.02289</v>
      </c>
      <c r="T37" s="966">
        <v>890.6196910000001</v>
      </c>
      <c r="U37" s="966">
        <f t="shared" si="2"/>
        <v>12095.59533</v>
      </c>
      <c r="V37" s="40"/>
      <c r="W37" s="40"/>
      <c r="X37" s="40"/>
    </row>
    <row r="38" spans="1:25" s="1647" customFormat="1" ht="14.45" customHeight="1" thickBot="1">
      <c r="A38" s="1711" t="s">
        <v>825</v>
      </c>
      <c r="B38" s="1712">
        <v>2864.0354931000002</v>
      </c>
      <c r="C38" s="1712">
        <v>2199.8415228000003</v>
      </c>
      <c r="D38" s="1712">
        <v>1260.4561314</v>
      </c>
      <c r="E38" s="1712">
        <v>1397.9251035</v>
      </c>
      <c r="F38" s="1712">
        <v>1708.7722752000002</v>
      </c>
      <c r="G38" s="1712">
        <v>5.5764918000000003</v>
      </c>
      <c r="H38" s="1712">
        <v>923.3318544</v>
      </c>
      <c r="I38" s="1712">
        <v>968.87320409999995</v>
      </c>
      <c r="J38" s="1712">
        <v>314.81830980000001</v>
      </c>
      <c r="K38" s="1712">
        <v>56.018394899999997</v>
      </c>
      <c r="L38" s="1712">
        <v>348.86870669999996</v>
      </c>
      <c r="M38" s="1712">
        <v>0</v>
      </c>
      <c r="N38" s="1712">
        <v>45.963811200000002</v>
      </c>
      <c r="O38" s="1712">
        <v>1017.4562766000001</v>
      </c>
      <c r="P38" s="1712">
        <v>60.4964868</v>
      </c>
      <c r="Q38" s="1712">
        <v>556.12831859999994</v>
      </c>
      <c r="R38" s="1712">
        <v>88.970391899999996</v>
      </c>
      <c r="S38" s="1712">
        <v>15.1241217</v>
      </c>
      <c r="T38" s="1712">
        <v>1002.416647199999</v>
      </c>
      <c r="U38" s="1712">
        <f t="shared" si="2"/>
        <v>14835.073541700001</v>
      </c>
      <c r="V38" s="40"/>
      <c r="W38" s="40"/>
      <c r="X38" s="40"/>
    </row>
    <row r="39" spans="1:25" s="11" customFormat="1" ht="11.1" customHeight="1">
      <c r="A39" s="76" t="s">
        <v>1144</v>
      </c>
      <c r="B39" s="11" t="s">
        <v>2240</v>
      </c>
      <c r="C39" s="271"/>
      <c r="D39" s="271"/>
      <c r="E39" s="271"/>
      <c r="F39" s="271"/>
      <c r="G39" s="271"/>
      <c r="H39" s="271"/>
      <c r="I39" s="271"/>
      <c r="J39" s="271"/>
      <c r="K39" s="1146"/>
      <c r="L39" s="241"/>
      <c r="M39" s="1354"/>
      <c r="N39" s="144" t="s">
        <v>2854</v>
      </c>
      <c r="O39" s="273"/>
      <c r="P39" s="271"/>
      <c r="Q39" s="271"/>
      <c r="R39" s="273"/>
      <c r="S39" s="273"/>
      <c r="T39" s="21"/>
      <c r="U39" s="199"/>
    </row>
    <row r="40" spans="1:25" s="11" customFormat="1">
      <c r="C40" s="7"/>
      <c r="D40" s="7"/>
      <c r="E40" s="7"/>
      <c r="F40" s="7"/>
      <c r="G40" s="7"/>
      <c r="H40" s="7"/>
      <c r="I40" s="7"/>
      <c r="J40" s="7"/>
      <c r="M40" s="35"/>
      <c r="N40" s="35"/>
      <c r="O40" s="35"/>
      <c r="P40" s="35"/>
      <c r="Q40" s="35"/>
      <c r="R40" s="35"/>
      <c r="S40" s="35"/>
      <c r="T40" s="35"/>
      <c r="U40" s="35"/>
    </row>
    <row r="41" spans="1:25" s="11" customFormat="1" ht="11.25" customHeight="1">
      <c r="U41" s="245"/>
      <c r="W41" s="245"/>
    </row>
    <row r="42" spans="1:25" s="251" customFormat="1">
      <c r="U42" s="966"/>
      <c r="W42" s="376"/>
      <c r="X42" s="376"/>
    </row>
    <row r="43" spans="1:25" s="251" customFormat="1">
      <c r="U43" s="966"/>
      <c r="V43" s="376"/>
      <c r="X43" s="376"/>
    </row>
    <row r="44" spans="1:25" s="251" customFormat="1">
      <c r="B44" s="376"/>
      <c r="C44" s="376"/>
      <c r="D44" s="376"/>
      <c r="E44" s="376"/>
      <c r="F44" s="376"/>
      <c r="G44" s="376"/>
      <c r="H44" s="376"/>
      <c r="I44" s="376"/>
      <c r="J44" s="376"/>
      <c r="K44" s="376"/>
      <c r="L44" s="376"/>
      <c r="M44" s="376"/>
      <c r="N44" s="376"/>
      <c r="O44" s="376"/>
      <c r="P44" s="376"/>
      <c r="Q44" s="376"/>
      <c r="R44" s="376"/>
      <c r="S44" s="376"/>
      <c r="T44" s="376"/>
      <c r="U44" s="376"/>
      <c r="V44" s="1490"/>
    </row>
    <row r="45" spans="1:25" s="251" customFormat="1" ht="12">
      <c r="B45" s="1565"/>
      <c r="C45" s="1565"/>
      <c r="D45" s="1565"/>
      <c r="E45" s="1565"/>
      <c r="F45" s="1565"/>
      <c r="G45" s="1565"/>
      <c r="H45" s="1565"/>
      <c r="I45" s="1565"/>
      <c r="J45" s="1565"/>
      <c r="K45" s="1565"/>
      <c r="L45" s="1565"/>
      <c r="M45" s="1565"/>
      <c r="N45" s="1565"/>
      <c r="O45" s="1565"/>
      <c r="P45" s="1565"/>
      <c r="Q45" s="1565"/>
      <c r="R45" s="1565"/>
      <c r="S45" s="1565"/>
      <c r="T45" s="1565"/>
      <c r="U45" s="1565"/>
      <c r="V45" s="376"/>
    </row>
    <row r="46" spans="1:25" s="251" customFormat="1" ht="12">
      <c r="B46" s="1565"/>
      <c r="C46" s="1565"/>
      <c r="D46" s="1565"/>
      <c r="E46" s="1565"/>
      <c r="F46" s="1565"/>
      <c r="G46" s="1565"/>
      <c r="H46" s="1565"/>
      <c r="I46" s="1565"/>
      <c r="J46" s="1565"/>
      <c r="K46" s="1565"/>
      <c r="L46" s="1565"/>
      <c r="M46" s="1565"/>
      <c r="N46" s="1565"/>
      <c r="O46" s="1565"/>
      <c r="P46" s="1565"/>
      <c r="Q46" s="1565"/>
      <c r="R46" s="1565"/>
      <c r="S46" s="1565"/>
      <c r="T46" s="1565"/>
      <c r="U46" s="1565"/>
    </row>
    <row r="47" spans="1:25" s="11" customFormat="1" ht="12">
      <c r="B47" s="1497"/>
      <c r="C47" s="1497"/>
      <c r="D47" s="1497"/>
      <c r="E47" s="1497"/>
      <c r="F47" s="1497"/>
      <c r="G47" s="1497"/>
      <c r="H47" s="1497"/>
      <c r="I47" s="1497"/>
      <c r="J47" s="1497"/>
      <c r="K47" s="1497"/>
      <c r="L47" s="1497"/>
      <c r="M47" s="1497"/>
      <c r="N47" s="1497"/>
      <c r="O47" s="1497"/>
      <c r="P47" s="1497"/>
      <c r="Q47" s="1497"/>
      <c r="R47" s="1497"/>
      <c r="S47" s="1497"/>
      <c r="T47" s="1497"/>
      <c r="U47" s="245"/>
      <c r="V47" s="245"/>
      <c r="W47" s="245"/>
    </row>
    <row r="48" spans="1:25" s="251" customFormat="1">
      <c r="A48" s="11"/>
      <c r="B48" s="245"/>
      <c r="C48" s="245"/>
      <c r="D48" s="245"/>
      <c r="E48" s="245"/>
      <c r="F48" s="245"/>
      <c r="G48" s="245"/>
      <c r="H48" s="245"/>
      <c r="I48" s="245"/>
      <c r="J48" s="245"/>
      <c r="K48" s="245"/>
      <c r="L48" s="245"/>
      <c r="M48" s="245"/>
      <c r="N48" s="245"/>
      <c r="O48" s="245"/>
      <c r="P48" s="245"/>
      <c r="Q48" s="245"/>
      <c r="R48" s="245"/>
      <c r="S48" s="245"/>
      <c r="T48" s="245"/>
      <c r="U48" s="245"/>
      <c r="V48" s="245"/>
      <c r="W48" s="245"/>
      <c r="X48" s="245"/>
      <c r="Y48" s="245"/>
    </row>
    <row r="49" spans="1:21" s="11" customFormat="1">
      <c r="A49" s="251"/>
      <c r="B49" s="245"/>
      <c r="C49" s="245"/>
      <c r="D49" s="245"/>
      <c r="E49" s="245"/>
      <c r="F49" s="245"/>
      <c r="G49" s="245"/>
      <c r="H49" s="245"/>
      <c r="I49" s="245"/>
      <c r="J49" s="245"/>
      <c r="K49" s="245"/>
      <c r="L49" s="245"/>
      <c r="M49" s="245"/>
      <c r="N49" s="245"/>
      <c r="O49" s="245"/>
      <c r="P49" s="245"/>
      <c r="Q49" s="245"/>
      <c r="R49" s="245"/>
      <c r="S49" s="245"/>
      <c r="T49" s="245"/>
      <c r="U49" s="245"/>
    </row>
    <row r="50" spans="1:21" s="11" customFormat="1"/>
    <row r="51" spans="1:21" s="11" customFormat="1"/>
    <row r="52" spans="1:21" s="11" customFormat="1"/>
    <row r="53" spans="1:21" s="11" customFormat="1"/>
    <row r="54" spans="1:21" s="11" customFormat="1"/>
    <row r="55" spans="1:21" s="11" customFormat="1"/>
    <row r="56" spans="1:21" s="11" customFormat="1"/>
    <row r="57" spans="1:21" s="11" customFormat="1"/>
    <row r="58" spans="1:21" s="11" customFormat="1"/>
    <row r="59" spans="1:21" s="11" customFormat="1"/>
    <row r="60" spans="1:21" s="11" customFormat="1"/>
    <row r="61" spans="1:21" s="11" customFormat="1"/>
    <row r="62" spans="1:21" s="11" customFormat="1"/>
    <row r="63" spans="1:21" s="11" customFormat="1"/>
    <row r="64" spans="1:21" s="11" customFormat="1"/>
    <row r="65" s="11" customFormat="1"/>
    <row r="66" s="11" customFormat="1"/>
    <row r="67" s="11" customFormat="1"/>
    <row r="68" s="11" customFormat="1"/>
    <row r="69" s="11" customFormat="1"/>
    <row r="70" s="11" customFormat="1"/>
    <row r="71" s="11" customFormat="1"/>
    <row r="72" s="11" customFormat="1"/>
    <row r="73" s="11" customFormat="1"/>
    <row r="74" s="11" customFormat="1"/>
    <row r="75" s="11" customFormat="1"/>
    <row r="76" s="11" customFormat="1"/>
    <row r="77" s="11" customFormat="1"/>
    <row r="78" s="11" customFormat="1"/>
    <row r="79" s="11" customFormat="1"/>
    <row r="80" s="11" customFormat="1"/>
    <row r="81" s="11" customFormat="1"/>
    <row r="82" s="11" customFormat="1"/>
    <row r="83" s="11" customFormat="1"/>
    <row r="84" s="11" customFormat="1"/>
    <row r="85" s="11" customFormat="1"/>
    <row r="86" s="11" customFormat="1"/>
    <row r="87" s="11" customFormat="1"/>
    <row r="88" s="11" customFormat="1"/>
    <row r="89" s="11" customFormat="1"/>
    <row r="90" s="11" customFormat="1"/>
    <row r="91" s="11" customFormat="1"/>
    <row r="92" s="11" customFormat="1"/>
    <row r="93" s="11" customFormat="1"/>
    <row r="94" s="11" customFormat="1"/>
    <row r="95" s="11" customFormat="1"/>
    <row r="96" s="11" customFormat="1"/>
    <row r="97" s="11" customFormat="1"/>
    <row r="98" s="11" customFormat="1"/>
    <row r="99" s="11" customFormat="1"/>
    <row r="100" s="11" customFormat="1"/>
    <row r="101" s="11" customFormat="1"/>
    <row r="102" s="11" customFormat="1"/>
    <row r="103" s="11" customFormat="1"/>
    <row r="104" s="11" customFormat="1"/>
    <row r="105" s="11" customFormat="1"/>
    <row r="106" s="11" customFormat="1"/>
    <row r="107" s="11" customFormat="1"/>
    <row r="108" s="11" customFormat="1"/>
    <row r="109" s="11" customFormat="1"/>
    <row r="110" s="11" customFormat="1"/>
    <row r="111" s="11" customFormat="1"/>
    <row r="112" s="11" customFormat="1"/>
    <row r="113" s="11" customFormat="1"/>
    <row r="114" s="11" customFormat="1"/>
    <row r="115" s="11" customFormat="1"/>
    <row r="116" s="11" customFormat="1"/>
    <row r="117" s="11" customFormat="1"/>
    <row r="118" s="11" customFormat="1"/>
    <row r="119" s="11" customFormat="1"/>
    <row r="120" s="11" customFormat="1"/>
    <row r="121" s="11" customFormat="1"/>
    <row r="122" s="11" customFormat="1"/>
    <row r="123" s="11" customFormat="1"/>
    <row r="124" s="11" customFormat="1"/>
    <row r="125" s="11" customFormat="1"/>
    <row r="126" s="11" customFormat="1"/>
    <row r="127" s="11" customFormat="1"/>
    <row r="128" s="11" customFormat="1"/>
    <row r="129" s="11" customFormat="1"/>
    <row r="130" s="11" customFormat="1"/>
    <row r="131" s="11" customFormat="1"/>
    <row r="132" s="11" customFormat="1"/>
    <row r="133" s="11" customFormat="1"/>
    <row r="134" s="11" customFormat="1"/>
    <row r="135" s="11" customFormat="1"/>
    <row r="136" s="11" customFormat="1"/>
    <row r="137" s="11" customFormat="1"/>
    <row r="138" s="11" customFormat="1"/>
    <row r="139" s="11" customFormat="1"/>
    <row r="140" s="11" customFormat="1"/>
    <row r="141" s="11" customFormat="1"/>
    <row r="142" s="11" customFormat="1"/>
    <row r="143" s="11" customFormat="1"/>
    <row r="144" s="11" customFormat="1"/>
    <row r="145" s="11" customFormat="1"/>
    <row r="146" s="11" customFormat="1"/>
    <row r="147" s="11" customFormat="1"/>
    <row r="148" s="11" customFormat="1"/>
    <row r="149" s="11" customFormat="1"/>
    <row r="150" s="11" customFormat="1"/>
    <row r="151" s="11" customFormat="1"/>
    <row r="152" s="11" customFormat="1"/>
    <row r="153" s="11" customFormat="1"/>
    <row r="154" s="11" customFormat="1"/>
    <row r="155" s="11" customFormat="1"/>
    <row r="156" s="11" customFormat="1"/>
    <row r="157" s="11" customFormat="1"/>
    <row r="158" s="11" customFormat="1"/>
    <row r="159" s="11" customFormat="1"/>
    <row r="160" s="11" customFormat="1"/>
    <row r="161" s="11" customFormat="1"/>
    <row r="162" s="11" customFormat="1"/>
    <row r="163" s="11" customFormat="1"/>
    <row r="164" s="11" customFormat="1"/>
    <row r="165" s="11" customFormat="1"/>
    <row r="166" s="11" customFormat="1"/>
    <row r="167" s="11" customFormat="1"/>
    <row r="168" s="11" customFormat="1"/>
    <row r="169" s="11" customFormat="1"/>
    <row r="170" s="11" customFormat="1"/>
    <row r="171" s="11" customFormat="1"/>
    <row r="172" s="11" customFormat="1"/>
    <row r="173" s="11" customFormat="1"/>
    <row r="174" s="11" customFormat="1"/>
    <row r="175" s="11" customFormat="1"/>
    <row r="176" s="11" customFormat="1"/>
    <row r="177" s="11" customFormat="1"/>
    <row r="178" s="11" customFormat="1"/>
    <row r="179" s="11" customFormat="1"/>
    <row r="180" s="11" customFormat="1"/>
    <row r="181" s="11" customFormat="1"/>
    <row r="182" s="11" customFormat="1"/>
    <row r="183" s="11" customFormat="1"/>
    <row r="184" s="11" customFormat="1"/>
    <row r="185" s="11" customFormat="1"/>
    <row r="186" s="11" customFormat="1"/>
    <row r="187" s="11" customFormat="1"/>
    <row r="188" s="11" customFormat="1"/>
    <row r="189" s="11" customFormat="1"/>
    <row r="190" s="11" customFormat="1"/>
    <row r="191" s="11" customFormat="1"/>
    <row r="192" s="11" customFormat="1"/>
    <row r="193" s="11" customFormat="1"/>
    <row r="194" s="11" customFormat="1"/>
    <row r="195" s="11" customFormat="1"/>
    <row r="196" s="11" customFormat="1"/>
    <row r="197" s="11" customFormat="1"/>
    <row r="198" s="11" customFormat="1"/>
    <row r="199" s="11" customFormat="1"/>
    <row r="200" s="11" customFormat="1"/>
    <row r="201" s="11" customFormat="1"/>
    <row r="202" s="11" customFormat="1"/>
    <row r="203" s="11" customFormat="1"/>
    <row r="204" s="11" customFormat="1"/>
    <row r="205" s="11" customFormat="1"/>
    <row r="206" s="11" customFormat="1"/>
    <row r="207" s="11" customFormat="1"/>
    <row r="208" s="11" customFormat="1"/>
    <row r="209" s="11" customFormat="1"/>
    <row r="210" s="11" customFormat="1"/>
    <row r="211" s="11" customFormat="1"/>
    <row r="212" s="11" customFormat="1"/>
    <row r="213" s="11" customFormat="1"/>
    <row r="214" s="11" customFormat="1"/>
    <row r="215" s="11" customFormat="1"/>
    <row r="216" s="11" customFormat="1"/>
    <row r="217" s="11" customFormat="1"/>
    <row r="218" s="11" customFormat="1"/>
    <row r="219" s="11" customFormat="1"/>
    <row r="220" s="11" customFormat="1"/>
    <row r="221" s="11" customFormat="1"/>
    <row r="222" s="11" customFormat="1"/>
    <row r="223" s="11" customFormat="1"/>
    <row r="224" s="11" customFormat="1"/>
    <row r="225" s="11" customFormat="1"/>
    <row r="226" s="11" customFormat="1"/>
    <row r="227" s="11" customFormat="1"/>
    <row r="228" s="11" customFormat="1"/>
    <row r="229" s="11" customFormat="1"/>
    <row r="230" s="11" customFormat="1"/>
    <row r="231" s="11" customFormat="1"/>
    <row r="232" s="11" customFormat="1"/>
    <row r="233" s="11" customFormat="1"/>
    <row r="234" s="11" customFormat="1"/>
    <row r="235" s="11" customFormat="1"/>
    <row r="236" s="11" customFormat="1"/>
    <row r="237" s="11" customFormat="1"/>
    <row r="238" s="11" customFormat="1"/>
    <row r="239" s="11" customFormat="1"/>
    <row r="240" s="11" customFormat="1"/>
    <row r="241" s="11" customFormat="1"/>
    <row r="242" s="11" customFormat="1"/>
    <row r="243" s="11" customFormat="1"/>
    <row r="244" s="11" customFormat="1"/>
    <row r="245" s="11" customFormat="1"/>
    <row r="246" s="11" customFormat="1"/>
    <row r="247" s="11" customFormat="1"/>
    <row r="248" s="11" customFormat="1"/>
    <row r="249" s="11" customFormat="1"/>
    <row r="250" s="11" customFormat="1"/>
    <row r="251" s="11" customFormat="1"/>
    <row r="252" s="11" customFormat="1"/>
    <row r="253" s="11" customFormat="1"/>
    <row r="254" s="11" customFormat="1"/>
    <row r="255" s="11" customFormat="1"/>
    <row r="256" s="11" customFormat="1"/>
    <row r="257" s="11" customFormat="1"/>
    <row r="258" s="11" customFormat="1"/>
    <row r="259" s="11" customFormat="1"/>
    <row r="260" s="11" customFormat="1"/>
    <row r="261" s="11" customFormat="1"/>
    <row r="262" s="11" customFormat="1"/>
    <row r="263" s="11" customFormat="1"/>
    <row r="264" s="11" customFormat="1"/>
    <row r="265" s="11" customFormat="1"/>
    <row r="266" s="11" customFormat="1"/>
    <row r="267" s="11" customFormat="1"/>
    <row r="268" s="11" customFormat="1"/>
    <row r="269" s="11" customFormat="1"/>
    <row r="270" s="11" customFormat="1"/>
    <row r="271" s="11" customFormat="1"/>
    <row r="272" s="11" customFormat="1"/>
    <row r="273" s="11" customFormat="1"/>
    <row r="274" s="11" customFormat="1"/>
    <row r="275" s="11" customFormat="1"/>
    <row r="276" s="11" customFormat="1"/>
    <row r="277" s="11" customFormat="1"/>
    <row r="278" s="11" customFormat="1"/>
    <row r="279" s="11" customFormat="1"/>
    <row r="280" s="11" customFormat="1"/>
    <row r="281" s="11" customFormat="1"/>
    <row r="282" s="11" customFormat="1"/>
    <row r="283" s="11" customFormat="1"/>
    <row r="284" s="11" customFormat="1"/>
    <row r="285" s="11" customFormat="1"/>
    <row r="286" s="11" customFormat="1"/>
    <row r="287" s="11" customFormat="1"/>
    <row r="288" s="11" customFormat="1"/>
    <row r="289" s="11" customFormat="1"/>
    <row r="290" s="11" customFormat="1"/>
    <row r="291" s="11" customFormat="1"/>
    <row r="292" s="11" customFormat="1"/>
    <row r="293" s="11" customFormat="1"/>
    <row r="294" s="11" customFormat="1"/>
    <row r="295" s="11" customFormat="1"/>
    <row r="296" s="11" customFormat="1"/>
    <row r="297" s="11" customFormat="1"/>
    <row r="298" s="11" customFormat="1"/>
    <row r="299" s="11" customFormat="1"/>
    <row r="300" s="11" customFormat="1"/>
    <row r="301" s="11" customFormat="1"/>
    <row r="302" s="11" customFormat="1"/>
    <row r="303" s="11" customFormat="1"/>
    <row r="304" s="11" customFormat="1"/>
    <row r="305" s="11" customFormat="1"/>
    <row r="306" s="11" customFormat="1"/>
    <row r="307" s="11" customFormat="1"/>
    <row r="308" s="11" customFormat="1"/>
    <row r="309" s="11" customFormat="1"/>
    <row r="310" s="11" customFormat="1"/>
    <row r="311" s="11" customFormat="1"/>
    <row r="312" s="11" customFormat="1"/>
    <row r="313" s="11" customFormat="1"/>
    <row r="314" s="11" customFormat="1"/>
    <row r="315" s="11" customFormat="1"/>
    <row r="316" s="11" customFormat="1"/>
    <row r="317" s="11" customFormat="1"/>
    <row r="318" s="11" customFormat="1"/>
    <row r="319" s="11" customFormat="1"/>
    <row r="320" s="11" customFormat="1"/>
    <row r="321" s="11" customFormat="1"/>
    <row r="322" s="11" customFormat="1"/>
    <row r="323" s="11" customFormat="1"/>
    <row r="324" s="11" customFormat="1"/>
    <row r="325" s="11" customFormat="1"/>
    <row r="326" s="11" customFormat="1"/>
    <row r="327" s="11" customFormat="1"/>
    <row r="328" s="11" customFormat="1"/>
    <row r="329" s="11" customFormat="1"/>
    <row r="330" s="11" customFormat="1"/>
    <row r="331" s="11" customFormat="1"/>
    <row r="332" s="11" customFormat="1"/>
    <row r="333" s="11" customFormat="1"/>
    <row r="334" s="11" customFormat="1"/>
    <row r="335" s="11" customFormat="1"/>
    <row r="336" s="11" customFormat="1"/>
    <row r="337" spans="1:21" s="11" customFormat="1"/>
    <row r="338" spans="1:21" s="11" customFormat="1"/>
    <row r="339" spans="1:21" s="11" customFormat="1"/>
    <row r="340" spans="1:21" s="11" customFormat="1"/>
    <row r="341" spans="1:21" s="11" customFormat="1"/>
    <row r="342" spans="1:21" s="11" customFormat="1"/>
    <row r="343" spans="1:21" s="11" customFormat="1"/>
    <row r="344" spans="1:21" s="11" customFormat="1"/>
    <row r="345" spans="1:21" s="11" customFormat="1"/>
    <row r="346" spans="1:21" s="11" customFormat="1"/>
    <row r="347" spans="1:21" s="11" customFormat="1"/>
    <row r="348" spans="1:21" s="11" customFormat="1"/>
    <row r="349" spans="1:21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</row>
  </sheetData>
  <mergeCells count="3">
    <mergeCell ref="T1:U1"/>
    <mergeCell ref="T2:U2"/>
    <mergeCell ref="A1:J1"/>
  </mergeCells>
  <phoneticPr fontId="46" type="noConversion"/>
  <pageMargins left="0.55118110236220497" right="0.511811023622047" top="0.511811023622047" bottom="0.27559055118110198" header="0" footer="0.143700787"/>
  <pageSetup paperSize="448" firstPageNumber="84" orientation="portrait" useFirstPageNumber="1" r:id="rId1"/>
  <headerFooter>
    <oddFooter>&amp;C&amp;"Times New Roman,Regular"&amp;8&amp;P</oddFooter>
  </headerFooter>
</worksheet>
</file>

<file path=xl/worksheets/sheet33.xml><?xml version="1.0" encoding="utf-8"?>
<worksheet xmlns="http://schemas.openxmlformats.org/spreadsheetml/2006/main" xmlns:r="http://schemas.openxmlformats.org/officeDocument/2006/relationships">
  <sheetPr codeName="Sheet33"/>
  <dimension ref="A1:BW72"/>
  <sheetViews>
    <sheetView zoomScale="130" zoomScaleNormal="130" workbookViewId="0">
      <pane xSplit="1" ySplit="6" topLeftCell="B30" activePane="bottomRight" state="frozen"/>
      <selection pane="topRight" activeCell="B1" sqref="B1"/>
      <selection pane="bottomLeft" activeCell="A7" sqref="A7"/>
      <selection pane="bottomRight" activeCell="C40" sqref="C40"/>
    </sheetView>
  </sheetViews>
  <sheetFormatPr defaultColWidth="9.140625" defaultRowHeight="11.25"/>
  <cols>
    <col min="1" max="1" width="9.28515625" style="62" customWidth="1"/>
    <col min="2" max="2" width="9.85546875" style="11" customWidth="1"/>
    <col min="3" max="3" width="9.7109375" style="11" customWidth="1"/>
    <col min="4" max="4" width="10.140625" style="11" customWidth="1"/>
    <col min="5" max="5" width="11" style="11" customWidth="1"/>
    <col min="6" max="6" width="11.28515625" style="11" customWidth="1"/>
    <col min="7" max="7" width="11.85546875" style="11" customWidth="1"/>
    <col min="8" max="8" width="9.85546875" style="11" customWidth="1"/>
    <col min="9" max="9" width="9.5703125" style="11" customWidth="1"/>
    <col min="10" max="10" width="9.28515625" style="11" customWidth="1"/>
    <col min="11" max="11" width="9.7109375" style="11" customWidth="1"/>
    <col min="12" max="12" width="9.42578125" style="11" customWidth="1"/>
    <col min="13" max="13" width="8" style="11" customWidth="1"/>
    <col min="14" max="14" width="8.7109375" style="11" customWidth="1"/>
    <col min="15" max="15" width="7.5703125" style="11" customWidth="1"/>
    <col min="16" max="16" width="11.42578125" style="62" customWidth="1"/>
    <col min="17" max="17" width="10.7109375" style="11" customWidth="1"/>
    <col min="18" max="18" width="10.5703125" style="11" customWidth="1"/>
    <col min="19" max="19" width="10.7109375" style="11" customWidth="1"/>
    <col min="20" max="20" width="10.85546875" style="11" customWidth="1"/>
    <col min="21" max="21" width="10.5703125" style="11" customWidth="1"/>
    <col min="22" max="22" width="10.7109375" style="11" customWidth="1"/>
    <col min="23" max="23" width="9.85546875" style="11" customWidth="1"/>
    <col min="24" max="24" width="9.140625" style="11" customWidth="1"/>
    <col min="25" max="25" width="9.42578125" style="11" customWidth="1"/>
    <col min="26" max="26" width="9" style="11" customWidth="1"/>
    <col min="27" max="27" width="9.42578125" style="11" customWidth="1"/>
    <col min="28" max="29" width="9.7109375" style="11" customWidth="1"/>
    <col min="30" max="30" width="9.42578125" style="11" customWidth="1"/>
    <col min="31" max="31" width="10.42578125" style="62" customWidth="1"/>
    <col min="32" max="32" width="10.7109375" style="11" customWidth="1"/>
    <col min="33" max="34" width="10.85546875" style="11" customWidth="1"/>
    <col min="35" max="35" width="11.140625" style="11" customWidth="1"/>
    <col min="36" max="36" width="11.42578125" style="11" customWidth="1"/>
    <col min="37" max="37" width="9" style="11" customWidth="1"/>
    <col min="38" max="38" width="9.7109375" style="11" customWidth="1"/>
    <col min="39" max="39" width="9.5703125" style="11" customWidth="1"/>
    <col min="40" max="40" width="9.28515625" style="11" customWidth="1"/>
    <col min="41" max="41" width="9.42578125" style="11" customWidth="1"/>
    <col min="42" max="42" width="9.140625" style="11" customWidth="1"/>
    <col min="43" max="43" width="9.28515625" style="11" customWidth="1"/>
    <col min="44" max="44" width="10" style="11" customWidth="1"/>
    <col min="45" max="45" width="9.140625" style="11" customWidth="1"/>
    <col min="46" max="46" width="10.7109375" style="62" customWidth="1"/>
    <col min="47" max="47" width="10.85546875" style="11" customWidth="1"/>
    <col min="48" max="48" width="10.5703125" style="11" customWidth="1"/>
    <col min="49" max="49" width="10.28515625" style="11" customWidth="1"/>
    <col min="50" max="50" width="10.5703125" style="11" customWidth="1"/>
    <col min="51" max="51" width="11" style="11" customWidth="1"/>
    <col min="52" max="52" width="11.42578125" style="11" customWidth="1"/>
    <col min="53" max="53" width="9.85546875" style="11" customWidth="1"/>
    <col min="54" max="54" width="9.28515625" style="11" customWidth="1"/>
    <col min="55" max="55" width="9.85546875" style="11" customWidth="1"/>
    <col min="56" max="56" width="9.140625" style="11" customWidth="1"/>
    <col min="57" max="57" width="9.7109375" style="11" customWidth="1"/>
    <col min="58" max="58" width="8.7109375" style="11" customWidth="1"/>
    <col min="59" max="59" width="9" style="11" customWidth="1"/>
    <col min="60" max="60" width="9.28515625" style="11" customWidth="1"/>
    <col min="61" max="61" width="10" style="62" customWidth="1"/>
    <col min="62" max="62" width="10.28515625" style="11" customWidth="1"/>
    <col min="63" max="63" width="10.42578125" style="11" customWidth="1"/>
    <col min="64" max="64" width="10.140625" style="11" customWidth="1"/>
    <col min="65" max="65" width="11" style="11" customWidth="1"/>
    <col min="66" max="66" width="10.7109375" style="11" customWidth="1"/>
    <col min="67" max="67" width="11.42578125" style="11" customWidth="1"/>
    <col min="68" max="68" width="10" style="11" customWidth="1"/>
    <col min="69" max="69" width="9.42578125" style="11" customWidth="1"/>
    <col min="70" max="70" width="9" style="11" customWidth="1"/>
    <col min="71" max="71" width="9.7109375" style="11" customWidth="1"/>
    <col min="72" max="72" width="9.28515625" style="11" customWidth="1"/>
    <col min="73" max="73" width="9.42578125" style="11" customWidth="1"/>
    <col min="74" max="74" width="9.5703125" style="11" customWidth="1"/>
    <col min="75" max="75" width="9.140625" style="11" customWidth="1"/>
    <col min="76" max="16384" width="9.140625" style="11"/>
  </cols>
  <sheetData>
    <row r="1" spans="1:75" s="179" customFormat="1" ht="14.25" customHeight="1">
      <c r="C1" s="71"/>
      <c r="D1" s="71"/>
      <c r="F1" s="2035" t="s">
        <v>538</v>
      </c>
      <c r="G1" s="2035"/>
      <c r="H1" s="193" t="s">
        <v>536</v>
      </c>
      <c r="M1" s="2035" t="s">
        <v>1821</v>
      </c>
      <c r="N1" s="2035"/>
      <c r="O1" s="2035"/>
      <c r="U1" s="2035" t="s">
        <v>538</v>
      </c>
      <c r="V1" s="2035"/>
      <c r="W1" s="193" t="s">
        <v>536</v>
      </c>
      <c r="AB1" s="2035" t="s">
        <v>1821</v>
      </c>
      <c r="AC1" s="2035"/>
      <c r="AD1" s="2035"/>
      <c r="AJ1" s="2035" t="s">
        <v>538</v>
      </c>
      <c r="AK1" s="2035"/>
      <c r="AL1" s="193" t="s">
        <v>536</v>
      </c>
      <c r="AQ1" s="2035" t="s">
        <v>1821</v>
      </c>
      <c r="AR1" s="2035"/>
      <c r="AS1" s="2035"/>
      <c r="AY1" s="2035" t="s">
        <v>538</v>
      </c>
      <c r="AZ1" s="2035"/>
      <c r="BA1" s="193" t="s">
        <v>536</v>
      </c>
      <c r="BF1" s="2035" t="s">
        <v>1821</v>
      </c>
      <c r="BG1" s="2035"/>
      <c r="BH1" s="2035"/>
      <c r="BN1" s="2035" t="s">
        <v>538</v>
      </c>
      <c r="BO1" s="2035"/>
      <c r="BP1" s="193" t="s">
        <v>536</v>
      </c>
      <c r="BU1" s="2035" t="s">
        <v>1822</v>
      </c>
      <c r="BV1" s="2035"/>
      <c r="BW1" s="2035"/>
    </row>
    <row r="2" spans="1:75" s="86" customFormat="1" ht="12.75" customHeight="1">
      <c r="G2" s="191" t="s">
        <v>535</v>
      </c>
      <c r="H2" s="15" t="s">
        <v>537</v>
      </c>
      <c r="I2" s="104"/>
      <c r="J2" s="104"/>
      <c r="K2" s="104"/>
      <c r="L2" s="104"/>
      <c r="M2" s="104"/>
      <c r="P2" s="104"/>
      <c r="Q2" s="104"/>
      <c r="R2" s="104"/>
      <c r="S2" s="104"/>
      <c r="T2" s="104"/>
      <c r="V2" s="191" t="s">
        <v>535</v>
      </c>
      <c r="W2" s="15" t="s">
        <v>537</v>
      </c>
      <c r="AC2" s="2221"/>
      <c r="AD2" s="2221"/>
      <c r="AK2" s="191" t="s">
        <v>535</v>
      </c>
      <c r="AL2" s="15" t="s">
        <v>537</v>
      </c>
      <c r="AZ2" s="191" t="s">
        <v>535</v>
      </c>
      <c r="BA2" s="15" t="s">
        <v>537</v>
      </c>
      <c r="BO2" s="191" t="s">
        <v>535</v>
      </c>
      <c r="BP2" s="15" t="s">
        <v>537</v>
      </c>
    </row>
    <row r="3" spans="1:75" s="112" customFormat="1" ht="11.25" customHeight="1">
      <c r="A3" s="2046" t="s">
        <v>739</v>
      </c>
      <c r="B3" s="2046" t="s">
        <v>894</v>
      </c>
      <c r="C3" s="2046"/>
      <c r="D3" s="2046" t="s">
        <v>773</v>
      </c>
      <c r="E3" s="2046"/>
      <c r="F3" s="2046" t="s">
        <v>774</v>
      </c>
      <c r="G3" s="2046"/>
      <c r="H3" s="2046" t="s">
        <v>775</v>
      </c>
      <c r="I3" s="2046"/>
      <c r="J3" s="2046" t="s">
        <v>72</v>
      </c>
      <c r="K3" s="2046"/>
      <c r="L3" s="2046" t="s">
        <v>776</v>
      </c>
      <c r="M3" s="2046"/>
      <c r="N3" s="2046" t="s">
        <v>2312</v>
      </c>
      <c r="O3" s="2046"/>
      <c r="P3" s="2046" t="s">
        <v>739</v>
      </c>
      <c r="Q3" s="1902" t="s">
        <v>74</v>
      </c>
      <c r="R3" s="1902"/>
      <c r="S3" s="2046" t="s">
        <v>777</v>
      </c>
      <c r="T3" s="2046"/>
      <c r="U3" s="2046" t="s">
        <v>778</v>
      </c>
      <c r="V3" s="2046"/>
      <c r="W3" s="2046" t="s">
        <v>294</v>
      </c>
      <c r="X3" s="2046"/>
      <c r="Y3" s="2046" t="s">
        <v>75</v>
      </c>
      <c r="Z3" s="2046"/>
      <c r="AA3" s="2046" t="s">
        <v>779</v>
      </c>
      <c r="AB3" s="2046"/>
      <c r="AC3" s="2046" t="s">
        <v>895</v>
      </c>
      <c r="AD3" s="2046"/>
      <c r="AE3" s="2046" t="s">
        <v>739</v>
      </c>
      <c r="AF3" s="2046" t="s">
        <v>295</v>
      </c>
      <c r="AG3" s="2046"/>
      <c r="AH3" s="2046" t="s">
        <v>780</v>
      </c>
      <c r="AI3" s="2046"/>
      <c r="AJ3" s="2046" t="s">
        <v>781</v>
      </c>
      <c r="AK3" s="2046"/>
      <c r="AL3" s="2046" t="s">
        <v>782</v>
      </c>
      <c r="AM3" s="2046"/>
      <c r="AN3" s="2046" t="s">
        <v>783</v>
      </c>
      <c r="AO3" s="2046"/>
      <c r="AP3" s="2046" t="s">
        <v>784</v>
      </c>
      <c r="AQ3" s="2046"/>
      <c r="AR3" s="2046" t="s">
        <v>785</v>
      </c>
      <c r="AS3" s="2046"/>
      <c r="AT3" s="2046" t="s">
        <v>739</v>
      </c>
      <c r="AU3" s="2046" t="s">
        <v>786</v>
      </c>
      <c r="AV3" s="2046"/>
      <c r="AW3" s="2046" t="s">
        <v>787</v>
      </c>
      <c r="AX3" s="2046"/>
      <c r="AY3" s="2046" t="s">
        <v>788</v>
      </c>
      <c r="AZ3" s="2046"/>
      <c r="BA3" s="2046" t="s">
        <v>296</v>
      </c>
      <c r="BB3" s="2046"/>
      <c r="BC3" s="2046" t="s">
        <v>789</v>
      </c>
      <c r="BD3" s="2046"/>
      <c r="BE3" s="2046" t="s">
        <v>790</v>
      </c>
      <c r="BF3" s="2046"/>
      <c r="BG3" s="2046" t="s">
        <v>620</v>
      </c>
      <c r="BH3" s="2046"/>
      <c r="BI3" s="2046" t="s">
        <v>739</v>
      </c>
      <c r="BJ3" s="2046" t="s">
        <v>964</v>
      </c>
      <c r="BK3" s="2046"/>
      <c r="BL3" s="2046" t="s">
        <v>896</v>
      </c>
      <c r="BM3" s="2046"/>
      <c r="BN3" s="2046" t="s">
        <v>791</v>
      </c>
      <c r="BO3" s="2046"/>
      <c r="BP3" s="2046" t="s">
        <v>297</v>
      </c>
      <c r="BQ3" s="2046"/>
      <c r="BR3" s="2046" t="s">
        <v>792</v>
      </c>
      <c r="BS3" s="2046"/>
      <c r="BT3" s="2046" t="s">
        <v>793</v>
      </c>
      <c r="BU3" s="2046"/>
      <c r="BV3" s="2046" t="s">
        <v>1894</v>
      </c>
      <c r="BW3" s="2046"/>
    </row>
    <row r="4" spans="1:75" s="1170" customFormat="1" ht="20.25" customHeight="1">
      <c r="A4" s="2046"/>
      <c r="B4" s="1907" t="s">
        <v>1686</v>
      </c>
      <c r="C4" s="1907" t="s">
        <v>1687</v>
      </c>
      <c r="D4" s="1907" t="s">
        <v>1686</v>
      </c>
      <c r="E4" s="1907" t="s">
        <v>1687</v>
      </c>
      <c r="F4" s="1907" t="s">
        <v>1686</v>
      </c>
      <c r="G4" s="1907" t="s">
        <v>1688</v>
      </c>
      <c r="H4" s="1907" t="s">
        <v>1686</v>
      </c>
      <c r="I4" s="1907" t="s">
        <v>1687</v>
      </c>
      <c r="J4" s="1907" t="s">
        <v>1686</v>
      </c>
      <c r="K4" s="1907" t="s">
        <v>1687</v>
      </c>
      <c r="L4" s="1907" t="s">
        <v>1686</v>
      </c>
      <c r="M4" s="1907" t="s">
        <v>1687</v>
      </c>
      <c r="N4" s="1907" t="s">
        <v>1686</v>
      </c>
      <c r="O4" s="1907" t="s">
        <v>1687</v>
      </c>
      <c r="P4" s="2046"/>
      <c r="Q4" s="1907" t="s">
        <v>1686</v>
      </c>
      <c r="R4" s="1907" t="s">
        <v>1687</v>
      </c>
      <c r="S4" s="1907" t="s">
        <v>1686</v>
      </c>
      <c r="T4" s="1907" t="s">
        <v>1687</v>
      </c>
      <c r="U4" s="1907" t="s">
        <v>1686</v>
      </c>
      <c r="V4" s="1907" t="s">
        <v>1688</v>
      </c>
      <c r="W4" s="1907" t="s">
        <v>1686</v>
      </c>
      <c r="X4" s="1907" t="s">
        <v>1687</v>
      </c>
      <c r="Y4" s="1907" t="s">
        <v>1686</v>
      </c>
      <c r="Z4" s="1907" t="s">
        <v>1687</v>
      </c>
      <c r="AA4" s="1907" t="s">
        <v>1686</v>
      </c>
      <c r="AB4" s="1907" t="s">
        <v>1687</v>
      </c>
      <c r="AC4" s="1907" t="s">
        <v>1686</v>
      </c>
      <c r="AD4" s="1907" t="s">
        <v>1687</v>
      </c>
      <c r="AE4" s="2046"/>
      <c r="AF4" s="1907" t="s">
        <v>1686</v>
      </c>
      <c r="AG4" s="1907" t="s">
        <v>1687</v>
      </c>
      <c r="AH4" s="1907" t="s">
        <v>1686</v>
      </c>
      <c r="AI4" s="1907" t="s">
        <v>1687</v>
      </c>
      <c r="AJ4" s="1907" t="s">
        <v>1686</v>
      </c>
      <c r="AK4" s="1907" t="s">
        <v>1688</v>
      </c>
      <c r="AL4" s="1907" t="s">
        <v>1686</v>
      </c>
      <c r="AM4" s="1907" t="s">
        <v>1687</v>
      </c>
      <c r="AN4" s="1907" t="s">
        <v>1686</v>
      </c>
      <c r="AO4" s="1907" t="s">
        <v>1687</v>
      </c>
      <c r="AP4" s="1907" t="s">
        <v>1686</v>
      </c>
      <c r="AQ4" s="1907" t="s">
        <v>1687</v>
      </c>
      <c r="AR4" s="1907" t="s">
        <v>1686</v>
      </c>
      <c r="AS4" s="1907" t="s">
        <v>1687</v>
      </c>
      <c r="AT4" s="2046"/>
      <c r="AU4" s="1907" t="s">
        <v>1686</v>
      </c>
      <c r="AV4" s="1907" t="s">
        <v>1687</v>
      </c>
      <c r="AW4" s="1907" t="s">
        <v>1686</v>
      </c>
      <c r="AX4" s="1907" t="s">
        <v>1687</v>
      </c>
      <c r="AY4" s="1907" t="s">
        <v>1686</v>
      </c>
      <c r="AZ4" s="1907" t="s">
        <v>1688</v>
      </c>
      <c r="BA4" s="1907" t="s">
        <v>1686</v>
      </c>
      <c r="BB4" s="1907" t="s">
        <v>1687</v>
      </c>
      <c r="BC4" s="1907" t="s">
        <v>1686</v>
      </c>
      <c r="BD4" s="1907" t="s">
        <v>1687</v>
      </c>
      <c r="BE4" s="1907" t="s">
        <v>1686</v>
      </c>
      <c r="BF4" s="1907" t="s">
        <v>1687</v>
      </c>
      <c r="BG4" s="1907" t="s">
        <v>1686</v>
      </c>
      <c r="BH4" s="1907" t="s">
        <v>1687</v>
      </c>
      <c r="BI4" s="2046"/>
      <c r="BJ4" s="1907" t="s">
        <v>1686</v>
      </c>
      <c r="BK4" s="1907" t="s">
        <v>1687</v>
      </c>
      <c r="BL4" s="1907" t="s">
        <v>1686</v>
      </c>
      <c r="BM4" s="1907" t="s">
        <v>1687</v>
      </c>
      <c r="BN4" s="1907" t="s">
        <v>1686</v>
      </c>
      <c r="BO4" s="1907" t="s">
        <v>1688</v>
      </c>
      <c r="BP4" s="1907" t="s">
        <v>1686</v>
      </c>
      <c r="BQ4" s="1907" t="s">
        <v>1687</v>
      </c>
      <c r="BR4" s="1907" t="s">
        <v>1686</v>
      </c>
      <c r="BS4" s="1907" t="s">
        <v>1687</v>
      </c>
      <c r="BT4" s="1907" t="s">
        <v>1686</v>
      </c>
      <c r="BU4" s="1907" t="s">
        <v>1687</v>
      </c>
      <c r="BV4" s="1907" t="s">
        <v>1686</v>
      </c>
      <c r="BW4" s="1907" t="s">
        <v>1687</v>
      </c>
    </row>
    <row r="5" spans="1:75" s="1170" customFormat="1" ht="15.75" customHeight="1">
      <c r="A5" s="2046"/>
      <c r="B5" s="1909"/>
      <c r="C5" s="1909"/>
      <c r="D5" s="1909"/>
      <c r="E5" s="1909"/>
      <c r="F5" s="1909"/>
      <c r="G5" s="1909"/>
      <c r="H5" s="1909"/>
      <c r="I5" s="1909"/>
      <c r="J5" s="1909"/>
      <c r="K5" s="1909"/>
      <c r="L5" s="1909"/>
      <c r="M5" s="1909"/>
      <c r="N5" s="1909"/>
      <c r="O5" s="1909"/>
      <c r="P5" s="2046"/>
      <c r="Q5" s="1909"/>
      <c r="R5" s="1909"/>
      <c r="S5" s="1909"/>
      <c r="T5" s="1909"/>
      <c r="U5" s="1909"/>
      <c r="V5" s="1909"/>
      <c r="W5" s="1909"/>
      <c r="X5" s="1909"/>
      <c r="Y5" s="1909"/>
      <c r="Z5" s="1909"/>
      <c r="AA5" s="1909"/>
      <c r="AB5" s="1909"/>
      <c r="AC5" s="1909"/>
      <c r="AD5" s="1909"/>
      <c r="AE5" s="2046"/>
      <c r="AF5" s="1909"/>
      <c r="AG5" s="1909"/>
      <c r="AH5" s="1909"/>
      <c r="AI5" s="1909"/>
      <c r="AJ5" s="1909"/>
      <c r="AK5" s="1909"/>
      <c r="AL5" s="1909"/>
      <c r="AM5" s="1909"/>
      <c r="AN5" s="1909"/>
      <c r="AO5" s="1909"/>
      <c r="AP5" s="1909"/>
      <c r="AQ5" s="1909"/>
      <c r="AR5" s="1909"/>
      <c r="AS5" s="1909"/>
      <c r="AT5" s="2046"/>
      <c r="AU5" s="1909"/>
      <c r="AV5" s="1909"/>
      <c r="AW5" s="1909"/>
      <c r="AX5" s="1909"/>
      <c r="AY5" s="1909"/>
      <c r="AZ5" s="1909"/>
      <c r="BA5" s="1909"/>
      <c r="BB5" s="1909"/>
      <c r="BC5" s="1909"/>
      <c r="BD5" s="1909"/>
      <c r="BE5" s="1909"/>
      <c r="BF5" s="1909"/>
      <c r="BG5" s="1909"/>
      <c r="BH5" s="1909"/>
      <c r="BI5" s="2046"/>
      <c r="BJ5" s="1909"/>
      <c r="BK5" s="1909"/>
      <c r="BL5" s="1909"/>
      <c r="BM5" s="1909"/>
      <c r="BN5" s="1909"/>
      <c r="BO5" s="1909"/>
      <c r="BP5" s="1909"/>
      <c r="BQ5" s="1909"/>
      <c r="BR5" s="1909"/>
      <c r="BS5" s="1909"/>
      <c r="BT5" s="1909"/>
      <c r="BU5" s="1909"/>
      <c r="BV5" s="1909"/>
      <c r="BW5" s="1909"/>
    </row>
    <row r="6" spans="1:75" s="194" customFormat="1" ht="12">
      <c r="A6" s="2046"/>
      <c r="B6" s="190">
        <v>1</v>
      </c>
      <c r="C6" s="190">
        <v>2</v>
      </c>
      <c r="D6" s="190">
        <v>3</v>
      </c>
      <c r="E6" s="190">
        <v>4</v>
      </c>
      <c r="F6" s="190">
        <v>5</v>
      </c>
      <c r="G6" s="190">
        <v>6</v>
      </c>
      <c r="H6" s="190">
        <v>7</v>
      </c>
      <c r="I6" s="190">
        <v>8</v>
      </c>
      <c r="J6" s="190">
        <v>9</v>
      </c>
      <c r="K6" s="190">
        <v>10</v>
      </c>
      <c r="L6" s="190">
        <v>11</v>
      </c>
      <c r="M6" s="190">
        <v>12</v>
      </c>
      <c r="N6" s="190">
        <v>13</v>
      </c>
      <c r="O6" s="190">
        <v>14</v>
      </c>
      <c r="P6" s="2046"/>
      <c r="Q6" s="190">
        <v>15</v>
      </c>
      <c r="R6" s="190">
        <v>16</v>
      </c>
      <c r="S6" s="190">
        <v>17</v>
      </c>
      <c r="T6" s="190">
        <v>18</v>
      </c>
      <c r="U6" s="190">
        <v>19</v>
      </c>
      <c r="V6" s="190">
        <v>20</v>
      </c>
      <c r="W6" s="190">
        <v>21</v>
      </c>
      <c r="X6" s="190">
        <v>22</v>
      </c>
      <c r="Y6" s="190">
        <v>23</v>
      </c>
      <c r="Z6" s="190">
        <v>24</v>
      </c>
      <c r="AA6" s="190">
        <v>25</v>
      </c>
      <c r="AB6" s="190">
        <v>26</v>
      </c>
      <c r="AC6" s="190">
        <v>27</v>
      </c>
      <c r="AD6" s="190">
        <v>28</v>
      </c>
      <c r="AE6" s="2046"/>
      <c r="AF6" s="190">
        <v>29</v>
      </c>
      <c r="AG6" s="190">
        <v>30</v>
      </c>
      <c r="AH6" s="190">
        <v>31</v>
      </c>
      <c r="AI6" s="190">
        <v>32</v>
      </c>
      <c r="AJ6" s="190">
        <v>33</v>
      </c>
      <c r="AK6" s="190">
        <v>34</v>
      </c>
      <c r="AL6" s="190">
        <v>35</v>
      </c>
      <c r="AM6" s="190">
        <v>36</v>
      </c>
      <c r="AN6" s="190">
        <v>37</v>
      </c>
      <c r="AO6" s="190">
        <v>38</v>
      </c>
      <c r="AP6" s="190">
        <v>39</v>
      </c>
      <c r="AQ6" s="190">
        <v>40</v>
      </c>
      <c r="AR6" s="190">
        <v>41</v>
      </c>
      <c r="AS6" s="190">
        <v>42</v>
      </c>
      <c r="AT6" s="2046"/>
      <c r="AU6" s="190">
        <v>43</v>
      </c>
      <c r="AV6" s="190">
        <v>44</v>
      </c>
      <c r="AW6" s="190">
        <v>45</v>
      </c>
      <c r="AX6" s="190">
        <v>46</v>
      </c>
      <c r="AY6" s="190">
        <v>47</v>
      </c>
      <c r="AZ6" s="190">
        <v>48</v>
      </c>
      <c r="BA6" s="190">
        <v>49</v>
      </c>
      <c r="BB6" s="190">
        <v>50</v>
      </c>
      <c r="BC6" s="190">
        <v>51</v>
      </c>
      <c r="BD6" s="190">
        <v>52</v>
      </c>
      <c r="BE6" s="190">
        <v>53</v>
      </c>
      <c r="BF6" s="190">
        <v>54</v>
      </c>
      <c r="BG6" s="190">
        <v>55</v>
      </c>
      <c r="BH6" s="190">
        <v>56</v>
      </c>
      <c r="BI6" s="2046"/>
      <c r="BJ6" s="190">
        <v>57</v>
      </c>
      <c r="BK6" s="190">
        <v>58</v>
      </c>
      <c r="BL6" s="190">
        <v>59</v>
      </c>
      <c r="BM6" s="190">
        <v>60</v>
      </c>
      <c r="BN6" s="190">
        <v>61</v>
      </c>
      <c r="BO6" s="190">
        <v>62</v>
      </c>
      <c r="BP6" s="190">
        <v>63</v>
      </c>
      <c r="BQ6" s="190">
        <v>64</v>
      </c>
      <c r="BR6" s="190">
        <v>65</v>
      </c>
      <c r="BS6" s="190">
        <v>66</v>
      </c>
      <c r="BT6" s="190">
        <v>67</v>
      </c>
      <c r="BU6" s="190">
        <v>68</v>
      </c>
      <c r="BV6" s="190">
        <v>69</v>
      </c>
      <c r="BW6" s="190">
        <v>70</v>
      </c>
    </row>
    <row r="7" spans="1:75" ht="13.7" customHeight="1">
      <c r="A7" s="374" t="s">
        <v>549</v>
      </c>
      <c r="B7" s="20">
        <v>61.53</v>
      </c>
      <c r="C7" s="20">
        <v>65.78</v>
      </c>
      <c r="D7" s="20">
        <v>68.599999999999994</v>
      </c>
      <c r="E7" s="20">
        <v>68.52</v>
      </c>
      <c r="F7" s="20">
        <v>183.95</v>
      </c>
      <c r="G7" s="20">
        <v>181.81</v>
      </c>
      <c r="H7" s="20">
        <v>67.819999999999993</v>
      </c>
      <c r="I7" s="20">
        <v>67.78</v>
      </c>
      <c r="J7" s="20">
        <v>9.44</v>
      </c>
      <c r="K7" s="20">
        <v>9.99</v>
      </c>
      <c r="L7" s="20">
        <v>13.54</v>
      </c>
      <c r="M7" s="20">
        <v>14.5</v>
      </c>
      <c r="N7" s="20">
        <v>100.96</v>
      </c>
      <c r="O7" s="20">
        <v>108.18</v>
      </c>
      <c r="P7" s="12" t="s">
        <v>549</v>
      </c>
      <c r="Q7" s="20">
        <v>8.8000000000000007</v>
      </c>
      <c r="R7" s="20">
        <v>8.7799999999999994</v>
      </c>
      <c r="S7" s="20">
        <v>1.71</v>
      </c>
      <c r="T7" s="20">
        <v>1.6</v>
      </c>
      <c r="U7" s="20">
        <v>0.01</v>
      </c>
      <c r="V7" s="20">
        <v>0.01</v>
      </c>
      <c r="W7" s="20">
        <v>0.01</v>
      </c>
      <c r="X7" s="20">
        <v>0.01</v>
      </c>
      <c r="Y7" s="20">
        <v>0.62</v>
      </c>
      <c r="Z7" s="20">
        <v>0.65</v>
      </c>
      <c r="AA7" s="20">
        <v>245.83</v>
      </c>
      <c r="AB7" s="20">
        <v>257.67</v>
      </c>
      <c r="AC7" s="20">
        <v>20.72</v>
      </c>
      <c r="AD7" s="20">
        <v>20.98</v>
      </c>
      <c r="AE7" s="374" t="s">
        <v>549</v>
      </c>
      <c r="AF7" s="20">
        <v>10.69</v>
      </c>
      <c r="AG7" s="20">
        <v>10.67</v>
      </c>
      <c r="AH7" s="20">
        <v>1.06</v>
      </c>
      <c r="AI7" s="20">
        <v>1</v>
      </c>
      <c r="AJ7" s="20">
        <v>52.75</v>
      </c>
      <c r="AK7" s="20">
        <v>52.1</v>
      </c>
      <c r="AL7" s="20">
        <v>12.74</v>
      </c>
      <c r="AM7" s="20">
        <v>13.53</v>
      </c>
      <c r="AN7" s="349">
        <v>178.24</v>
      </c>
      <c r="AO7" s="349">
        <v>177.94</v>
      </c>
      <c r="AP7" s="349">
        <v>1.1000000000000001</v>
      </c>
      <c r="AQ7" s="349">
        <v>1</v>
      </c>
      <c r="AR7" s="349">
        <v>1.6</v>
      </c>
      <c r="AS7" s="349">
        <v>1.53</v>
      </c>
      <c r="AT7" s="374" t="s">
        <v>549</v>
      </c>
      <c r="AU7" s="349">
        <v>18.850000000000001</v>
      </c>
      <c r="AV7" s="349">
        <v>18.84</v>
      </c>
      <c r="AW7" s="349">
        <v>2.8</v>
      </c>
      <c r="AX7" s="349">
        <v>2.93</v>
      </c>
      <c r="AY7" s="349">
        <v>18.32</v>
      </c>
      <c r="AZ7" s="349">
        <v>18.27</v>
      </c>
      <c r="BA7" s="349">
        <v>7.0000000000000007E-2</v>
      </c>
      <c r="BB7" s="349">
        <v>7.0000000000000007E-2</v>
      </c>
      <c r="BC7" s="349">
        <v>47.84</v>
      </c>
      <c r="BD7" s="349">
        <v>50.26</v>
      </c>
      <c r="BE7" s="349">
        <v>10.82</v>
      </c>
      <c r="BF7" s="349">
        <v>11.46</v>
      </c>
      <c r="BG7" s="20">
        <v>0.63</v>
      </c>
      <c r="BH7" s="20">
        <v>0.64</v>
      </c>
      <c r="BI7" s="374" t="s">
        <v>549</v>
      </c>
      <c r="BJ7" s="20">
        <v>62</v>
      </c>
      <c r="BK7" s="21">
        <v>67.290000000000006</v>
      </c>
      <c r="BL7" s="20">
        <v>1.34</v>
      </c>
      <c r="BM7" s="20">
        <v>1.34</v>
      </c>
      <c r="BN7" s="20">
        <v>108.64</v>
      </c>
      <c r="BO7" s="20">
        <v>111.68</v>
      </c>
      <c r="BP7" s="20">
        <v>2.1800000000000002</v>
      </c>
      <c r="BQ7" s="20">
        <v>2.04</v>
      </c>
      <c r="BR7" s="20">
        <v>18.68</v>
      </c>
      <c r="BS7" s="20">
        <v>18.66</v>
      </c>
      <c r="BT7" s="20">
        <v>68.599999999999994</v>
      </c>
      <c r="BU7" s="20">
        <v>68.52</v>
      </c>
      <c r="BV7" s="20">
        <v>137.47999999999999</v>
      </c>
      <c r="BW7" s="20">
        <v>136.66</v>
      </c>
    </row>
    <row r="8" spans="1:75" ht="13.7" customHeight="1">
      <c r="A8" s="506" t="s">
        <v>102</v>
      </c>
      <c r="B8" s="474">
        <v>51.44</v>
      </c>
      <c r="C8" s="474">
        <v>55.81</v>
      </c>
      <c r="D8" s="474">
        <v>68.803333333333327</v>
      </c>
      <c r="E8" s="474">
        <v>69.06</v>
      </c>
      <c r="F8" s="474">
        <v>182.53</v>
      </c>
      <c r="G8" s="474">
        <v>183.21</v>
      </c>
      <c r="H8" s="474">
        <v>59.38</v>
      </c>
      <c r="I8" s="474">
        <v>59.71</v>
      </c>
      <c r="J8" s="474">
        <v>10.065</v>
      </c>
      <c r="K8" s="474">
        <v>10.11</v>
      </c>
      <c r="L8" s="474">
        <v>12.68</v>
      </c>
      <c r="M8" s="474">
        <v>13.06</v>
      </c>
      <c r="N8" s="474">
        <v>94.52</v>
      </c>
      <c r="O8" s="474">
        <v>97.26</v>
      </c>
      <c r="P8" s="454" t="s">
        <v>102</v>
      </c>
      <c r="Q8" s="474">
        <v>8.8633333333333315</v>
      </c>
      <c r="R8" s="474">
        <v>8.91</v>
      </c>
      <c r="S8" s="474">
        <v>1.4483333333333335</v>
      </c>
      <c r="T8" s="474">
        <v>1.44</v>
      </c>
      <c r="U8" s="474">
        <v>9.9999999999999985E-3</v>
      </c>
      <c r="V8" s="474">
        <v>0.01</v>
      </c>
      <c r="W8" s="474">
        <v>9.9999999999999985E-3</v>
      </c>
      <c r="X8" s="474">
        <v>0.01</v>
      </c>
      <c r="Y8" s="474">
        <v>0.69916666666666671</v>
      </c>
      <c r="Z8" s="474">
        <v>0.72</v>
      </c>
      <c r="AA8" s="474">
        <v>254.38416666666663</v>
      </c>
      <c r="AB8" s="474">
        <v>238.3</v>
      </c>
      <c r="AC8" s="474">
        <v>19.582499999999996</v>
      </c>
      <c r="AD8" s="474">
        <v>19.600000000000001</v>
      </c>
      <c r="AE8" s="506" t="s">
        <v>102</v>
      </c>
      <c r="AF8" s="474">
        <v>10.715833333333334</v>
      </c>
      <c r="AG8" s="474">
        <v>10.76</v>
      </c>
      <c r="AH8" s="474">
        <v>0.9</v>
      </c>
      <c r="AI8" s="474">
        <v>0.89</v>
      </c>
      <c r="AJ8" s="474">
        <v>41.83</v>
      </c>
      <c r="AK8" s="474">
        <v>44.93</v>
      </c>
      <c r="AL8" s="474">
        <v>10.91</v>
      </c>
      <c r="AM8" s="474">
        <v>10.62</v>
      </c>
      <c r="AN8" s="439">
        <v>178.72833333333332</v>
      </c>
      <c r="AO8" s="439">
        <v>179.35</v>
      </c>
      <c r="AP8" s="439">
        <v>0.8783333333333333</v>
      </c>
      <c r="AQ8" s="439">
        <v>0.85</v>
      </c>
      <c r="AR8" s="439">
        <v>1.4591666666666665</v>
      </c>
      <c r="AS8" s="439">
        <v>1.43</v>
      </c>
      <c r="AT8" s="506" t="s">
        <v>102</v>
      </c>
      <c r="AU8" s="439">
        <v>18.907499999999999</v>
      </c>
      <c r="AV8" s="439">
        <v>18.98</v>
      </c>
      <c r="AW8" s="439">
        <v>2.39</v>
      </c>
      <c r="AX8" s="439">
        <v>2.2200000000000002</v>
      </c>
      <c r="AY8" s="439">
        <v>18.336666666666666</v>
      </c>
      <c r="AZ8" s="439">
        <v>18.41</v>
      </c>
      <c r="BA8" s="439">
        <v>0.06</v>
      </c>
      <c r="BB8" s="439">
        <v>0.05</v>
      </c>
      <c r="BC8" s="439">
        <v>46.96</v>
      </c>
      <c r="BD8" s="439">
        <v>47.59</v>
      </c>
      <c r="BE8" s="439">
        <v>9.19</v>
      </c>
      <c r="BF8" s="439">
        <v>9.0299999999999994</v>
      </c>
      <c r="BG8" s="474">
        <v>0.61666666666666659</v>
      </c>
      <c r="BH8" s="474">
        <v>0.6</v>
      </c>
      <c r="BI8" s="506" t="s">
        <v>102</v>
      </c>
      <c r="BJ8" s="474">
        <v>61.44</v>
      </c>
      <c r="BK8" s="440">
        <v>63.78</v>
      </c>
      <c r="BL8" s="474">
        <v>1.4400000000000002</v>
      </c>
      <c r="BM8" s="474">
        <v>1.5</v>
      </c>
      <c r="BN8" s="474">
        <v>105.15</v>
      </c>
      <c r="BO8" s="474">
        <v>107.07</v>
      </c>
      <c r="BP8" s="474">
        <v>1.9883333333333333</v>
      </c>
      <c r="BQ8" s="474">
        <v>2.0299999999999998</v>
      </c>
      <c r="BR8" s="474">
        <v>18.736666666666668</v>
      </c>
      <c r="BS8" s="474">
        <v>18.8</v>
      </c>
      <c r="BT8" s="474">
        <v>68.8</v>
      </c>
      <c r="BU8" s="474">
        <v>69.06</v>
      </c>
      <c r="BV8" s="474">
        <v>111.17</v>
      </c>
      <c r="BW8" s="474">
        <v>114.42</v>
      </c>
    </row>
    <row r="9" spans="1:75" ht="13.7" customHeight="1">
      <c r="A9" s="374" t="s">
        <v>98</v>
      </c>
      <c r="B9" s="21">
        <v>61.05</v>
      </c>
      <c r="C9" s="21">
        <v>58.93</v>
      </c>
      <c r="D9" s="21">
        <v>69.180000000000007</v>
      </c>
      <c r="E9" s="21">
        <v>69.45</v>
      </c>
      <c r="F9" s="21">
        <v>183.54</v>
      </c>
      <c r="G9" s="21">
        <v>184.2</v>
      </c>
      <c r="H9" s="21">
        <v>65.569999999999993</v>
      </c>
      <c r="I9" s="21">
        <v>65.67</v>
      </c>
      <c r="J9" s="21">
        <v>10.130000000000001</v>
      </c>
      <c r="K9" s="21">
        <v>10.23</v>
      </c>
      <c r="L9" s="21">
        <v>12.93</v>
      </c>
      <c r="M9" s="21">
        <v>11.37</v>
      </c>
      <c r="N9" s="21">
        <v>96.24</v>
      </c>
      <c r="O9" s="21">
        <v>84.66</v>
      </c>
      <c r="P9" s="374" t="s">
        <v>98</v>
      </c>
      <c r="Q9" s="21">
        <v>8.92</v>
      </c>
      <c r="R9" s="21">
        <v>8.92</v>
      </c>
      <c r="S9" s="21">
        <v>1.49</v>
      </c>
      <c r="T9" s="21">
        <v>1.5</v>
      </c>
      <c r="U9" s="21">
        <v>0.01</v>
      </c>
      <c r="V9" s="21">
        <v>0.01</v>
      </c>
      <c r="W9" s="21">
        <v>0.01</v>
      </c>
      <c r="X9" s="21">
        <v>0.01</v>
      </c>
      <c r="Y9" s="21">
        <v>0.76</v>
      </c>
      <c r="Z9" s="21">
        <v>0.78</v>
      </c>
      <c r="AA9" s="21">
        <v>253.28</v>
      </c>
      <c r="AB9" s="21">
        <v>238.89</v>
      </c>
      <c r="AC9" s="21">
        <v>20.47</v>
      </c>
      <c r="AD9" s="21">
        <v>21.33</v>
      </c>
      <c r="AE9" s="374" t="s">
        <v>98</v>
      </c>
      <c r="AF9" s="21">
        <v>10.78</v>
      </c>
      <c r="AG9" s="21">
        <v>10.82</v>
      </c>
      <c r="AH9" s="21">
        <v>0.93</v>
      </c>
      <c r="AI9" s="21">
        <v>0.93</v>
      </c>
      <c r="AJ9" s="21">
        <v>48.64</v>
      </c>
      <c r="AK9" s="21">
        <v>48.06</v>
      </c>
      <c r="AL9" s="21">
        <v>11.61</v>
      </c>
      <c r="AM9" s="21">
        <v>10.67</v>
      </c>
      <c r="AN9" s="21">
        <v>179.7</v>
      </c>
      <c r="AO9" s="21">
        <v>180.38</v>
      </c>
      <c r="AP9" s="21">
        <v>0.83</v>
      </c>
      <c r="AQ9" s="21">
        <v>0.81</v>
      </c>
      <c r="AR9" s="21">
        <v>1.49</v>
      </c>
      <c r="AS9" s="21">
        <v>1.5</v>
      </c>
      <c r="AT9" s="374" t="s">
        <v>98</v>
      </c>
      <c r="AU9" s="21">
        <v>19.010000000000002</v>
      </c>
      <c r="AV9" s="21">
        <v>19.079999999999998</v>
      </c>
      <c r="AW9" s="21">
        <v>2.29</v>
      </c>
      <c r="AX9" s="21">
        <v>2.2200000000000002</v>
      </c>
      <c r="AY9" s="21">
        <v>18.63</v>
      </c>
      <c r="AZ9" s="21">
        <v>18.52</v>
      </c>
      <c r="BA9" s="21">
        <v>0.06</v>
      </c>
      <c r="BB9" s="21">
        <v>0.06</v>
      </c>
      <c r="BC9" s="21">
        <v>49.19</v>
      </c>
      <c r="BD9" s="21">
        <v>49.51</v>
      </c>
      <c r="BE9" s="21">
        <v>9.5399999999999991</v>
      </c>
      <c r="BF9" s="21">
        <v>8.94</v>
      </c>
      <c r="BG9" s="21">
        <v>0.61</v>
      </c>
      <c r="BH9" s="21">
        <v>0.61</v>
      </c>
      <c r="BI9" s="374" t="s">
        <v>98</v>
      </c>
      <c r="BJ9" s="21">
        <v>65.19</v>
      </c>
      <c r="BK9" s="21">
        <v>64.180000000000007</v>
      </c>
      <c r="BL9" s="21">
        <v>1.5</v>
      </c>
      <c r="BM9" s="21">
        <v>1.48</v>
      </c>
      <c r="BN9" s="21">
        <v>106.99</v>
      </c>
      <c r="BO9" s="21">
        <v>184.2</v>
      </c>
      <c r="BP9" s="21">
        <v>2.09</v>
      </c>
      <c r="BQ9" s="21">
        <v>2.14</v>
      </c>
      <c r="BR9" s="21">
        <v>18.84</v>
      </c>
      <c r="BS9" s="21">
        <v>18.91</v>
      </c>
      <c r="BT9" s="21">
        <v>69.180000000000007</v>
      </c>
      <c r="BU9" s="21">
        <v>69.45</v>
      </c>
      <c r="BV9" s="21">
        <v>109.42</v>
      </c>
      <c r="BW9" s="21">
        <v>104.62</v>
      </c>
    </row>
    <row r="10" spans="1:75" ht="13.7" customHeight="1">
      <c r="A10" s="506" t="s">
        <v>241</v>
      </c>
      <c r="B10" s="440">
        <v>70.510000000000005</v>
      </c>
      <c r="C10" s="440">
        <v>79.22</v>
      </c>
      <c r="D10" s="440">
        <v>71.17</v>
      </c>
      <c r="E10" s="440">
        <v>74.150000000000006</v>
      </c>
      <c r="F10" s="440">
        <v>188.78</v>
      </c>
      <c r="G10" s="440">
        <v>196.65</v>
      </c>
      <c r="H10" s="440">
        <v>71.12</v>
      </c>
      <c r="I10" s="440">
        <v>76.41</v>
      </c>
      <c r="J10" s="440">
        <v>10.74</v>
      </c>
      <c r="K10" s="440">
        <v>11.46</v>
      </c>
      <c r="L10" s="440">
        <v>13.03</v>
      </c>
      <c r="M10" s="440">
        <v>14.35</v>
      </c>
      <c r="N10" s="440">
        <v>97.14</v>
      </c>
      <c r="O10" s="440">
        <v>107.02</v>
      </c>
      <c r="P10" s="506" t="s">
        <v>241</v>
      </c>
      <c r="Q10" s="440">
        <v>9.15</v>
      </c>
      <c r="R10" s="440">
        <v>9.5299999999999994</v>
      </c>
      <c r="S10" s="440">
        <v>1.57</v>
      </c>
      <c r="T10" s="440">
        <v>1.66</v>
      </c>
      <c r="U10" s="440">
        <v>0.01</v>
      </c>
      <c r="V10" s="440">
        <v>0.01</v>
      </c>
      <c r="W10" s="440">
        <v>0.01</v>
      </c>
      <c r="X10" s="440">
        <v>0.01</v>
      </c>
      <c r="Y10" s="440">
        <v>0.86</v>
      </c>
      <c r="Z10" s="440">
        <v>0.92</v>
      </c>
      <c r="AA10" s="440">
        <v>253.51</v>
      </c>
      <c r="AB10" s="440">
        <v>270.16000000000003</v>
      </c>
      <c r="AC10" s="440">
        <v>23.09</v>
      </c>
      <c r="AD10" s="440">
        <v>24.56</v>
      </c>
      <c r="AE10" s="506" t="s">
        <v>241</v>
      </c>
      <c r="AF10" s="440">
        <v>11.09</v>
      </c>
      <c r="AG10" s="440">
        <v>11.55</v>
      </c>
      <c r="AH10" s="440">
        <v>0.98</v>
      </c>
      <c r="AI10" s="440">
        <v>1.03</v>
      </c>
      <c r="AJ10" s="440">
        <v>53.99</v>
      </c>
      <c r="AK10" s="440">
        <v>61.19</v>
      </c>
      <c r="AL10" s="440">
        <v>12.28</v>
      </c>
      <c r="AM10" s="440">
        <v>13.78</v>
      </c>
      <c r="AN10" s="440">
        <v>184.85</v>
      </c>
      <c r="AO10" s="440">
        <v>192.58</v>
      </c>
      <c r="AP10" s="440">
        <v>0.83</v>
      </c>
      <c r="AQ10" s="440">
        <v>0.86</v>
      </c>
      <c r="AR10" s="440">
        <v>1.62</v>
      </c>
      <c r="AS10" s="440">
        <v>1.71</v>
      </c>
      <c r="AT10" s="506" t="s">
        <v>241</v>
      </c>
      <c r="AU10" s="440">
        <v>19.55</v>
      </c>
      <c r="AV10" s="440">
        <v>20.36</v>
      </c>
      <c r="AW10" s="440">
        <v>2.41</v>
      </c>
      <c r="AX10" s="440">
        <v>2.65</v>
      </c>
      <c r="AY10" s="440">
        <v>18.98</v>
      </c>
      <c r="AZ10" s="440">
        <v>19.77</v>
      </c>
      <c r="BA10" s="440">
        <v>0.06</v>
      </c>
      <c r="BB10" s="440">
        <v>7.0000000000000007E-2</v>
      </c>
      <c r="BC10" s="440">
        <v>55.09</v>
      </c>
      <c r="BD10" s="440">
        <v>60.14</v>
      </c>
      <c r="BE10" s="440">
        <v>10.67</v>
      </c>
      <c r="BF10" s="440">
        <v>11.75</v>
      </c>
      <c r="BG10" s="440">
        <v>0.64</v>
      </c>
      <c r="BH10" s="440">
        <v>0.68</v>
      </c>
      <c r="BI10" s="506" t="s">
        <v>241</v>
      </c>
      <c r="BJ10" s="440">
        <v>74.92</v>
      </c>
      <c r="BK10" s="440">
        <v>88.84</v>
      </c>
      <c r="BL10" s="440">
        <v>1.52</v>
      </c>
      <c r="BM10" s="440">
        <v>1.56</v>
      </c>
      <c r="BN10" s="440">
        <v>110.89</v>
      </c>
      <c r="BO10" s="440">
        <v>118.42</v>
      </c>
      <c r="BP10" s="440">
        <v>2.33</v>
      </c>
      <c r="BQ10" s="440">
        <v>2.41</v>
      </c>
      <c r="BR10" s="440">
        <v>19.38</v>
      </c>
      <c r="BS10" s="440">
        <v>20.190000000000001</v>
      </c>
      <c r="BT10" s="440">
        <v>71.17</v>
      </c>
      <c r="BU10" s="440">
        <v>74.150000000000006</v>
      </c>
      <c r="BV10" s="440">
        <v>113.26</v>
      </c>
      <c r="BW10" s="440">
        <v>119.13</v>
      </c>
    </row>
    <row r="11" spans="1:75" ht="13.7" customHeight="1">
      <c r="A11" s="374" t="s">
        <v>1142</v>
      </c>
      <c r="B11" s="21">
        <v>81.650000000000006</v>
      </c>
      <c r="C11" s="21">
        <v>83.78</v>
      </c>
      <c r="D11" s="21">
        <v>79.099999999999994</v>
      </c>
      <c r="E11" s="21">
        <v>81.819999999999993</v>
      </c>
      <c r="F11" s="21">
        <v>209.8</v>
      </c>
      <c r="G11" s="21">
        <v>217.03</v>
      </c>
      <c r="H11" s="21">
        <v>78.84</v>
      </c>
      <c r="I11" s="21">
        <v>80.45</v>
      </c>
      <c r="J11" s="21">
        <v>12.47</v>
      </c>
      <c r="K11" s="21">
        <v>12.94</v>
      </c>
      <c r="L11" s="21">
        <v>14.22</v>
      </c>
      <c r="M11" s="21">
        <v>13.91</v>
      </c>
      <c r="N11" s="21">
        <v>105.78</v>
      </c>
      <c r="O11" s="21">
        <v>103.45</v>
      </c>
      <c r="P11" s="374" t="s">
        <v>1142</v>
      </c>
      <c r="Q11" s="21">
        <v>10.18</v>
      </c>
      <c r="R11" s="21">
        <v>10.55</v>
      </c>
      <c r="S11" s="21">
        <v>1.58</v>
      </c>
      <c r="T11" s="21">
        <v>1.47</v>
      </c>
      <c r="U11" s="21">
        <v>0.01</v>
      </c>
      <c r="V11" s="21">
        <v>0.01</v>
      </c>
      <c r="W11" s="21">
        <v>0.01</v>
      </c>
      <c r="X11" s="21">
        <v>0.01</v>
      </c>
      <c r="Y11" s="21">
        <v>1.01</v>
      </c>
      <c r="Z11" s="21">
        <v>1.02</v>
      </c>
      <c r="AA11" s="21">
        <v>285.58</v>
      </c>
      <c r="AB11" s="21">
        <v>292.27</v>
      </c>
      <c r="AC11" s="21">
        <v>25.63</v>
      </c>
      <c r="AD11" s="21">
        <v>25.81</v>
      </c>
      <c r="AE11" s="374" t="s">
        <v>1142</v>
      </c>
      <c r="AF11" s="21">
        <v>12.32</v>
      </c>
      <c r="AG11" s="21">
        <v>12.74</v>
      </c>
      <c r="AH11" s="21">
        <v>0.99</v>
      </c>
      <c r="AI11" s="21">
        <v>0.9</v>
      </c>
      <c r="AJ11" s="21">
        <v>63.62</v>
      </c>
      <c r="AK11" s="21">
        <v>65.52</v>
      </c>
      <c r="AL11" s="21">
        <v>13.79</v>
      </c>
      <c r="AM11" s="21">
        <v>13.72</v>
      </c>
      <c r="AN11" s="21">
        <v>205.3</v>
      </c>
      <c r="AO11" s="21">
        <v>212.52</v>
      </c>
      <c r="AP11" s="21">
        <v>0.89</v>
      </c>
      <c r="AQ11" s="21">
        <v>0.87</v>
      </c>
      <c r="AR11" s="21">
        <v>1.84</v>
      </c>
      <c r="AS11" s="21">
        <v>1.94</v>
      </c>
      <c r="AT11" s="374" t="s">
        <v>1142</v>
      </c>
      <c r="AU11" s="21">
        <v>21.72</v>
      </c>
      <c r="AV11" s="21">
        <v>22.47</v>
      </c>
      <c r="AW11" s="21">
        <v>2.61</v>
      </c>
      <c r="AX11" s="21">
        <v>2.4900000000000002</v>
      </c>
      <c r="AY11" s="21">
        <v>21.09</v>
      </c>
      <c r="AZ11" s="21">
        <v>21.82</v>
      </c>
      <c r="BA11" s="21">
        <v>7.0000000000000007E-2</v>
      </c>
      <c r="BB11" s="21">
        <v>7.0000000000000007E-2</v>
      </c>
      <c r="BC11" s="21">
        <v>62.78</v>
      </c>
      <c r="BD11" s="21">
        <v>64.650000000000006</v>
      </c>
      <c r="BE11" s="21">
        <v>11.76</v>
      </c>
      <c r="BF11" s="21">
        <v>11.82</v>
      </c>
      <c r="BG11" s="21">
        <v>0.68</v>
      </c>
      <c r="BH11" s="21">
        <v>0.61</v>
      </c>
      <c r="BI11" s="374" t="s">
        <v>1142</v>
      </c>
      <c r="BJ11" s="21">
        <v>88.18</v>
      </c>
      <c r="BK11" s="21">
        <v>86.11</v>
      </c>
      <c r="BL11" s="21">
        <v>1.47</v>
      </c>
      <c r="BM11" s="21">
        <v>1.28</v>
      </c>
      <c r="BN11" s="21">
        <v>123.03</v>
      </c>
      <c r="BO11" s="21">
        <v>124.16</v>
      </c>
      <c r="BP11" s="21">
        <v>2.56</v>
      </c>
      <c r="BQ11" s="21">
        <v>2.59</v>
      </c>
      <c r="BR11" s="21">
        <v>21.53</v>
      </c>
      <c r="BS11" s="21">
        <v>22.28</v>
      </c>
      <c r="BT11" s="21">
        <v>79.099999999999994</v>
      </c>
      <c r="BU11" s="21">
        <v>81.819999999999993</v>
      </c>
      <c r="BV11" s="21">
        <v>125.28</v>
      </c>
      <c r="BW11" s="21">
        <v>128.19999999999999</v>
      </c>
    </row>
    <row r="12" spans="1:75" ht="13.7" customHeight="1">
      <c r="A12" s="506" t="s">
        <v>1333</v>
      </c>
      <c r="B12" s="440">
        <v>82.13</v>
      </c>
      <c r="C12" s="440">
        <v>71.099999999999994</v>
      </c>
      <c r="D12" s="440">
        <v>79.930000000000007</v>
      </c>
      <c r="E12" s="440">
        <v>77.77</v>
      </c>
      <c r="F12" s="440">
        <v>212.02</v>
      </c>
      <c r="G12" s="440">
        <v>206.27</v>
      </c>
      <c r="H12" s="440">
        <v>79.62</v>
      </c>
      <c r="I12" s="440">
        <v>73.900000000000006</v>
      </c>
      <c r="J12" s="440">
        <v>12.72</v>
      </c>
      <c r="K12" s="440">
        <v>12.59</v>
      </c>
      <c r="L12" s="440">
        <v>13.87</v>
      </c>
      <c r="M12" s="440">
        <v>13.57</v>
      </c>
      <c r="N12" s="440">
        <v>103.37</v>
      </c>
      <c r="O12" s="440">
        <v>101.19</v>
      </c>
      <c r="P12" s="506" t="s">
        <v>1333</v>
      </c>
      <c r="Q12" s="440">
        <v>10.31</v>
      </c>
      <c r="R12" s="440">
        <v>10.029999999999999</v>
      </c>
      <c r="S12" s="440">
        <v>1.46</v>
      </c>
      <c r="T12" s="440">
        <v>1.31</v>
      </c>
      <c r="U12" s="440">
        <v>0.01</v>
      </c>
      <c r="V12" s="440">
        <v>0.01</v>
      </c>
      <c r="W12" s="440">
        <v>0.01</v>
      </c>
      <c r="X12" s="440">
        <v>0.01</v>
      </c>
      <c r="Y12" s="440">
        <v>0.92</v>
      </c>
      <c r="Z12" s="440">
        <v>0.78</v>
      </c>
      <c r="AA12" s="440">
        <v>282.77999999999997</v>
      </c>
      <c r="AB12" s="440">
        <v>272.62</v>
      </c>
      <c r="AC12" s="440">
        <v>25.93</v>
      </c>
      <c r="AD12" s="440">
        <v>24.61</v>
      </c>
      <c r="AE12" s="506" t="s">
        <v>1333</v>
      </c>
      <c r="AF12" s="440">
        <v>12.45</v>
      </c>
      <c r="AG12" s="440">
        <v>12.11</v>
      </c>
      <c r="AH12" s="440">
        <v>0.91</v>
      </c>
      <c r="AI12" s="440">
        <v>0.81</v>
      </c>
      <c r="AJ12" s="440">
        <v>65.7</v>
      </c>
      <c r="AK12" s="440">
        <v>60.24</v>
      </c>
      <c r="AL12" s="440">
        <v>13.88</v>
      </c>
      <c r="AM12" s="440">
        <v>12.81</v>
      </c>
      <c r="AN12" s="440">
        <v>207.59</v>
      </c>
      <c r="AO12" s="440">
        <v>201.99</v>
      </c>
      <c r="AP12" s="440">
        <v>0.83</v>
      </c>
      <c r="AQ12" s="440">
        <v>0.78</v>
      </c>
      <c r="AR12" s="440">
        <v>1.93</v>
      </c>
      <c r="AS12" s="440">
        <v>1.8</v>
      </c>
      <c r="AT12" s="506" t="s">
        <v>1333</v>
      </c>
      <c r="AU12" s="440">
        <v>21.95</v>
      </c>
      <c r="AV12" s="440">
        <v>21.36</v>
      </c>
      <c r="AW12" s="440">
        <v>2.56</v>
      </c>
      <c r="AX12" s="440">
        <v>2.36</v>
      </c>
      <c r="AY12" s="440">
        <v>21.31</v>
      </c>
      <c r="AZ12" s="440">
        <v>20.74</v>
      </c>
      <c r="BA12" s="440">
        <v>7.0000000000000007E-2</v>
      </c>
      <c r="BB12" s="440">
        <v>7.0000000000000007E-2</v>
      </c>
      <c r="BC12" s="440">
        <v>64.540000000000006</v>
      </c>
      <c r="BD12" s="440">
        <v>61.36</v>
      </c>
      <c r="BE12" s="440">
        <v>12.12</v>
      </c>
      <c r="BF12" s="440">
        <v>11.6</v>
      </c>
      <c r="BG12" s="440">
        <v>0.62</v>
      </c>
      <c r="BH12" s="440">
        <v>0.6</v>
      </c>
      <c r="BI12" s="506" t="s">
        <v>1333</v>
      </c>
      <c r="BJ12" s="440">
        <v>84.91</v>
      </c>
      <c r="BK12" s="440">
        <v>82.32</v>
      </c>
      <c r="BL12" s="440">
        <v>1.1200000000000001</v>
      </c>
      <c r="BM12" s="440">
        <v>0.77</v>
      </c>
      <c r="BN12" s="440">
        <v>121.56</v>
      </c>
      <c r="BO12" s="440">
        <v>116.96</v>
      </c>
      <c r="BP12" s="440">
        <v>2.63</v>
      </c>
      <c r="BQ12" s="440">
        <v>2.5</v>
      </c>
      <c r="BR12" s="440">
        <v>21.76</v>
      </c>
      <c r="BS12" s="440">
        <v>21.17</v>
      </c>
      <c r="BT12" s="440">
        <v>79.930000000000007</v>
      </c>
      <c r="BU12" s="440">
        <v>77.77</v>
      </c>
      <c r="BV12" s="440">
        <v>125.45</v>
      </c>
      <c r="BW12" s="440">
        <v>118.24</v>
      </c>
    </row>
    <row r="13" spans="1:75" s="213" customFormat="1" ht="13.7" customHeight="1">
      <c r="A13" s="996" t="s">
        <v>1664</v>
      </c>
      <c r="B13" s="507">
        <v>71.366500000000002</v>
      </c>
      <c r="C13" s="507">
        <v>73.17</v>
      </c>
      <c r="D13" s="507">
        <v>77.721800000000002</v>
      </c>
      <c r="E13" s="507">
        <v>77.63</v>
      </c>
      <c r="F13" s="507">
        <v>206.1584</v>
      </c>
      <c r="G13" s="507">
        <v>205.92</v>
      </c>
      <c r="H13" s="507">
        <v>72.688100000000006</v>
      </c>
      <c r="I13" s="507">
        <v>72.81</v>
      </c>
      <c r="J13" s="507">
        <v>12.6509</v>
      </c>
      <c r="K13" s="507">
        <v>12.62</v>
      </c>
      <c r="L13" s="507">
        <v>14.135199999999999</v>
      </c>
      <c r="M13" s="507">
        <v>14.21</v>
      </c>
      <c r="N13" s="507">
        <v>105.4555</v>
      </c>
      <c r="O13" s="507">
        <v>105.96</v>
      </c>
      <c r="P13" s="996" t="s">
        <v>1664</v>
      </c>
      <c r="Q13" s="507">
        <v>10.021800000000001</v>
      </c>
      <c r="R13" s="507">
        <v>10.02</v>
      </c>
      <c r="S13" s="507">
        <v>1.2666999999999999</v>
      </c>
      <c r="T13" s="507">
        <v>1.29</v>
      </c>
      <c r="U13" s="507">
        <v>6.7999999999999996E-3</v>
      </c>
      <c r="V13" s="507">
        <v>0.01</v>
      </c>
      <c r="W13" s="507">
        <v>3.0999999999999999E-3</v>
      </c>
      <c r="X13" s="507">
        <v>0</v>
      </c>
      <c r="Y13" s="507">
        <v>0.76949999999999996</v>
      </c>
      <c r="Z13" s="507">
        <v>0.77</v>
      </c>
      <c r="AA13" s="507">
        <v>274.81169999999997</v>
      </c>
      <c r="AB13" s="507">
        <v>275.48</v>
      </c>
      <c r="AC13" s="507">
        <v>23.951899999999998</v>
      </c>
      <c r="AD13" s="507">
        <v>24.19</v>
      </c>
      <c r="AE13" s="996" t="s">
        <v>1664</v>
      </c>
      <c r="AF13" s="507">
        <v>12.106199999999999</v>
      </c>
      <c r="AG13" s="507">
        <v>12.09</v>
      </c>
      <c r="AH13" s="507">
        <v>0.79120000000000001</v>
      </c>
      <c r="AI13" s="507">
        <v>0.81</v>
      </c>
      <c r="AJ13" s="507">
        <v>64.542199999999994</v>
      </c>
      <c r="AK13" s="507">
        <v>68.16</v>
      </c>
      <c r="AL13" s="507">
        <v>12.898300000000001</v>
      </c>
      <c r="AM13" s="507">
        <v>12.68</v>
      </c>
      <c r="AN13" s="507">
        <v>201.87649999999999</v>
      </c>
      <c r="AO13" s="507">
        <v>201.64</v>
      </c>
      <c r="AP13" s="507">
        <v>0.75619999999999998</v>
      </c>
      <c r="AQ13" s="507">
        <v>0.79</v>
      </c>
      <c r="AR13" s="507">
        <v>1.7890999999999999</v>
      </c>
      <c r="AS13" s="507">
        <v>1.78</v>
      </c>
      <c r="AT13" s="996" t="s">
        <v>1664</v>
      </c>
      <c r="AU13" s="507">
        <v>21.345800000000001</v>
      </c>
      <c r="AV13" s="507">
        <v>21.32</v>
      </c>
      <c r="AW13" s="507">
        <v>2.3018000000000001</v>
      </c>
      <c r="AX13" s="507">
        <v>2.2999999999999998</v>
      </c>
      <c r="AY13" s="507">
        <v>20.723500000000001</v>
      </c>
      <c r="AZ13" s="507">
        <v>20.7</v>
      </c>
      <c r="BA13" s="507">
        <v>7.3099999999999998E-2</v>
      </c>
      <c r="BB13" s="507">
        <v>0.08</v>
      </c>
      <c r="BC13" s="507">
        <v>61.703600000000002</v>
      </c>
      <c r="BD13" s="507">
        <v>62.12</v>
      </c>
      <c r="BE13" s="507">
        <v>11.901199999999999</v>
      </c>
      <c r="BF13" s="507">
        <v>11.52</v>
      </c>
      <c r="BG13" s="507">
        <v>0.5927</v>
      </c>
      <c r="BH13" s="507">
        <v>0.6</v>
      </c>
      <c r="BI13" s="996" t="s">
        <v>1664</v>
      </c>
      <c r="BJ13" s="507">
        <v>85.985900000000001</v>
      </c>
      <c r="BK13" s="507">
        <v>87.15</v>
      </c>
      <c r="BL13" s="507">
        <v>0.57769999999999999</v>
      </c>
      <c r="BM13" s="507">
        <v>0.52</v>
      </c>
      <c r="BN13" s="507">
        <v>119.22799999999999</v>
      </c>
      <c r="BO13" s="507">
        <v>119.87</v>
      </c>
      <c r="BP13" s="507">
        <v>2.4632000000000001</v>
      </c>
      <c r="BQ13" s="507">
        <v>2.39</v>
      </c>
      <c r="BR13" s="507">
        <v>21.160299999999999</v>
      </c>
      <c r="BS13" s="507">
        <v>21.14</v>
      </c>
      <c r="BT13" s="507">
        <v>77.721800000000002</v>
      </c>
      <c r="BU13" s="507">
        <v>77.63</v>
      </c>
      <c r="BV13" s="507">
        <v>126.401</v>
      </c>
      <c r="BW13" s="507">
        <v>132.24</v>
      </c>
    </row>
    <row r="14" spans="1:75" s="40" customFormat="1" ht="13.7" customHeight="1">
      <c r="A14" s="739" t="s">
        <v>1754</v>
      </c>
      <c r="B14" s="571">
        <v>65.014200000000002</v>
      </c>
      <c r="C14" s="571">
        <v>59.81</v>
      </c>
      <c r="D14" s="571">
        <v>77.674599999999998</v>
      </c>
      <c r="E14" s="571">
        <v>77.81</v>
      </c>
      <c r="F14" s="571">
        <v>206.0292</v>
      </c>
      <c r="G14" s="571">
        <v>206.35</v>
      </c>
      <c r="H14" s="571">
        <v>66.458699999999993</v>
      </c>
      <c r="I14" s="571">
        <v>62.78</v>
      </c>
      <c r="J14" s="571">
        <v>12.6549</v>
      </c>
      <c r="K14" s="571">
        <v>12.73</v>
      </c>
      <c r="L14" s="571">
        <v>12.5419</v>
      </c>
      <c r="M14" s="571">
        <v>11.72</v>
      </c>
      <c r="N14" s="571">
        <v>93.459400000000002</v>
      </c>
      <c r="O14" s="571">
        <v>87.43</v>
      </c>
      <c r="P14" s="739" t="s">
        <v>1754</v>
      </c>
      <c r="Q14" s="571">
        <v>10.017799999999999</v>
      </c>
      <c r="R14" s="571">
        <v>10.039999999999999</v>
      </c>
      <c r="S14" s="571">
        <v>1.2528999999999999</v>
      </c>
      <c r="T14" s="571">
        <v>1.22</v>
      </c>
      <c r="U14" s="571">
        <v>6.1999999999999998E-3</v>
      </c>
      <c r="V14" s="571">
        <v>0.01</v>
      </c>
      <c r="W14" s="571">
        <v>2.8E-3</v>
      </c>
      <c r="X14" s="571">
        <v>0</v>
      </c>
      <c r="Y14" s="571">
        <v>0.6804</v>
      </c>
      <c r="Z14" s="571">
        <v>0.63</v>
      </c>
      <c r="AA14" s="571">
        <v>265.0548</v>
      </c>
      <c r="AB14" s="571">
        <v>257.42</v>
      </c>
      <c r="AC14" s="571">
        <v>22.543600000000001</v>
      </c>
      <c r="AD14" s="571">
        <v>20.55</v>
      </c>
      <c r="AE14" s="739" t="s">
        <v>1754</v>
      </c>
      <c r="AF14" s="571">
        <v>7.5800000000000006E-2</v>
      </c>
      <c r="AG14" s="571">
        <v>7.0000000000000007E-2</v>
      </c>
      <c r="AH14" s="571">
        <v>0.78300000000000003</v>
      </c>
      <c r="AI14" s="571">
        <v>0.76</v>
      </c>
      <c r="AJ14" s="571">
        <v>60.438099999999999</v>
      </c>
      <c r="AK14" s="571">
        <v>53.34</v>
      </c>
      <c r="AL14" s="571">
        <v>10.959300000000001</v>
      </c>
      <c r="AM14" s="571">
        <v>9.9</v>
      </c>
      <c r="AN14" s="571">
        <v>201.7544</v>
      </c>
      <c r="AO14" s="571">
        <v>202.12</v>
      </c>
      <c r="AP14" s="571">
        <v>0.76639999999999997</v>
      </c>
      <c r="AQ14" s="571">
        <v>0.76</v>
      </c>
      <c r="AR14" s="571">
        <v>1.7483</v>
      </c>
      <c r="AS14" s="571">
        <v>1.72</v>
      </c>
      <c r="AT14" s="739" t="s">
        <v>1754</v>
      </c>
      <c r="AU14" s="571">
        <v>21.332699999999999</v>
      </c>
      <c r="AV14" s="571">
        <v>21.37</v>
      </c>
      <c r="AW14" s="571">
        <v>1.6351</v>
      </c>
      <c r="AX14" s="571">
        <v>1.4</v>
      </c>
      <c r="AY14" s="571">
        <v>20.705300000000001</v>
      </c>
      <c r="AZ14" s="571">
        <v>20.74</v>
      </c>
      <c r="BA14" s="571">
        <v>7.2099999999999997E-2</v>
      </c>
      <c r="BB14" s="571">
        <v>7.0000000000000007E-2</v>
      </c>
      <c r="BC14" s="571">
        <v>59.317100000000003</v>
      </c>
      <c r="BD14" s="571">
        <v>57.8</v>
      </c>
      <c r="BE14" s="571">
        <v>10.058400000000001</v>
      </c>
      <c r="BF14" s="571">
        <v>9.44</v>
      </c>
      <c r="BG14" s="571">
        <v>0.58940000000000003</v>
      </c>
      <c r="BH14" s="571">
        <v>0.57999999999999996</v>
      </c>
      <c r="BI14" s="739" t="s">
        <v>1754</v>
      </c>
      <c r="BJ14" s="571">
        <v>82.442999999999998</v>
      </c>
      <c r="BK14" s="571">
        <v>84.03</v>
      </c>
      <c r="BL14" s="571">
        <v>0.43109999999999998</v>
      </c>
      <c r="BM14" s="571">
        <v>0.36</v>
      </c>
      <c r="BN14" s="571">
        <v>112.64660000000001</v>
      </c>
      <c r="BO14" s="571">
        <v>109.18</v>
      </c>
      <c r="BP14" s="571">
        <v>2.3778999999999999</v>
      </c>
      <c r="BQ14" s="571">
        <v>2.2999999999999998</v>
      </c>
      <c r="BR14" s="571">
        <v>21.147400000000001</v>
      </c>
      <c r="BS14" s="571">
        <v>21.18</v>
      </c>
      <c r="BT14" s="571">
        <v>77.674599999999998</v>
      </c>
      <c r="BU14" s="571">
        <v>77.81</v>
      </c>
      <c r="BV14" s="571">
        <v>122.4104</v>
      </c>
      <c r="BW14" s="571">
        <v>122.42</v>
      </c>
    </row>
    <row r="15" spans="1:75" s="389" customFormat="1" ht="13.7" customHeight="1">
      <c r="A15" s="744" t="s">
        <v>1954</v>
      </c>
      <c r="B15" s="555">
        <v>57.023499999999999</v>
      </c>
      <c r="C15" s="555">
        <v>58.42</v>
      </c>
      <c r="D15" s="555">
        <v>78.2637</v>
      </c>
      <c r="E15" s="555">
        <v>78.400000000000006</v>
      </c>
      <c r="F15" s="555">
        <v>207.56620000000001</v>
      </c>
      <c r="G15" s="555">
        <v>207.76</v>
      </c>
      <c r="H15" s="555">
        <v>59.080199999999998</v>
      </c>
      <c r="I15" s="555">
        <v>60.63</v>
      </c>
      <c r="J15" s="555">
        <v>12.1837</v>
      </c>
      <c r="K15" s="555">
        <v>11.82</v>
      </c>
      <c r="L15" s="555">
        <v>11.653600000000001</v>
      </c>
      <c r="M15" s="555">
        <v>11.73</v>
      </c>
      <c r="N15" s="555">
        <v>86.882900000000006</v>
      </c>
      <c r="O15" s="555">
        <v>87.21</v>
      </c>
      <c r="P15" s="744" t="s">
        <v>1954</v>
      </c>
      <c r="Q15" s="555">
        <v>10.0863</v>
      </c>
      <c r="R15" s="555">
        <v>10.1</v>
      </c>
      <c r="S15" s="555">
        <v>1.1812</v>
      </c>
      <c r="T15" s="555">
        <v>1.1599999999999999</v>
      </c>
      <c r="U15" s="555">
        <v>5.7999999999999996E-3</v>
      </c>
      <c r="V15" s="555">
        <v>0.01</v>
      </c>
      <c r="W15" s="555">
        <v>2.5999999999999999E-3</v>
      </c>
      <c r="X15" s="555">
        <v>0</v>
      </c>
      <c r="Y15" s="555">
        <v>0.67200000000000004</v>
      </c>
      <c r="Z15" s="555">
        <v>0.76</v>
      </c>
      <c r="AA15" s="555">
        <v>258.94290000000001</v>
      </c>
      <c r="AB15" s="555">
        <v>259.52</v>
      </c>
      <c r="AC15" s="555">
        <v>18.955200000000001</v>
      </c>
      <c r="AD15" s="555">
        <v>19.5</v>
      </c>
      <c r="AE15" s="744" t="s">
        <v>1954</v>
      </c>
      <c r="AF15" s="555">
        <v>6.3100000000000003E-2</v>
      </c>
      <c r="AG15" s="555">
        <v>7.0000000000000007E-2</v>
      </c>
      <c r="AH15" s="555">
        <v>0.73850000000000005</v>
      </c>
      <c r="AI15" s="555">
        <v>0.72</v>
      </c>
      <c r="AJ15" s="555">
        <v>52.3</v>
      </c>
      <c r="AK15" s="555">
        <v>55.76</v>
      </c>
      <c r="AL15" s="555">
        <v>9.3177000000000003</v>
      </c>
      <c r="AM15" s="555">
        <v>9.34</v>
      </c>
      <c r="AN15" s="555">
        <v>203.2773</v>
      </c>
      <c r="AO15" s="555">
        <v>203.63</v>
      </c>
      <c r="AP15" s="555">
        <v>0.75029999999999997</v>
      </c>
      <c r="AQ15" s="555">
        <v>0.75</v>
      </c>
      <c r="AR15" s="555">
        <v>1.6767000000000001</v>
      </c>
      <c r="AS15" s="555">
        <v>1.67</v>
      </c>
      <c r="AT15" s="744" t="s">
        <v>1954</v>
      </c>
      <c r="AU15" s="555">
        <v>21.494900000000001</v>
      </c>
      <c r="AV15" s="555">
        <v>21.53</v>
      </c>
      <c r="AW15" s="555">
        <v>1.1691</v>
      </c>
      <c r="AX15" s="555">
        <v>1.22</v>
      </c>
      <c r="AY15" s="555">
        <v>20.8674</v>
      </c>
      <c r="AZ15" s="555">
        <v>20.9</v>
      </c>
      <c r="BA15" s="555">
        <v>6.6699999999999995E-2</v>
      </c>
      <c r="BB15" s="555">
        <v>7.0000000000000007E-2</v>
      </c>
      <c r="BC15" s="555">
        <v>56.334699999999998</v>
      </c>
      <c r="BD15" s="555">
        <v>58.16</v>
      </c>
      <c r="BE15" s="555">
        <v>9.3073999999999995</v>
      </c>
      <c r="BF15" s="555">
        <v>9.25</v>
      </c>
      <c r="BG15" s="555">
        <v>0.55110000000000003</v>
      </c>
      <c r="BH15" s="555">
        <v>0.54</v>
      </c>
      <c r="BI15" s="744" t="s">
        <v>1954</v>
      </c>
      <c r="BJ15" s="555">
        <v>79.908100000000005</v>
      </c>
      <c r="BK15" s="555">
        <v>80.02</v>
      </c>
      <c r="BL15" s="555">
        <v>0.35630000000000001</v>
      </c>
      <c r="BM15" s="555">
        <v>0.36</v>
      </c>
      <c r="BN15" s="555">
        <v>109.4175</v>
      </c>
      <c r="BO15" s="555">
        <v>109.44</v>
      </c>
      <c r="BP15" s="555">
        <v>2.2054999999999998</v>
      </c>
      <c r="BQ15" s="555">
        <v>2.2200000000000002</v>
      </c>
      <c r="BR15" s="555">
        <v>21.308199999999999</v>
      </c>
      <c r="BS15" s="555">
        <v>21.35</v>
      </c>
      <c r="BT15" s="555">
        <v>78.2637</v>
      </c>
      <c r="BU15" s="555">
        <v>78.400000000000006</v>
      </c>
      <c r="BV15" s="555">
        <v>116.15600000000001</v>
      </c>
      <c r="BW15" s="555">
        <v>105.25</v>
      </c>
    </row>
    <row r="16" spans="1:75" s="389" customFormat="1" ht="13.7" customHeight="1">
      <c r="A16" s="817" t="s">
        <v>2046</v>
      </c>
      <c r="B16" s="818">
        <v>59.658900000000003</v>
      </c>
      <c r="C16" s="818">
        <v>61.93</v>
      </c>
      <c r="D16" s="818">
        <v>79.119200000000006</v>
      </c>
      <c r="E16" s="818">
        <v>80.599999999999994</v>
      </c>
      <c r="F16" s="818">
        <v>209.82980000000001</v>
      </c>
      <c r="G16" s="818">
        <v>213.64</v>
      </c>
      <c r="H16" s="818">
        <v>59.645600000000002</v>
      </c>
      <c r="I16" s="818">
        <v>61.98</v>
      </c>
      <c r="J16" s="818">
        <v>11.6242</v>
      </c>
      <c r="K16" s="818">
        <v>11.9</v>
      </c>
      <c r="L16" s="818">
        <v>11.596</v>
      </c>
      <c r="M16" s="818">
        <v>12.4</v>
      </c>
      <c r="N16" s="818">
        <v>86.2637</v>
      </c>
      <c r="O16" s="818">
        <v>92.21</v>
      </c>
      <c r="P16" s="817" t="s">
        <v>2046</v>
      </c>
      <c r="Q16" s="818">
        <v>10.189</v>
      </c>
      <c r="R16" s="818">
        <v>10.33</v>
      </c>
      <c r="S16" s="818">
        <v>1.1911</v>
      </c>
      <c r="T16" s="818">
        <v>1.25</v>
      </c>
      <c r="U16" s="818">
        <v>6.0000000000000001E-3</v>
      </c>
      <c r="V16" s="818">
        <v>0.01</v>
      </c>
      <c r="W16" s="818">
        <v>2.5000000000000001E-3</v>
      </c>
      <c r="X16" s="818">
        <v>0</v>
      </c>
      <c r="Y16" s="818">
        <v>0.7268</v>
      </c>
      <c r="Z16" s="818">
        <v>0.72</v>
      </c>
      <c r="AA16" s="818">
        <v>260.45460000000003</v>
      </c>
      <c r="AB16" s="818">
        <v>265.73</v>
      </c>
      <c r="AC16" s="818">
        <v>18.4786</v>
      </c>
      <c r="AD16" s="818">
        <v>18.77</v>
      </c>
      <c r="AE16" s="817" t="s">
        <v>2046</v>
      </c>
      <c r="AF16" s="818">
        <v>6.0699999999999997E-2</v>
      </c>
      <c r="AG16" s="818">
        <v>0.06</v>
      </c>
      <c r="AH16" s="818">
        <v>0.74399999999999999</v>
      </c>
      <c r="AI16" s="818">
        <v>0.78</v>
      </c>
      <c r="AJ16" s="818">
        <v>56.3782</v>
      </c>
      <c r="AK16" s="818">
        <v>58.84</v>
      </c>
      <c r="AL16" s="818">
        <v>9.4036000000000008</v>
      </c>
      <c r="AM16" s="818">
        <v>9.61</v>
      </c>
      <c r="AN16" s="818">
        <v>205.4922</v>
      </c>
      <c r="AO16" s="818">
        <v>209.23</v>
      </c>
      <c r="AP16" s="818">
        <v>0.75529999999999997</v>
      </c>
      <c r="AQ16" s="818">
        <v>0.77</v>
      </c>
      <c r="AR16" s="818">
        <v>1.6155999999999999</v>
      </c>
      <c r="AS16" s="818">
        <v>1.6</v>
      </c>
      <c r="AT16" s="817" t="s">
        <v>2046</v>
      </c>
      <c r="AU16" s="818">
        <v>21.713799999999999</v>
      </c>
      <c r="AV16" s="818">
        <v>21.58</v>
      </c>
      <c r="AW16" s="818">
        <v>1.3027</v>
      </c>
      <c r="AX16" s="818">
        <v>1.36</v>
      </c>
      <c r="AY16" s="818">
        <v>21.095400000000001</v>
      </c>
      <c r="AZ16" s="818">
        <v>21.49</v>
      </c>
      <c r="BA16" s="818">
        <v>6.9400000000000003E-2</v>
      </c>
      <c r="BB16" s="818">
        <v>7.0000000000000007E-2</v>
      </c>
      <c r="BC16" s="818">
        <v>56.838999999999999</v>
      </c>
      <c r="BD16" s="818">
        <v>58.43</v>
      </c>
      <c r="BE16" s="818">
        <v>8.9743999999999993</v>
      </c>
      <c r="BF16" s="818">
        <v>9.52</v>
      </c>
      <c r="BG16" s="818">
        <v>0.53</v>
      </c>
      <c r="BH16" s="818">
        <v>0.52</v>
      </c>
      <c r="BI16" s="817" t="s">
        <v>2046</v>
      </c>
      <c r="BJ16" s="818">
        <v>79.829700000000003</v>
      </c>
      <c r="BK16" s="818">
        <v>84.32</v>
      </c>
      <c r="BL16" s="818">
        <v>0.2079</v>
      </c>
      <c r="BM16" s="818">
        <v>0.16</v>
      </c>
      <c r="BN16" s="818">
        <v>108.5568</v>
      </c>
      <c r="BO16" s="818">
        <v>112.08</v>
      </c>
      <c r="BP16" s="818">
        <v>2.2667000000000002</v>
      </c>
      <c r="BQ16" s="818">
        <v>2.37</v>
      </c>
      <c r="BR16" s="818">
        <v>21.540900000000001</v>
      </c>
      <c r="BS16" s="818">
        <v>21.94</v>
      </c>
      <c r="BT16" s="818">
        <v>79.119200000000006</v>
      </c>
      <c r="BU16" s="818">
        <v>80.599999999999994</v>
      </c>
      <c r="BV16" s="818">
        <v>100.3793</v>
      </c>
      <c r="BW16" s="818">
        <v>104.82</v>
      </c>
    </row>
    <row r="17" spans="1:75" s="389" customFormat="1" ht="13.7" customHeight="1">
      <c r="A17" s="937" t="s">
        <v>2268</v>
      </c>
      <c r="B17" s="1029">
        <v>63.658630000000002</v>
      </c>
      <c r="C17" s="1029">
        <f>C29</f>
        <v>61.58</v>
      </c>
      <c r="D17" s="1029">
        <v>82.100874000000005</v>
      </c>
      <c r="E17" s="1029">
        <f>E29</f>
        <v>83.73</v>
      </c>
      <c r="F17" s="1029">
        <v>217.64671100000001</v>
      </c>
      <c r="G17" s="1029">
        <f>G29</f>
        <v>221.47</v>
      </c>
      <c r="H17" s="1029">
        <v>64.688146000000003</v>
      </c>
      <c r="I17" s="1029">
        <f>I29</f>
        <v>63.21</v>
      </c>
      <c r="J17" s="1029">
        <v>12.660601</v>
      </c>
      <c r="K17" s="1029">
        <f>K29</f>
        <v>12.65</v>
      </c>
      <c r="L17" s="1029">
        <v>13.163303000000001</v>
      </c>
      <c r="M17" s="1029">
        <f>M29</f>
        <v>13</v>
      </c>
      <c r="N17" s="1029">
        <v>97.992005000000006</v>
      </c>
      <c r="O17" s="1029">
        <f>O29</f>
        <v>96.86</v>
      </c>
      <c r="P17" s="937" t="s">
        <v>2268</v>
      </c>
      <c r="Q17" s="1029">
        <v>10.493054000000001</v>
      </c>
      <c r="R17" s="1029">
        <f>R29</f>
        <v>10.67</v>
      </c>
      <c r="S17" s="1029">
        <v>1.2622720000000001</v>
      </c>
      <c r="T17" s="1029">
        <f>T29</f>
        <v>1.22</v>
      </c>
      <c r="U17" s="1029">
        <v>6.0390000000000001E-3</v>
      </c>
      <c r="V17" s="1029">
        <f>V29</f>
        <v>0.01</v>
      </c>
      <c r="W17" s="1029">
        <v>2.258E-3</v>
      </c>
      <c r="X17" s="1029">
        <f>X29</f>
        <v>0</v>
      </c>
      <c r="Y17" s="1029">
        <v>0.74442600000000003</v>
      </c>
      <c r="Z17" s="1029">
        <f>Z29</f>
        <v>0.76</v>
      </c>
      <c r="AA17" s="1029">
        <v>272.38111300000003</v>
      </c>
      <c r="AB17" s="1029">
        <f>AB29</f>
        <v>276.82</v>
      </c>
      <c r="AC17" s="1029">
        <v>20.178184999999999</v>
      </c>
      <c r="AD17" s="1029">
        <f>AD29</f>
        <v>20.74</v>
      </c>
      <c r="AE17" s="937" t="s">
        <v>2268</v>
      </c>
      <c r="AF17" s="1029">
        <v>6.0657999999999997E-2</v>
      </c>
      <c r="AG17" s="1029">
        <f>AG29</f>
        <v>0.06</v>
      </c>
      <c r="AH17" s="1029">
        <v>0.78928299999999996</v>
      </c>
      <c r="AI17" s="1029">
        <f>AI29</f>
        <v>0.77</v>
      </c>
      <c r="AJ17" s="1029">
        <v>58.730638999999996</v>
      </c>
      <c r="AK17" s="1029">
        <f>AK29</f>
        <v>56.56</v>
      </c>
      <c r="AL17" s="1029">
        <v>10.272456</v>
      </c>
      <c r="AM17" s="1029">
        <f>AM29</f>
        <v>10.220000000000001</v>
      </c>
      <c r="AN17" s="1029">
        <v>213.226247</v>
      </c>
      <c r="AO17" s="1029">
        <f>AO29</f>
        <v>217.47</v>
      </c>
      <c r="AP17" s="1029">
        <v>0.74837200000000004</v>
      </c>
      <c r="AQ17" s="1029">
        <f>AQ29</f>
        <v>0.69</v>
      </c>
      <c r="AR17" s="1029">
        <v>1.597353</v>
      </c>
      <c r="AS17" s="1029">
        <f>AS29</f>
        <v>1.57</v>
      </c>
      <c r="AT17" s="937" t="s">
        <v>2268</v>
      </c>
      <c r="AU17" s="819">
        <v>22.433156</v>
      </c>
      <c r="AV17" s="1029">
        <f>AV29</f>
        <v>23</v>
      </c>
      <c r="AW17" s="1029">
        <v>1.392849</v>
      </c>
      <c r="AX17" s="1029">
        <f>AX29</f>
        <v>1.33</v>
      </c>
      <c r="AY17" s="1029">
        <v>21.892281000000001</v>
      </c>
      <c r="AZ17" s="1029">
        <f>AZ29</f>
        <v>22.32</v>
      </c>
      <c r="BA17" s="1029">
        <v>7.4847999999999998E-2</v>
      </c>
      <c r="BB17" s="1029">
        <f>BB29</f>
        <v>0.08</v>
      </c>
      <c r="BC17" s="1029">
        <v>61.194586000000001</v>
      </c>
      <c r="BD17" s="1029">
        <f>BD29</f>
        <v>61.21</v>
      </c>
      <c r="BE17" s="1029">
        <v>9.896687</v>
      </c>
      <c r="BF17" s="1029">
        <f>BF29</f>
        <v>9.34</v>
      </c>
      <c r="BG17" s="1029">
        <v>0.53053300000000003</v>
      </c>
      <c r="BH17" s="1029">
        <f>BH29</f>
        <v>0.53</v>
      </c>
      <c r="BI17" s="937" t="s">
        <v>2268</v>
      </c>
      <c r="BJ17" s="1029">
        <v>84.626541000000003</v>
      </c>
      <c r="BK17" s="1029">
        <f>BK29</f>
        <v>83.94</v>
      </c>
      <c r="BL17" s="1029">
        <v>0.159326</v>
      </c>
      <c r="BM17" s="1029">
        <f>BM29</f>
        <v>0.16</v>
      </c>
      <c r="BN17" s="1029">
        <v>116.904573</v>
      </c>
      <c r="BO17" s="1029">
        <f>BO29</f>
        <v>117.62</v>
      </c>
      <c r="BP17" s="1029">
        <v>2.5323829999999998</v>
      </c>
      <c r="BQ17" s="1029">
        <f>BQ29</f>
        <v>2.5299999999999998</v>
      </c>
      <c r="BR17" s="1029">
        <v>22.35247</v>
      </c>
      <c r="BS17" s="1029">
        <f>BS29</f>
        <v>22.79</v>
      </c>
      <c r="BT17" s="1029">
        <v>82.100874000000005</v>
      </c>
      <c r="BU17" s="1029">
        <f>BU29</f>
        <v>83.73</v>
      </c>
      <c r="BV17" s="1029">
        <v>110.612995</v>
      </c>
      <c r="BW17" s="1029">
        <f>BW29</f>
        <v>109.5</v>
      </c>
    </row>
    <row r="18" spans="1:75" s="389" customFormat="1" ht="13.7" customHeight="1">
      <c r="A18" s="739" t="s">
        <v>818</v>
      </c>
      <c r="B18" s="571">
        <v>62.84</v>
      </c>
      <c r="C18" s="571">
        <v>64.42</v>
      </c>
      <c r="D18" s="571">
        <v>80.63</v>
      </c>
      <c r="E18" s="571">
        <v>80.66</v>
      </c>
      <c r="F18" s="571">
        <v>213.77</v>
      </c>
      <c r="G18" s="571">
        <v>213.9</v>
      </c>
      <c r="H18" s="571">
        <v>63.44</v>
      </c>
      <c r="I18" s="571">
        <v>64.87</v>
      </c>
      <c r="J18" s="571">
        <v>11.92</v>
      </c>
      <c r="K18" s="571">
        <v>11.99</v>
      </c>
      <c r="L18" s="571">
        <v>12.48</v>
      </c>
      <c r="M18" s="571">
        <v>12.75</v>
      </c>
      <c r="N18" s="571">
        <v>92.83</v>
      </c>
      <c r="O18" s="571">
        <v>94.79</v>
      </c>
      <c r="P18" s="739" t="s">
        <v>818</v>
      </c>
      <c r="Q18" s="571">
        <v>10.33</v>
      </c>
      <c r="R18" s="571">
        <v>10.33</v>
      </c>
      <c r="S18" s="571">
        <v>1.25</v>
      </c>
      <c r="T18" s="571">
        <v>1.26</v>
      </c>
      <c r="U18" s="571">
        <v>0.01</v>
      </c>
      <c r="V18" s="571">
        <v>0.01</v>
      </c>
      <c r="W18" s="571">
        <v>0</v>
      </c>
      <c r="X18" s="571">
        <v>0</v>
      </c>
      <c r="Y18" s="571">
        <v>0.72</v>
      </c>
      <c r="Z18" s="571">
        <v>0.73</v>
      </c>
      <c r="AA18" s="571">
        <v>266.27999999999997</v>
      </c>
      <c r="AB18" s="571">
        <v>267.04000000000002</v>
      </c>
      <c r="AC18" s="571">
        <v>18.8</v>
      </c>
      <c r="AD18" s="571">
        <v>18.850000000000001</v>
      </c>
      <c r="AE18" s="739" t="s">
        <v>818</v>
      </c>
      <c r="AF18" s="571">
        <v>0.06</v>
      </c>
      <c r="AG18" s="571">
        <v>0.06</v>
      </c>
      <c r="AH18" s="571">
        <v>0.78</v>
      </c>
      <c r="AI18" s="571">
        <v>0.79</v>
      </c>
      <c r="AJ18" s="571">
        <v>59.33</v>
      </c>
      <c r="AK18" s="571">
        <v>60.6</v>
      </c>
      <c r="AL18" s="571">
        <v>9.8699999999999992</v>
      </c>
      <c r="AM18" s="571">
        <v>10.19</v>
      </c>
      <c r="AN18" s="571">
        <v>209.32</v>
      </c>
      <c r="AO18" s="571">
        <v>209.51</v>
      </c>
      <c r="AP18" s="571">
        <v>0.76</v>
      </c>
      <c r="AQ18" s="571">
        <v>0.77</v>
      </c>
      <c r="AR18" s="571">
        <v>1.59</v>
      </c>
      <c r="AS18" s="571">
        <v>1.6</v>
      </c>
      <c r="AT18" s="739" t="s">
        <v>818</v>
      </c>
      <c r="AU18" s="649">
        <v>21.96</v>
      </c>
      <c r="AV18" s="571">
        <v>22.15</v>
      </c>
      <c r="AW18" s="571">
        <v>1.35</v>
      </c>
      <c r="AX18" s="571">
        <v>1.35</v>
      </c>
      <c r="AY18" s="571">
        <v>21.5</v>
      </c>
      <c r="AZ18" s="571">
        <v>21.51</v>
      </c>
      <c r="BA18" s="571">
        <v>7.0000000000000007E-2</v>
      </c>
      <c r="BB18" s="571">
        <v>7.0000000000000007E-2</v>
      </c>
      <c r="BC18" s="571">
        <v>58.79</v>
      </c>
      <c r="BD18" s="571">
        <v>59.46</v>
      </c>
      <c r="BE18" s="571">
        <v>9.68</v>
      </c>
      <c r="BF18" s="571">
        <v>9.93</v>
      </c>
      <c r="BG18" s="571">
        <v>0.52</v>
      </c>
      <c r="BH18" s="571">
        <v>0.52</v>
      </c>
      <c r="BI18" s="739" t="s">
        <v>818</v>
      </c>
      <c r="BJ18" s="571">
        <v>84.03</v>
      </c>
      <c r="BK18" s="571">
        <v>83.26</v>
      </c>
      <c r="BL18" s="571">
        <v>0.16</v>
      </c>
      <c r="BM18" s="571">
        <v>0.16</v>
      </c>
      <c r="BN18" s="571">
        <v>112.45</v>
      </c>
      <c r="BO18" s="571">
        <v>113.37</v>
      </c>
      <c r="BP18" s="571">
        <v>2.39</v>
      </c>
      <c r="BQ18" s="571">
        <v>2.42</v>
      </c>
      <c r="BR18" s="571">
        <v>21.95</v>
      </c>
      <c r="BS18" s="571">
        <v>21.96</v>
      </c>
      <c r="BT18" s="571">
        <v>80.63</v>
      </c>
      <c r="BU18" s="571">
        <v>80.66</v>
      </c>
      <c r="BV18" s="571">
        <v>104.8</v>
      </c>
      <c r="BW18" s="571">
        <v>105.95</v>
      </c>
    </row>
    <row r="19" spans="1:75" s="389" customFormat="1" ht="13.7" customHeight="1">
      <c r="A19" s="744" t="s">
        <v>819</v>
      </c>
      <c r="B19" s="555">
        <v>63.94</v>
      </c>
      <c r="C19" s="555">
        <v>63.79</v>
      </c>
      <c r="D19" s="555">
        <v>80.69</v>
      </c>
      <c r="E19" s="555">
        <v>80.7</v>
      </c>
      <c r="F19" s="555">
        <v>213.99</v>
      </c>
      <c r="G19" s="555">
        <v>214.03</v>
      </c>
      <c r="H19" s="555">
        <v>64.040000000000006</v>
      </c>
      <c r="I19" s="555">
        <v>63.94</v>
      </c>
      <c r="J19" s="555">
        <v>12.09</v>
      </c>
      <c r="K19" s="555">
        <v>12.23</v>
      </c>
      <c r="L19" s="555">
        <v>12.82</v>
      </c>
      <c r="M19" s="555">
        <v>12.89</v>
      </c>
      <c r="N19" s="555">
        <v>95.37</v>
      </c>
      <c r="O19" s="555">
        <v>95.9</v>
      </c>
      <c r="P19" s="744" t="s">
        <v>819</v>
      </c>
      <c r="Q19" s="555">
        <v>10.32</v>
      </c>
      <c r="R19" s="555">
        <v>10.31</v>
      </c>
      <c r="S19" s="555">
        <v>1.26</v>
      </c>
      <c r="T19" s="555">
        <v>1.26</v>
      </c>
      <c r="U19" s="555">
        <v>0.01</v>
      </c>
      <c r="V19" s="555">
        <v>0.01</v>
      </c>
      <c r="W19" s="555">
        <v>0</v>
      </c>
      <c r="X19" s="555">
        <v>0</v>
      </c>
      <c r="Y19" s="555">
        <v>0.73</v>
      </c>
      <c r="Z19" s="555">
        <v>0.73</v>
      </c>
      <c r="AA19" s="555">
        <v>267.31</v>
      </c>
      <c r="AB19" s="555">
        <v>267.70999999999998</v>
      </c>
      <c r="AC19" s="555">
        <v>18.84</v>
      </c>
      <c r="AD19" s="555">
        <v>18.899999999999999</v>
      </c>
      <c r="AE19" s="744" t="s">
        <v>819</v>
      </c>
      <c r="AF19" s="555">
        <v>0.06</v>
      </c>
      <c r="AG19" s="555">
        <v>0.06</v>
      </c>
      <c r="AH19" s="555">
        <v>0.79</v>
      </c>
      <c r="AI19" s="555">
        <v>0.79</v>
      </c>
      <c r="AJ19" s="555">
        <v>59.1</v>
      </c>
      <c r="AK19" s="555">
        <v>58.13</v>
      </c>
      <c r="AL19" s="555">
        <v>10.23</v>
      </c>
      <c r="AM19" s="555">
        <v>10.33</v>
      </c>
      <c r="AN19" s="555">
        <v>209.55</v>
      </c>
      <c r="AO19" s="555">
        <v>209.61</v>
      </c>
      <c r="AP19" s="555">
        <v>0.77</v>
      </c>
      <c r="AQ19" s="555">
        <v>0.77</v>
      </c>
      <c r="AR19" s="555">
        <v>1.59</v>
      </c>
      <c r="AS19" s="555">
        <v>1.58</v>
      </c>
      <c r="AT19" s="744" t="s">
        <v>819</v>
      </c>
      <c r="AU19" s="682">
        <v>22.04</v>
      </c>
      <c r="AV19" s="555">
        <v>21.94</v>
      </c>
      <c r="AW19" s="555">
        <v>1.36</v>
      </c>
      <c r="AX19" s="555">
        <v>1.38</v>
      </c>
      <c r="AY19" s="555">
        <v>21.52</v>
      </c>
      <c r="AZ19" s="555">
        <v>21.52</v>
      </c>
      <c r="BA19" s="555">
        <v>7.0000000000000007E-2</v>
      </c>
      <c r="BB19" s="555">
        <v>7.0000000000000007E-2</v>
      </c>
      <c r="BC19" s="555">
        <v>59.32</v>
      </c>
      <c r="BD19" s="555">
        <v>59.4</v>
      </c>
      <c r="BE19" s="555">
        <v>9.98</v>
      </c>
      <c r="BF19" s="555">
        <v>10.11</v>
      </c>
      <c r="BG19" s="555">
        <v>0.53</v>
      </c>
      <c r="BH19" s="555">
        <v>0.53</v>
      </c>
      <c r="BI19" s="744" t="s">
        <v>819</v>
      </c>
      <c r="BJ19" s="555">
        <v>83.6</v>
      </c>
      <c r="BK19" s="555">
        <v>83.75</v>
      </c>
      <c r="BL19" s="555">
        <v>0.16</v>
      </c>
      <c r="BM19" s="555">
        <v>0.16</v>
      </c>
      <c r="BN19" s="555">
        <v>113.86</v>
      </c>
      <c r="BO19" s="555">
        <v>114.45</v>
      </c>
      <c r="BP19" s="555">
        <v>2.4300000000000002</v>
      </c>
      <c r="BQ19" s="555">
        <v>2.4300000000000002</v>
      </c>
      <c r="BR19" s="555">
        <v>21.97</v>
      </c>
      <c r="BS19" s="555">
        <v>21.97</v>
      </c>
      <c r="BT19" s="555">
        <v>80.69</v>
      </c>
      <c r="BU19" s="555">
        <v>80.7</v>
      </c>
      <c r="BV19" s="555">
        <v>104.69</v>
      </c>
      <c r="BW19" s="555">
        <v>104.31</v>
      </c>
    </row>
    <row r="20" spans="1:75" s="389" customFormat="1" ht="13.7" customHeight="1">
      <c r="A20" s="739" t="s">
        <v>813</v>
      </c>
      <c r="B20" s="571">
        <v>64.38</v>
      </c>
      <c r="C20" s="571">
        <v>63.42</v>
      </c>
      <c r="D20" s="571">
        <v>80.739999999999995</v>
      </c>
      <c r="E20" s="571">
        <v>80.8</v>
      </c>
      <c r="F20" s="571">
        <v>214.09</v>
      </c>
      <c r="G20" s="571">
        <v>214.24</v>
      </c>
      <c r="H20" s="571">
        <v>65.59</v>
      </c>
      <c r="I20" s="571">
        <v>64.77</v>
      </c>
      <c r="J20" s="571">
        <v>12.3</v>
      </c>
      <c r="K20" s="571">
        <v>12.19</v>
      </c>
      <c r="L20" s="571">
        <v>12.92</v>
      </c>
      <c r="M20" s="571">
        <v>12.75</v>
      </c>
      <c r="N20" s="571">
        <v>96.14</v>
      </c>
      <c r="O20" s="571">
        <v>94.9</v>
      </c>
      <c r="P20" s="739" t="s">
        <v>813</v>
      </c>
      <c r="Q20" s="571">
        <v>10.33</v>
      </c>
      <c r="R20" s="571">
        <v>10.35</v>
      </c>
      <c r="S20" s="571">
        <v>1.25</v>
      </c>
      <c r="T20" s="571">
        <v>1.23</v>
      </c>
      <c r="U20" s="571">
        <v>0.01</v>
      </c>
      <c r="V20" s="571">
        <v>0.01</v>
      </c>
      <c r="W20" s="571">
        <v>0</v>
      </c>
      <c r="X20" s="571">
        <v>0</v>
      </c>
      <c r="Y20" s="571">
        <v>0.73</v>
      </c>
      <c r="Z20" s="571">
        <v>0.72</v>
      </c>
      <c r="AA20" s="571">
        <v>267.86</v>
      </c>
      <c r="AB20" s="571">
        <v>268.13</v>
      </c>
      <c r="AC20" s="571">
        <v>19.149999999999999</v>
      </c>
      <c r="AD20" s="571">
        <v>19.09</v>
      </c>
      <c r="AE20" s="739" t="s">
        <v>813</v>
      </c>
      <c r="AF20" s="571">
        <v>0.06</v>
      </c>
      <c r="AG20" s="571">
        <v>0.06</v>
      </c>
      <c r="AH20" s="571">
        <v>0.79</v>
      </c>
      <c r="AI20" s="571">
        <v>0.78</v>
      </c>
      <c r="AJ20" s="571">
        <v>58.56</v>
      </c>
      <c r="AK20" s="571">
        <v>58.18</v>
      </c>
      <c r="AL20" s="571">
        <v>10.31</v>
      </c>
      <c r="AM20" s="571">
        <v>10.16</v>
      </c>
      <c r="AN20" s="571">
        <v>209.69</v>
      </c>
      <c r="AO20" s="571">
        <v>209.87</v>
      </c>
      <c r="AP20" s="571">
        <v>0.77</v>
      </c>
      <c r="AQ20" s="571">
        <v>0.77</v>
      </c>
      <c r="AR20" s="571">
        <v>1.58</v>
      </c>
      <c r="AS20" s="571">
        <v>1.58</v>
      </c>
      <c r="AT20" s="739" t="s">
        <v>813</v>
      </c>
      <c r="AU20" s="649">
        <v>21.99</v>
      </c>
      <c r="AV20" s="571">
        <v>21.75</v>
      </c>
      <c r="AW20" s="571">
        <v>1.4</v>
      </c>
      <c r="AX20" s="571">
        <v>1.39</v>
      </c>
      <c r="AY20" s="571">
        <v>21.53</v>
      </c>
      <c r="AZ20" s="571">
        <v>21.55</v>
      </c>
      <c r="BA20" s="571">
        <v>7.0000000000000007E-2</v>
      </c>
      <c r="BB20" s="571">
        <v>7.0000000000000007E-2</v>
      </c>
      <c r="BC20" s="571">
        <v>59.78</v>
      </c>
      <c r="BD20" s="571">
        <v>59.42</v>
      </c>
      <c r="BE20" s="571">
        <v>10.09</v>
      </c>
      <c r="BF20" s="571">
        <v>9.9</v>
      </c>
      <c r="BG20" s="571">
        <v>0.53</v>
      </c>
      <c r="BH20" s="571">
        <v>0.53</v>
      </c>
      <c r="BI20" s="739" t="s">
        <v>813</v>
      </c>
      <c r="BJ20" s="571">
        <v>83.92</v>
      </c>
      <c r="BK20" s="571">
        <v>83.11</v>
      </c>
      <c r="BL20" s="571">
        <v>0.16</v>
      </c>
      <c r="BM20" s="571">
        <v>0.16</v>
      </c>
      <c r="BN20" s="571">
        <v>114.7</v>
      </c>
      <c r="BO20" s="571">
        <v>114.06</v>
      </c>
      <c r="BP20" s="571">
        <v>2.4300000000000002</v>
      </c>
      <c r="BQ20" s="571">
        <v>2.41</v>
      </c>
      <c r="BR20" s="571">
        <v>21.98</v>
      </c>
      <c r="BS20" s="571">
        <v>22</v>
      </c>
      <c r="BT20" s="571">
        <v>80.739999999999995</v>
      </c>
      <c r="BU20" s="571">
        <v>80.8</v>
      </c>
      <c r="BV20" s="571">
        <v>107.21</v>
      </c>
      <c r="BW20" s="571">
        <v>108.17</v>
      </c>
    </row>
    <row r="21" spans="1:75" s="389" customFormat="1" ht="13.7" customHeight="1">
      <c r="A21" s="744" t="s">
        <v>820</v>
      </c>
      <c r="B21" s="555">
        <v>63.02</v>
      </c>
      <c r="C21" s="555">
        <v>62.17</v>
      </c>
      <c r="D21" s="555">
        <v>80.819999999999993</v>
      </c>
      <c r="E21" s="555">
        <v>80.86</v>
      </c>
      <c r="F21" s="555">
        <v>214.28</v>
      </c>
      <c r="G21" s="555">
        <v>214.34</v>
      </c>
      <c r="H21" s="555">
        <v>64.290000000000006</v>
      </c>
      <c r="I21" s="555">
        <v>63.02</v>
      </c>
      <c r="J21" s="555">
        <v>12.21</v>
      </c>
      <c r="K21" s="555">
        <v>12.18</v>
      </c>
      <c r="L21" s="555">
        <v>12.78</v>
      </c>
      <c r="M21" s="555">
        <v>12.66</v>
      </c>
      <c r="N21" s="555">
        <v>95.1</v>
      </c>
      <c r="O21" s="555">
        <v>94.21</v>
      </c>
      <c r="P21" s="744" t="s">
        <v>820</v>
      </c>
      <c r="Q21" s="555">
        <v>10.35</v>
      </c>
      <c r="R21" s="555">
        <v>10.37</v>
      </c>
      <c r="S21" s="555">
        <v>1.24</v>
      </c>
      <c r="T21" s="555">
        <v>1.25</v>
      </c>
      <c r="U21" s="555">
        <v>0.01</v>
      </c>
      <c r="V21" s="555">
        <v>0.01</v>
      </c>
      <c r="W21" s="555">
        <v>0</v>
      </c>
      <c r="X21" s="555">
        <v>0</v>
      </c>
      <c r="Y21" s="555">
        <v>0.72</v>
      </c>
      <c r="Z21" s="555">
        <v>0.71</v>
      </c>
      <c r="AA21" s="555">
        <v>267.49</v>
      </c>
      <c r="AB21" s="555">
        <v>267.52999999999997</v>
      </c>
      <c r="AC21" s="555">
        <v>19.11</v>
      </c>
      <c r="AD21" s="555">
        <v>19.11</v>
      </c>
      <c r="AE21" s="744" t="s">
        <v>820</v>
      </c>
      <c r="AF21" s="555">
        <v>0.06</v>
      </c>
      <c r="AG21" s="555">
        <v>0.06</v>
      </c>
      <c r="AH21" s="555">
        <v>0.78</v>
      </c>
      <c r="AI21" s="555">
        <v>0.78</v>
      </c>
      <c r="AJ21" s="555">
        <v>57.11</v>
      </c>
      <c r="AK21" s="555">
        <v>55.61</v>
      </c>
      <c r="AL21" s="555">
        <v>10.119999999999999</v>
      </c>
      <c r="AM21" s="555">
        <v>9.92</v>
      </c>
      <c r="AN21" s="555">
        <v>209.96</v>
      </c>
      <c r="AO21" s="555">
        <v>210.03</v>
      </c>
      <c r="AP21" s="555">
        <v>0.77</v>
      </c>
      <c r="AQ21" s="555">
        <v>0.77</v>
      </c>
      <c r="AR21" s="555">
        <v>1.57</v>
      </c>
      <c r="AS21" s="555">
        <v>1.57</v>
      </c>
      <c r="AT21" s="744" t="s">
        <v>820</v>
      </c>
      <c r="AU21" s="682">
        <v>21.78</v>
      </c>
      <c r="AV21" s="555">
        <v>21.06</v>
      </c>
      <c r="AW21" s="555">
        <v>1.4</v>
      </c>
      <c r="AX21" s="555">
        <v>1.39</v>
      </c>
      <c r="AY21" s="555">
        <v>21.55</v>
      </c>
      <c r="AZ21" s="555">
        <v>21.56</v>
      </c>
      <c r="BA21" s="555">
        <v>7.0000000000000007E-2</v>
      </c>
      <c r="BB21" s="555">
        <v>7.0000000000000007E-2</v>
      </c>
      <c r="BC21" s="555">
        <v>59.46</v>
      </c>
      <c r="BD21" s="555">
        <v>59.42</v>
      </c>
      <c r="BE21" s="555">
        <v>9.9</v>
      </c>
      <c r="BF21" s="555">
        <v>9.67</v>
      </c>
      <c r="BG21" s="555">
        <v>0.53</v>
      </c>
      <c r="BH21" s="555">
        <v>0.53</v>
      </c>
      <c r="BI21" s="744" t="s">
        <v>820</v>
      </c>
      <c r="BJ21" s="555">
        <v>82.44</v>
      </c>
      <c r="BK21" s="555">
        <v>81.319999999999993</v>
      </c>
      <c r="BL21" s="555">
        <v>0.16</v>
      </c>
      <c r="BM21" s="555">
        <v>0.16</v>
      </c>
      <c r="BN21" s="555">
        <v>113.94</v>
      </c>
      <c r="BO21" s="555">
        <v>113.49</v>
      </c>
      <c r="BP21" s="555">
        <v>2.4300000000000002</v>
      </c>
      <c r="BQ21" s="555">
        <v>2.4300000000000002</v>
      </c>
      <c r="BR21" s="555">
        <v>22</v>
      </c>
      <c r="BS21" s="555">
        <v>22.01</v>
      </c>
      <c r="BT21" s="555">
        <v>80.819999999999993</v>
      </c>
      <c r="BU21" s="555">
        <v>80.86</v>
      </c>
      <c r="BV21" s="555">
        <v>106.82</v>
      </c>
      <c r="BW21" s="555">
        <v>106.8</v>
      </c>
    </row>
    <row r="22" spans="1:75" s="389" customFormat="1" ht="13.7" customHeight="1">
      <c r="A22" s="739" t="s">
        <v>821</v>
      </c>
      <c r="B22" s="571">
        <v>61.96</v>
      </c>
      <c r="C22" s="571">
        <v>62.31</v>
      </c>
      <c r="D22" s="571">
        <v>81.260000000000005</v>
      </c>
      <c r="E22" s="571">
        <v>82.3</v>
      </c>
      <c r="F22" s="571">
        <v>215.33</v>
      </c>
      <c r="G22" s="571">
        <v>218.16</v>
      </c>
      <c r="H22" s="571">
        <v>63.67</v>
      </c>
      <c r="I22" s="571">
        <v>63.97</v>
      </c>
      <c r="J22" s="571">
        <v>12.28</v>
      </c>
      <c r="K22" s="571">
        <v>12.46</v>
      </c>
      <c r="L22" s="571">
        <v>12.81</v>
      </c>
      <c r="M22" s="571">
        <v>13.1</v>
      </c>
      <c r="N22" s="571">
        <v>95.33</v>
      </c>
      <c r="O22" s="571">
        <v>97.5</v>
      </c>
      <c r="P22" s="739" t="s">
        <v>821</v>
      </c>
      <c r="Q22" s="571">
        <v>10.41</v>
      </c>
      <c r="R22" s="571">
        <v>10.54</v>
      </c>
      <c r="S22" s="571">
        <v>1.25</v>
      </c>
      <c r="T22" s="571">
        <v>1.28</v>
      </c>
      <c r="U22" s="571">
        <v>0.01</v>
      </c>
      <c r="V22" s="571">
        <v>0.01</v>
      </c>
      <c r="W22" s="571">
        <v>0</v>
      </c>
      <c r="X22" s="571">
        <v>0</v>
      </c>
      <c r="Y22" s="571">
        <v>0.72</v>
      </c>
      <c r="Z22" s="571">
        <v>0.74</v>
      </c>
      <c r="AA22" s="571">
        <v>268.88</v>
      </c>
      <c r="AB22" s="571">
        <v>272.79000000000002</v>
      </c>
      <c r="AC22" s="571">
        <v>19.47</v>
      </c>
      <c r="AD22" s="571">
        <v>20.14</v>
      </c>
      <c r="AE22" s="739" t="s">
        <v>821</v>
      </c>
      <c r="AF22" s="571">
        <v>0.06</v>
      </c>
      <c r="AG22" s="571">
        <v>0.06</v>
      </c>
      <c r="AH22" s="571">
        <v>0.78</v>
      </c>
      <c r="AI22" s="571">
        <v>0.8</v>
      </c>
      <c r="AJ22" s="571">
        <v>55.97</v>
      </c>
      <c r="AK22" s="571">
        <v>56.63</v>
      </c>
      <c r="AL22" s="571">
        <v>9.93</v>
      </c>
      <c r="AM22" s="571">
        <v>9.9700000000000006</v>
      </c>
      <c r="AN22" s="571">
        <v>211.05</v>
      </c>
      <c r="AO22" s="571">
        <v>213.77</v>
      </c>
      <c r="AP22" s="571">
        <v>0.77</v>
      </c>
      <c r="AQ22" s="571">
        <v>0.78</v>
      </c>
      <c r="AR22" s="571">
        <v>1.59</v>
      </c>
      <c r="AS22" s="571">
        <v>1.63</v>
      </c>
      <c r="AT22" s="739" t="s">
        <v>821</v>
      </c>
      <c r="AU22" s="652">
        <v>21.9</v>
      </c>
      <c r="AV22" s="571">
        <v>22.61</v>
      </c>
      <c r="AW22" s="571">
        <v>1.38</v>
      </c>
      <c r="AX22" s="571">
        <v>1.41</v>
      </c>
      <c r="AY22" s="571">
        <v>21.67</v>
      </c>
      <c r="AZ22" s="571">
        <v>21.95</v>
      </c>
      <c r="BA22" s="571">
        <v>7.0000000000000007E-2</v>
      </c>
      <c r="BB22" s="571">
        <v>0.08</v>
      </c>
      <c r="BC22" s="571">
        <v>59.91</v>
      </c>
      <c r="BD22" s="571">
        <v>61.09</v>
      </c>
      <c r="BE22" s="571">
        <v>9.69</v>
      </c>
      <c r="BF22" s="571">
        <v>9.84</v>
      </c>
      <c r="BG22" s="571">
        <v>0.53</v>
      </c>
      <c r="BH22" s="571">
        <v>0.54</v>
      </c>
      <c r="BI22" s="739" t="s">
        <v>821</v>
      </c>
      <c r="BJ22" s="571">
        <v>81.91</v>
      </c>
      <c r="BK22" s="571">
        <v>83.59</v>
      </c>
      <c r="BL22" s="571">
        <v>0.16</v>
      </c>
      <c r="BM22" s="571">
        <v>0.16</v>
      </c>
      <c r="BN22" s="571">
        <v>114.4</v>
      </c>
      <c r="BO22" s="571">
        <v>116.57</v>
      </c>
      <c r="BP22" s="571">
        <v>2.4700000000000002</v>
      </c>
      <c r="BQ22" s="571">
        <v>2.52</v>
      </c>
      <c r="BR22" s="571">
        <v>22.12</v>
      </c>
      <c r="BS22" s="571">
        <v>22.41</v>
      </c>
      <c r="BT22" s="571">
        <v>81.260000000000005</v>
      </c>
      <c r="BU22" s="571">
        <v>82.3</v>
      </c>
      <c r="BV22" s="571">
        <v>107.45</v>
      </c>
      <c r="BW22" s="571">
        <v>110.35</v>
      </c>
    </row>
    <row r="23" spans="1:75" s="389" customFormat="1" ht="13.7" customHeight="1">
      <c r="A23" s="744" t="s">
        <v>814</v>
      </c>
      <c r="B23" s="555">
        <v>63.05</v>
      </c>
      <c r="C23" s="555">
        <v>64.52</v>
      </c>
      <c r="D23" s="555">
        <v>82.55</v>
      </c>
      <c r="E23" s="555">
        <v>82.7</v>
      </c>
      <c r="F23" s="555">
        <v>218.87</v>
      </c>
      <c r="G23" s="555">
        <v>219.31</v>
      </c>
      <c r="H23" s="555">
        <v>64.62</v>
      </c>
      <c r="I23" s="555">
        <v>65.739999999999995</v>
      </c>
      <c r="J23" s="555">
        <v>12.52</v>
      </c>
      <c r="K23" s="555">
        <v>12.66</v>
      </c>
      <c r="L23" s="555">
        <v>13.12</v>
      </c>
      <c r="M23" s="555">
        <v>13.33</v>
      </c>
      <c r="N23" s="555">
        <v>97.69</v>
      </c>
      <c r="O23" s="555">
        <v>99.22</v>
      </c>
      <c r="P23" s="744" t="s">
        <v>814</v>
      </c>
      <c r="Q23" s="555">
        <v>10.57</v>
      </c>
      <c r="R23" s="555">
        <v>10.59</v>
      </c>
      <c r="S23" s="555">
        <v>1.28</v>
      </c>
      <c r="T23" s="555">
        <v>1.3</v>
      </c>
      <c r="U23" s="555">
        <v>0.01</v>
      </c>
      <c r="V23" s="555">
        <v>0.01</v>
      </c>
      <c r="W23" s="555">
        <v>0</v>
      </c>
      <c r="X23" s="555">
        <v>0</v>
      </c>
      <c r="Y23" s="555">
        <v>0.73</v>
      </c>
      <c r="Z23" s="555">
        <v>0.73</v>
      </c>
      <c r="AA23" s="555">
        <v>273.31</v>
      </c>
      <c r="AB23" s="555">
        <v>274.3</v>
      </c>
      <c r="AC23" s="555">
        <v>20.239999999999998</v>
      </c>
      <c r="AD23" s="555">
        <v>20.43</v>
      </c>
      <c r="AE23" s="744" t="s">
        <v>814</v>
      </c>
      <c r="AF23" s="555">
        <v>0.06</v>
      </c>
      <c r="AG23" s="555">
        <v>0.06</v>
      </c>
      <c r="AH23" s="555">
        <v>0.8</v>
      </c>
      <c r="AI23" s="555">
        <v>0.81</v>
      </c>
      <c r="AJ23" s="555">
        <v>57.45</v>
      </c>
      <c r="AK23" s="555">
        <v>58.61</v>
      </c>
      <c r="AL23" s="555">
        <v>9.93</v>
      </c>
      <c r="AM23" s="555">
        <v>10.07</v>
      </c>
      <c r="AN23" s="555">
        <v>214.42</v>
      </c>
      <c r="AO23" s="555">
        <v>214.78</v>
      </c>
      <c r="AP23" s="555">
        <v>0.76</v>
      </c>
      <c r="AQ23" s="555">
        <v>0.75</v>
      </c>
      <c r="AR23" s="555">
        <v>1.64</v>
      </c>
      <c r="AS23" s="555">
        <v>1.65</v>
      </c>
      <c r="AT23" s="744" t="s">
        <v>814</v>
      </c>
      <c r="AU23" s="828">
        <v>22.67</v>
      </c>
      <c r="AV23" s="555">
        <v>22.71</v>
      </c>
      <c r="AW23" s="555">
        <v>1.41</v>
      </c>
      <c r="AX23" s="555">
        <v>1.43</v>
      </c>
      <c r="AY23" s="555">
        <v>22.01</v>
      </c>
      <c r="AZ23" s="555">
        <v>22.05</v>
      </c>
      <c r="BA23" s="555">
        <v>0.08</v>
      </c>
      <c r="BB23" s="555">
        <v>0.08</v>
      </c>
      <c r="BC23" s="555">
        <v>61.31</v>
      </c>
      <c r="BD23" s="555">
        <v>61.83</v>
      </c>
      <c r="BE23" s="555">
        <v>9.84</v>
      </c>
      <c r="BF23" s="555">
        <v>10.08</v>
      </c>
      <c r="BG23" s="555">
        <v>0.54</v>
      </c>
      <c r="BH23" s="555">
        <v>0.54</v>
      </c>
      <c r="BI23" s="744" t="s">
        <v>814</v>
      </c>
      <c r="BJ23" s="555">
        <v>83.66</v>
      </c>
      <c r="BK23" s="555">
        <v>84.88</v>
      </c>
      <c r="BL23" s="555">
        <v>0.16</v>
      </c>
      <c r="BM23" s="555">
        <v>0.16</v>
      </c>
      <c r="BN23" s="555">
        <v>116.82</v>
      </c>
      <c r="BO23" s="555">
        <v>117.77</v>
      </c>
      <c r="BP23" s="555">
        <v>2.5299999999999998</v>
      </c>
      <c r="BQ23" s="555">
        <v>2.54</v>
      </c>
      <c r="BR23" s="555">
        <v>22.48</v>
      </c>
      <c r="BS23" s="555">
        <v>22.52</v>
      </c>
      <c r="BT23" s="555">
        <v>82.55</v>
      </c>
      <c r="BU23" s="555">
        <v>82.7</v>
      </c>
      <c r="BV23" s="555">
        <v>110.59</v>
      </c>
      <c r="BW23" s="555">
        <v>111.76</v>
      </c>
    </row>
    <row r="24" spans="1:75" s="389" customFormat="1" ht="13.7" customHeight="1">
      <c r="A24" s="739" t="s">
        <v>822</v>
      </c>
      <c r="B24" s="571">
        <v>65.510000000000005</v>
      </c>
      <c r="C24" s="571">
        <v>67.010000000000005</v>
      </c>
      <c r="D24" s="571">
        <v>82.82</v>
      </c>
      <c r="E24" s="571">
        <v>82.9</v>
      </c>
      <c r="F24" s="571">
        <v>219.63</v>
      </c>
      <c r="G24" s="571">
        <v>219.89</v>
      </c>
      <c r="H24" s="571">
        <v>66.55</v>
      </c>
      <c r="I24" s="571">
        <v>67.209999999999994</v>
      </c>
      <c r="J24" s="571">
        <v>13.21</v>
      </c>
      <c r="K24" s="571">
        <v>13.09</v>
      </c>
      <c r="L24" s="571">
        <v>13.54</v>
      </c>
      <c r="M24" s="571">
        <v>13.81</v>
      </c>
      <c r="N24" s="571">
        <v>100.81</v>
      </c>
      <c r="O24" s="571">
        <v>102.81</v>
      </c>
      <c r="P24" s="739" t="s">
        <v>822</v>
      </c>
      <c r="Q24" s="571">
        <v>10.59</v>
      </c>
      <c r="R24" s="571">
        <v>10.6</v>
      </c>
      <c r="S24" s="571">
        <v>1.3</v>
      </c>
      <c r="T24" s="571">
        <v>1.3</v>
      </c>
      <c r="U24" s="571">
        <v>0.01</v>
      </c>
      <c r="V24" s="571">
        <v>0.01</v>
      </c>
      <c r="W24" s="571">
        <v>0</v>
      </c>
      <c r="X24" s="571">
        <v>0</v>
      </c>
      <c r="Y24" s="571">
        <v>0.75</v>
      </c>
      <c r="Z24" s="571">
        <v>0.76</v>
      </c>
      <c r="AA24" s="571">
        <v>275.27999999999997</v>
      </c>
      <c r="AB24" s="571">
        <v>276.66000000000003</v>
      </c>
      <c r="AC24" s="571">
        <v>20.91</v>
      </c>
      <c r="AD24" s="571">
        <v>21.25</v>
      </c>
      <c r="AE24" s="739" t="s">
        <v>822</v>
      </c>
      <c r="AF24" s="571">
        <v>0.06</v>
      </c>
      <c r="AG24" s="571">
        <v>0.06</v>
      </c>
      <c r="AH24" s="571">
        <v>0.81</v>
      </c>
      <c r="AI24" s="571">
        <v>0.82</v>
      </c>
      <c r="AJ24" s="571">
        <v>60.17</v>
      </c>
      <c r="AK24" s="571">
        <v>60.77</v>
      </c>
      <c r="AL24" s="571">
        <v>10.44</v>
      </c>
      <c r="AM24" s="571">
        <v>10.74</v>
      </c>
      <c r="AN24" s="571">
        <v>215.1</v>
      </c>
      <c r="AO24" s="571">
        <v>215.32</v>
      </c>
      <c r="AP24" s="571">
        <v>0.75</v>
      </c>
      <c r="AQ24" s="571">
        <v>0.75</v>
      </c>
      <c r="AR24" s="571">
        <v>1.64</v>
      </c>
      <c r="AS24" s="571">
        <v>1.62</v>
      </c>
      <c r="AT24" s="739" t="s">
        <v>822</v>
      </c>
      <c r="AU24" s="652">
        <v>22.73</v>
      </c>
      <c r="AV24" s="571">
        <v>22.77</v>
      </c>
      <c r="AW24" s="571">
        <v>1.46</v>
      </c>
      <c r="AX24" s="571">
        <v>1.47</v>
      </c>
      <c r="AY24" s="571">
        <v>22.08</v>
      </c>
      <c r="AZ24" s="571">
        <v>22.11</v>
      </c>
      <c r="BA24" s="571">
        <v>0.08</v>
      </c>
      <c r="BB24" s="571">
        <v>0.08</v>
      </c>
      <c r="BC24" s="571">
        <v>62.59</v>
      </c>
      <c r="BD24" s="571">
        <v>63.21</v>
      </c>
      <c r="BE24" s="571">
        <v>10.28</v>
      </c>
      <c r="BF24" s="571">
        <v>10.53</v>
      </c>
      <c r="BG24" s="571">
        <v>0.54</v>
      </c>
      <c r="BH24" s="571">
        <v>0.54</v>
      </c>
      <c r="BI24" s="739" t="s">
        <v>822</v>
      </c>
      <c r="BJ24" s="571">
        <v>86</v>
      </c>
      <c r="BK24" s="571">
        <v>88.73</v>
      </c>
      <c r="BL24" s="571">
        <v>0.16</v>
      </c>
      <c r="BM24" s="571">
        <v>0.16</v>
      </c>
      <c r="BN24" s="571">
        <v>118.98</v>
      </c>
      <c r="BO24" s="571">
        <v>120.63</v>
      </c>
      <c r="BP24" s="571">
        <v>2.59</v>
      </c>
      <c r="BQ24" s="571">
        <v>2.64</v>
      </c>
      <c r="BR24" s="571">
        <v>22.55</v>
      </c>
      <c r="BS24" s="571">
        <v>22.57</v>
      </c>
      <c r="BT24" s="571">
        <v>82.82</v>
      </c>
      <c r="BU24" s="571">
        <v>82.9</v>
      </c>
      <c r="BV24" s="571">
        <v>114.21</v>
      </c>
      <c r="BW24" s="571">
        <v>117.27</v>
      </c>
    </row>
    <row r="25" spans="1:75" s="389" customFormat="1" ht="13.7" customHeight="1">
      <c r="A25" s="744" t="s">
        <v>823</v>
      </c>
      <c r="B25" s="555">
        <v>65.36</v>
      </c>
      <c r="C25" s="555">
        <v>64.62</v>
      </c>
      <c r="D25" s="555">
        <v>82.92</v>
      </c>
      <c r="E25" s="555">
        <v>82.96</v>
      </c>
      <c r="F25" s="555">
        <v>219.94</v>
      </c>
      <c r="G25" s="555">
        <v>220.05</v>
      </c>
      <c r="H25" s="555">
        <v>66.05</v>
      </c>
      <c r="I25" s="555">
        <v>64.930000000000007</v>
      </c>
      <c r="J25" s="555">
        <v>13.12</v>
      </c>
      <c r="K25" s="555">
        <v>13.11</v>
      </c>
      <c r="L25" s="555">
        <v>13.75</v>
      </c>
      <c r="M25" s="555">
        <v>13.63</v>
      </c>
      <c r="N25" s="555">
        <v>102.4</v>
      </c>
      <c r="O25" s="555">
        <v>101.48</v>
      </c>
      <c r="P25" s="744" t="s">
        <v>823</v>
      </c>
      <c r="Q25" s="555">
        <v>10.6</v>
      </c>
      <c r="R25" s="555">
        <v>10.6</v>
      </c>
      <c r="S25" s="555">
        <v>1.29</v>
      </c>
      <c r="T25" s="555">
        <v>1.28</v>
      </c>
      <c r="U25" s="555">
        <v>0.01</v>
      </c>
      <c r="V25" s="555">
        <v>0.01</v>
      </c>
      <c r="W25" s="555">
        <v>0</v>
      </c>
      <c r="X25" s="555">
        <v>0</v>
      </c>
      <c r="Y25" s="555">
        <v>0.77</v>
      </c>
      <c r="Z25" s="555">
        <v>0.77</v>
      </c>
      <c r="AA25" s="555">
        <v>276.57</v>
      </c>
      <c r="AB25" s="555">
        <v>276.86</v>
      </c>
      <c r="AC25" s="555">
        <v>21.21</v>
      </c>
      <c r="AD25" s="555">
        <v>21.13</v>
      </c>
      <c r="AE25" s="744" t="s">
        <v>823</v>
      </c>
      <c r="AF25" s="555">
        <v>0.06</v>
      </c>
      <c r="AG25" s="555">
        <v>0.06</v>
      </c>
      <c r="AH25" s="555">
        <v>0.81</v>
      </c>
      <c r="AI25" s="555">
        <v>0.8</v>
      </c>
      <c r="AJ25" s="555">
        <v>60.62</v>
      </c>
      <c r="AK25" s="555">
        <v>60.03</v>
      </c>
      <c r="AL25" s="555">
        <v>10.59</v>
      </c>
      <c r="AM25" s="555">
        <v>10.54</v>
      </c>
      <c r="AN25" s="555">
        <v>215.38</v>
      </c>
      <c r="AO25" s="555">
        <v>215.48</v>
      </c>
      <c r="AP25" s="555">
        <v>0.75</v>
      </c>
      <c r="AQ25" s="555">
        <v>0.75</v>
      </c>
      <c r="AR25" s="555">
        <v>1.6</v>
      </c>
      <c r="AS25" s="555">
        <v>1.59</v>
      </c>
      <c r="AT25" s="744" t="s">
        <v>823</v>
      </c>
      <c r="AU25" s="828">
        <v>22.76</v>
      </c>
      <c r="AV25" s="555">
        <v>22.78</v>
      </c>
      <c r="AW25" s="555">
        <v>1.46</v>
      </c>
      <c r="AX25" s="555">
        <v>1.47</v>
      </c>
      <c r="AY25" s="555">
        <v>22.11</v>
      </c>
      <c r="AZ25" s="555">
        <v>22.12</v>
      </c>
      <c r="BA25" s="555">
        <v>0.08</v>
      </c>
      <c r="BB25" s="555">
        <v>0.08</v>
      </c>
      <c r="BC25" s="555">
        <v>62.85</v>
      </c>
      <c r="BD25" s="555">
        <v>62.64</v>
      </c>
      <c r="BE25" s="555">
        <v>10.33</v>
      </c>
      <c r="BF25" s="555">
        <v>10.08</v>
      </c>
      <c r="BG25" s="555">
        <v>0.54</v>
      </c>
      <c r="BH25" s="555">
        <v>0.54</v>
      </c>
      <c r="BI25" s="744" t="s">
        <v>823</v>
      </c>
      <c r="BJ25" s="555">
        <v>88.71</v>
      </c>
      <c r="BK25" s="555">
        <v>88.35</v>
      </c>
      <c r="BL25" s="555">
        <v>0.16</v>
      </c>
      <c r="BM25" s="555">
        <v>0.16</v>
      </c>
      <c r="BN25" s="555">
        <v>120.45</v>
      </c>
      <c r="BO25" s="555">
        <v>120.41</v>
      </c>
      <c r="BP25" s="555">
        <v>2.63</v>
      </c>
      <c r="BQ25" s="555">
        <v>2.64</v>
      </c>
      <c r="BR25" s="555">
        <v>22.58</v>
      </c>
      <c r="BS25" s="555">
        <v>22.59</v>
      </c>
      <c r="BT25" s="555">
        <v>82.92</v>
      </c>
      <c r="BU25" s="555">
        <v>82.96</v>
      </c>
      <c r="BV25" s="555">
        <v>115.89</v>
      </c>
      <c r="BW25" s="555">
        <v>115.39</v>
      </c>
    </row>
    <row r="26" spans="1:75" s="389" customFormat="1" ht="13.7" customHeight="1">
      <c r="A26" s="739" t="s">
        <v>815</v>
      </c>
      <c r="B26" s="571">
        <v>64.45</v>
      </c>
      <c r="C26" s="571">
        <v>63.56</v>
      </c>
      <c r="D26" s="571">
        <v>82.96</v>
      </c>
      <c r="E26" s="571">
        <v>82.96</v>
      </c>
      <c r="F26" s="571">
        <v>220.03</v>
      </c>
      <c r="G26" s="571">
        <v>219.99</v>
      </c>
      <c r="H26" s="571">
        <v>64.209999999999994</v>
      </c>
      <c r="I26" s="571">
        <v>64.2</v>
      </c>
      <c r="J26" s="571">
        <v>13.12</v>
      </c>
      <c r="K26" s="571">
        <v>13.16</v>
      </c>
      <c r="L26" s="571">
        <v>13.74</v>
      </c>
      <c r="M26" s="571">
        <v>13.7</v>
      </c>
      <c r="N26" s="571">
        <v>102.32</v>
      </c>
      <c r="O26" s="571">
        <v>102.11</v>
      </c>
      <c r="P26" s="739" t="s">
        <v>815</v>
      </c>
      <c r="Q26" s="571">
        <v>10.58</v>
      </c>
      <c r="R26" s="571">
        <v>10.57</v>
      </c>
      <c r="S26" s="571">
        <v>1.28</v>
      </c>
      <c r="T26" s="571">
        <v>1.27</v>
      </c>
      <c r="U26" s="571">
        <v>0.01</v>
      </c>
      <c r="V26" s="571">
        <v>0.01</v>
      </c>
      <c r="W26" s="571">
        <v>0</v>
      </c>
      <c r="X26" s="571">
        <v>0</v>
      </c>
      <c r="Y26" s="571">
        <v>0.78</v>
      </c>
      <c r="Z26" s="571">
        <v>0.78</v>
      </c>
      <c r="AA26" s="571">
        <v>276.73</v>
      </c>
      <c r="AB26" s="571">
        <v>277.13</v>
      </c>
      <c r="AC26" s="571">
        <v>21.25</v>
      </c>
      <c r="AD26" s="571">
        <v>21.45</v>
      </c>
      <c r="AE26" s="739" t="s">
        <v>815</v>
      </c>
      <c r="AF26" s="571">
        <v>0.06</v>
      </c>
      <c r="AG26" s="571">
        <v>0.06</v>
      </c>
      <c r="AH26" s="571">
        <v>0.8</v>
      </c>
      <c r="AI26" s="571">
        <v>0.8</v>
      </c>
      <c r="AJ26" s="571">
        <v>60.19</v>
      </c>
      <c r="AK26" s="571">
        <v>59.83</v>
      </c>
      <c r="AL26" s="571">
        <v>10.68</v>
      </c>
      <c r="AM26" s="571">
        <v>10.55</v>
      </c>
      <c r="AN26" s="571">
        <v>215.48</v>
      </c>
      <c r="AO26" s="571">
        <v>215.48</v>
      </c>
      <c r="AP26" s="571">
        <v>0.74</v>
      </c>
      <c r="AQ26" s="571">
        <v>0.72</v>
      </c>
      <c r="AR26" s="571">
        <v>1.59</v>
      </c>
      <c r="AS26" s="571">
        <v>1.59</v>
      </c>
      <c r="AT26" s="739" t="s">
        <v>815</v>
      </c>
      <c r="AU26" s="652">
        <v>22.77</v>
      </c>
      <c r="AV26" s="571">
        <v>22.78</v>
      </c>
      <c r="AW26" s="571">
        <v>1.46</v>
      </c>
      <c r="AX26" s="571">
        <v>1.44</v>
      </c>
      <c r="AY26" s="571">
        <v>22.12</v>
      </c>
      <c r="AZ26" s="571">
        <v>22.12</v>
      </c>
      <c r="BA26" s="571">
        <v>0.08</v>
      </c>
      <c r="BB26" s="571">
        <v>0.08</v>
      </c>
      <c r="BC26" s="571">
        <v>63.07</v>
      </c>
      <c r="BD26" s="571">
        <v>63.24</v>
      </c>
      <c r="BE26" s="571">
        <v>10.08</v>
      </c>
      <c r="BF26" s="571">
        <v>9.94</v>
      </c>
      <c r="BG26" s="571">
        <v>0.53</v>
      </c>
      <c r="BH26" s="571">
        <v>0.53</v>
      </c>
      <c r="BI26" s="739" t="s">
        <v>815</v>
      </c>
      <c r="BJ26" s="571">
        <v>87.58</v>
      </c>
      <c r="BK26" s="571">
        <v>86.71</v>
      </c>
      <c r="BL26" s="571">
        <v>0.16</v>
      </c>
      <c r="BM26" s="571">
        <v>0.16</v>
      </c>
      <c r="BN26" s="571">
        <v>120.49</v>
      </c>
      <c r="BO26" s="571">
        <v>120.6</v>
      </c>
      <c r="BP26" s="571">
        <v>2.65</v>
      </c>
      <c r="BQ26" s="571">
        <v>2.65</v>
      </c>
      <c r="BR26" s="571">
        <v>22.59</v>
      </c>
      <c r="BS26" s="571">
        <v>22.59</v>
      </c>
      <c r="BT26" s="571">
        <v>82.96</v>
      </c>
      <c r="BU26" s="571">
        <v>82.96</v>
      </c>
      <c r="BV26" s="571">
        <v>115.87</v>
      </c>
      <c r="BW26" s="571">
        <v>116.79</v>
      </c>
    </row>
    <row r="27" spans="1:75" s="389" customFormat="1" ht="13.7" customHeight="1">
      <c r="A27" s="744" t="s">
        <v>824</v>
      </c>
      <c r="B27" s="555">
        <v>63.81</v>
      </c>
      <c r="C27" s="555">
        <v>62.92</v>
      </c>
      <c r="D27" s="555">
        <v>82.97</v>
      </c>
      <c r="E27" s="555">
        <v>82.98</v>
      </c>
      <c r="F27" s="555">
        <v>220.06</v>
      </c>
      <c r="G27" s="555">
        <v>220.08</v>
      </c>
      <c r="H27" s="555">
        <v>65.14</v>
      </c>
      <c r="I27" s="555">
        <v>64.69</v>
      </c>
      <c r="J27" s="555">
        <v>13.17</v>
      </c>
      <c r="K27" s="555">
        <v>13.09</v>
      </c>
      <c r="L27" s="555">
        <v>13.69</v>
      </c>
      <c r="M27" s="555">
        <v>13.51</v>
      </c>
      <c r="N27" s="555">
        <v>101.97</v>
      </c>
      <c r="O27" s="555">
        <v>100.65</v>
      </c>
      <c r="P27" s="744" t="s">
        <v>824</v>
      </c>
      <c r="Q27" s="555">
        <v>10.57</v>
      </c>
      <c r="R27" s="555">
        <v>10.57</v>
      </c>
      <c r="S27" s="555">
        <v>1.26</v>
      </c>
      <c r="T27" s="555">
        <v>1.25</v>
      </c>
      <c r="U27" s="555">
        <v>0.01</v>
      </c>
      <c r="V27" s="555">
        <v>0.01</v>
      </c>
      <c r="W27" s="555">
        <v>0</v>
      </c>
      <c r="X27" s="555">
        <v>0</v>
      </c>
      <c r="Y27" s="555">
        <v>0.77</v>
      </c>
      <c r="Z27" s="555">
        <v>0.76</v>
      </c>
      <c r="AA27" s="555">
        <v>276.52</v>
      </c>
      <c r="AB27" s="555">
        <v>275.68</v>
      </c>
      <c r="AC27" s="555">
        <v>21.35</v>
      </c>
      <c r="AD27" s="555">
        <v>21.17</v>
      </c>
      <c r="AE27" s="744" t="s">
        <v>824</v>
      </c>
      <c r="AF27" s="555">
        <v>0.06</v>
      </c>
      <c r="AG27" s="555">
        <v>0.06</v>
      </c>
      <c r="AH27" s="555">
        <v>0.79</v>
      </c>
      <c r="AI27" s="555">
        <v>0.78</v>
      </c>
      <c r="AJ27" s="555">
        <v>60.17</v>
      </c>
      <c r="AK27" s="555">
        <v>58.79</v>
      </c>
      <c r="AL27" s="555">
        <v>10.59</v>
      </c>
      <c r="AM27" s="555">
        <v>10.43</v>
      </c>
      <c r="AN27" s="555">
        <v>215.52</v>
      </c>
      <c r="AO27" s="555">
        <v>215.53</v>
      </c>
      <c r="AP27" s="555">
        <v>0.72</v>
      </c>
      <c r="AQ27" s="555">
        <v>0.72</v>
      </c>
      <c r="AR27" s="555">
        <v>1.59</v>
      </c>
      <c r="AS27" s="555">
        <v>1.6</v>
      </c>
      <c r="AT27" s="744" t="s">
        <v>824</v>
      </c>
      <c r="AU27" s="828">
        <v>22.79</v>
      </c>
      <c r="AV27" s="555">
        <v>22.79</v>
      </c>
      <c r="AW27" s="555">
        <v>1.37</v>
      </c>
      <c r="AX27" s="555">
        <v>1.33</v>
      </c>
      <c r="AY27" s="555">
        <v>22.13</v>
      </c>
      <c r="AZ27" s="555">
        <v>22.13</v>
      </c>
      <c r="BA27" s="555">
        <v>0.08</v>
      </c>
      <c r="BB27" s="555">
        <v>0.08</v>
      </c>
      <c r="BC27" s="555">
        <v>63.1</v>
      </c>
      <c r="BD27" s="555">
        <v>62.69</v>
      </c>
      <c r="BE27" s="555">
        <v>9.84</v>
      </c>
      <c r="BF27" s="555">
        <v>9.57</v>
      </c>
      <c r="BG27" s="555">
        <v>0.53</v>
      </c>
      <c r="BH27" s="555">
        <v>0.53</v>
      </c>
      <c r="BI27" s="744" t="s">
        <v>824</v>
      </c>
      <c r="BJ27" s="555">
        <v>85.86</v>
      </c>
      <c r="BK27" s="555">
        <v>84</v>
      </c>
      <c r="BL27" s="555">
        <v>0.16</v>
      </c>
      <c r="BM27" s="555">
        <v>0.16</v>
      </c>
      <c r="BN27" s="555">
        <v>120.41</v>
      </c>
      <c r="BO27" s="555">
        <v>119.31</v>
      </c>
      <c r="BP27" s="555">
        <v>2.65</v>
      </c>
      <c r="BQ27" s="555">
        <v>2.63</v>
      </c>
      <c r="BR27" s="555">
        <v>22.59</v>
      </c>
      <c r="BS27" s="555">
        <v>22.59</v>
      </c>
      <c r="BT27" s="555">
        <v>82.97</v>
      </c>
      <c r="BU27" s="555">
        <v>82.98</v>
      </c>
      <c r="BV27" s="555">
        <v>116.81</v>
      </c>
      <c r="BW27" s="555">
        <v>114.35</v>
      </c>
    </row>
    <row r="28" spans="1:75" s="389" customFormat="1" ht="13.7" customHeight="1">
      <c r="A28" s="739" t="s">
        <v>825</v>
      </c>
      <c r="B28" s="571">
        <v>62.74</v>
      </c>
      <c r="C28" s="571">
        <v>63.42</v>
      </c>
      <c r="D28" s="571">
        <v>83.38</v>
      </c>
      <c r="E28" s="571">
        <v>83.7</v>
      </c>
      <c r="F28" s="571">
        <v>220.98</v>
      </c>
      <c r="G28" s="571">
        <v>221.66</v>
      </c>
      <c r="H28" s="571">
        <v>64.8</v>
      </c>
      <c r="I28" s="571">
        <v>65.02</v>
      </c>
      <c r="J28" s="571">
        <v>13.08</v>
      </c>
      <c r="K28" s="571">
        <v>13.05</v>
      </c>
      <c r="L28" s="571">
        <v>13.23</v>
      </c>
      <c r="M28" s="571">
        <v>13.12</v>
      </c>
      <c r="N28" s="571">
        <v>98.51</v>
      </c>
      <c r="O28" s="571">
        <v>97.62</v>
      </c>
      <c r="P28" s="739" t="s">
        <v>825</v>
      </c>
      <c r="Q28" s="571">
        <v>10.62</v>
      </c>
      <c r="R28" s="571">
        <v>10.67</v>
      </c>
      <c r="S28" s="571">
        <v>1.23</v>
      </c>
      <c r="T28" s="571">
        <v>1.24</v>
      </c>
      <c r="U28" s="571">
        <v>0.01</v>
      </c>
      <c r="V28" s="571">
        <v>0.01</v>
      </c>
      <c r="W28" s="571">
        <v>0</v>
      </c>
      <c r="X28" s="571">
        <v>0</v>
      </c>
      <c r="Y28" s="571">
        <v>0.76</v>
      </c>
      <c r="Z28" s="571">
        <v>0.77</v>
      </c>
      <c r="AA28" s="571">
        <v>276.32</v>
      </c>
      <c r="AB28" s="571">
        <v>276.74</v>
      </c>
      <c r="AC28" s="571">
        <v>21.04</v>
      </c>
      <c r="AD28" s="571">
        <v>21.04</v>
      </c>
      <c r="AE28" s="739" t="s">
        <v>825</v>
      </c>
      <c r="AF28" s="571">
        <v>0.06</v>
      </c>
      <c r="AG28" s="571">
        <v>0.06</v>
      </c>
      <c r="AH28" s="571">
        <v>0.77</v>
      </c>
      <c r="AI28" s="571">
        <v>0.78</v>
      </c>
      <c r="AJ28" s="571">
        <v>57.92</v>
      </c>
      <c r="AK28" s="571">
        <v>58.49</v>
      </c>
      <c r="AL28" s="571">
        <v>10.29</v>
      </c>
      <c r="AM28" s="571">
        <v>10.23</v>
      </c>
      <c r="AN28" s="571">
        <v>216.44</v>
      </c>
      <c r="AO28" s="571">
        <v>217.4</v>
      </c>
      <c r="AP28" s="571">
        <v>0.72</v>
      </c>
      <c r="AQ28" s="571">
        <v>0.72</v>
      </c>
      <c r="AR28" s="571">
        <v>1.6</v>
      </c>
      <c r="AS28" s="571">
        <v>1.59</v>
      </c>
      <c r="AT28" s="739" t="s">
        <v>825</v>
      </c>
      <c r="AU28" s="652">
        <v>22.9</v>
      </c>
      <c r="AV28" s="571">
        <v>22.99</v>
      </c>
      <c r="AW28" s="571">
        <v>1.34</v>
      </c>
      <c r="AX28" s="571">
        <v>1.35</v>
      </c>
      <c r="AY28" s="571">
        <v>22.23</v>
      </c>
      <c r="AZ28" s="571">
        <v>22.32</v>
      </c>
      <c r="BA28" s="571">
        <v>0.08</v>
      </c>
      <c r="BB28" s="571">
        <v>0.08</v>
      </c>
      <c r="BC28" s="571">
        <v>62.22</v>
      </c>
      <c r="BD28" s="571">
        <v>62.5</v>
      </c>
      <c r="BE28" s="571">
        <v>9.52</v>
      </c>
      <c r="BF28" s="571">
        <v>9.5</v>
      </c>
      <c r="BG28" s="571">
        <v>0.53</v>
      </c>
      <c r="BH28" s="571">
        <v>0.53</v>
      </c>
      <c r="BI28" s="739" t="s">
        <v>825</v>
      </c>
      <c r="BJ28" s="571">
        <v>83.55</v>
      </c>
      <c r="BK28" s="571">
        <v>84.61</v>
      </c>
      <c r="BL28" s="571">
        <v>0.16</v>
      </c>
      <c r="BM28" s="571">
        <v>0.16</v>
      </c>
      <c r="BN28" s="571">
        <v>118.41</v>
      </c>
      <c r="BO28" s="571">
        <v>118.37</v>
      </c>
      <c r="BP28" s="571">
        <v>2.61</v>
      </c>
      <c r="BQ28" s="571">
        <v>2.62</v>
      </c>
      <c r="BR28" s="571">
        <v>22.7</v>
      </c>
      <c r="BS28" s="571">
        <v>22.79</v>
      </c>
      <c r="BT28" s="571">
        <v>83.38</v>
      </c>
      <c r="BU28" s="571">
        <v>83.7</v>
      </c>
      <c r="BV28" s="571">
        <v>112.28</v>
      </c>
      <c r="BW28" s="571">
        <v>111.25</v>
      </c>
    </row>
    <row r="29" spans="1:75" s="389" customFormat="1" ht="13.7" customHeight="1">
      <c r="A29" s="744" t="s">
        <v>816</v>
      </c>
      <c r="B29" s="555">
        <v>62.87</v>
      </c>
      <c r="C29" s="555">
        <v>61.58</v>
      </c>
      <c r="D29" s="555">
        <v>83.7</v>
      </c>
      <c r="E29" s="555">
        <v>83.73</v>
      </c>
      <c r="F29" s="555">
        <v>221.36</v>
      </c>
      <c r="G29" s="555">
        <v>221.47</v>
      </c>
      <c r="H29" s="555">
        <v>63.91</v>
      </c>
      <c r="I29" s="555">
        <v>63.21</v>
      </c>
      <c r="J29" s="555">
        <v>12.98</v>
      </c>
      <c r="K29" s="555">
        <v>12.65</v>
      </c>
      <c r="L29" s="555">
        <v>13.13</v>
      </c>
      <c r="M29" s="555">
        <v>13</v>
      </c>
      <c r="N29" s="555">
        <v>97.79</v>
      </c>
      <c r="O29" s="555">
        <v>96.86</v>
      </c>
      <c r="P29" s="744" t="s">
        <v>816</v>
      </c>
      <c r="Q29" s="555">
        <v>10.67</v>
      </c>
      <c r="R29" s="555">
        <v>10.67</v>
      </c>
      <c r="S29" s="555">
        <v>1.24</v>
      </c>
      <c r="T29" s="555">
        <v>1.22</v>
      </c>
      <c r="U29" s="555">
        <v>0.01</v>
      </c>
      <c r="V29" s="555">
        <v>0.01</v>
      </c>
      <c r="W29" s="555">
        <v>0</v>
      </c>
      <c r="X29" s="555">
        <v>0</v>
      </c>
      <c r="Y29" s="555">
        <v>0.76</v>
      </c>
      <c r="Z29" s="555">
        <v>0.76</v>
      </c>
      <c r="AA29" s="555">
        <v>276.81</v>
      </c>
      <c r="AB29" s="555">
        <v>276.82</v>
      </c>
      <c r="AC29" s="555">
        <v>20.94</v>
      </c>
      <c r="AD29" s="555">
        <v>20.74</v>
      </c>
      <c r="AE29" s="744" t="s">
        <v>816</v>
      </c>
      <c r="AF29" s="555">
        <v>0.06</v>
      </c>
      <c r="AG29" s="555">
        <v>0.06</v>
      </c>
      <c r="AH29" s="555">
        <v>0.77</v>
      </c>
      <c r="AI29" s="555">
        <v>0.77</v>
      </c>
      <c r="AJ29" s="555">
        <v>58.22</v>
      </c>
      <c r="AK29" s="555">
        <v>56.56</v>
      </c>
      <c r="AL29" s="555">
        <v>10.31</v>
      </c>
      <c r="AM29" s="555">
        <v>10.220000000000001</v>
      </c>
      <c r="AN29" s="555">
        <v>217.41</v>
      </c>
      <c r="AO29" s="555">
        <v>217.47</v>
      </c>
      <c r="AP29" s="555">
        <v>0.71</v>
      </c>
      <c r="AQ29" s="555">
        <v>0.69</v>
      </c>
      <c r="AR29" s="555">
        <v>1.58</v>
      </c>
      <c r="AS29" s="555">
        <v>1.57</v>
      </c>
      <c r="AT29" s="744" t="s">
        <v>816</v>
      </c>
      <c r="AU29" s="828">
        <v>22.99</v>
      </c>
      <c r="AV29" s="555">
        <v>23</v>
      </c>
      <c r="AW29" s="555">
        <v>1.33</v>
      </c>
      <c r="AX29" s="555">
        <v>1.33</v>
      </c>
      <c r="AY29" s="555">
        <v>22.32</v>
      </c>
      <c r="AZ29" s="555">
        <v>22.32</v>
      </c>
      <c r="BA29" s="555">
        <v>0.08</v>
      </c>
      <c r="BB29" s="555">
        <v>0.08</v>
      </c>
      <c r="BC29" s="555">
        <v>62.16</v>
      </c>
      <c r="BD29" s="555">
        <v>61.21</v>
      </c>
      <c r="BE29" s="555">
        <v>9.52</v>
      </c>
      <c r="BF29" s="555">
        <v>9.34</v>
      </c>
      <c r="BG29" s="555">
        <v>0.53</v>
      </c>
      <c r="BH29" s="555">
        <v>0.53</v>
      </c>
      <c r="BI29" s="744" t="s">
        <v>816</v>
      </c>
      <c r="BJ29" s="555">
        <v>84.58</v>
      </c>
      <c r="BK29" s="555">
        <v>83.94</v>
      </c>
      <c r="BL29" s="555">
        <v>0.16</v>
      </c>
      <c r="BM29" s="555">
        <v>0.16</v>
      </c>
      <c r="BN29" s="555">
        <v>118.41</v>
      </c>
      <c r="BO29" s="555">
        <v>117.62</v>
      </c>
      <c r="BP29" s="555">
        <v>2.58</v>
      </c>
      <c r="BQ29" s="555">
        <v>2.5299999999999998</v>
      </c>
      <c r="BR29" s="555">
        <v>22.79</v>
      </c>
      <c r="BS29" s="555">
        <v>22.79</v>
      </c>
      <c r="BT29" s="555">
        <v>83.7</v>
      </c>
      <c r="BU29" s="555">
        <v>83.73</v>
      </c>
      <c r="BV29" s="555">
        <v>111.3</v>
      </c>
      <c r="BW29" s="555">
        <v>109.5</v>
      </c>
    </row>
    <row r="30" spans="1:75" s="389" customFormat="1" ht="13.7" customHeight="1">
      <c r="A30" s="835" t="s">
        <v>2524</v>
      </c>
      <c r="B30" s="571"/>
      <c r="C30" s="571"/>
      <c r="D30" s="571"/>
      <c r="E30" s="571"/>
      <c r="F30" s="571"/>
      <c r="G30" s="571"/>
      <c r="H30" s="571"/>
      <c r="I30" s="571"/>
      <c r="J30" s="571"/>
      <c r="K30" s="571"/>
      <c r="L30" s="571"/>
      <c r="M30" s="571"/>
      <c r="N30" s="571"/>
      <c r="O30" s="571"/>
      <c r="P30" s="835" t="s">
        <v>2524</v>
      </c>
      <c r="Q30" s="571"/>
      <c r="R30" s="571"/>
      <c r="S30" s="571"/>
      <c r="T30" s="571"/>
      <c r="U30" s="571"/>
      <c r="V30" s="571"/>
      <c r="W30" s="571"/>
      <c r="X30" s="571"/>
      <c r="Y30" s="571"/>
      <c r="Z30" s="571"/>
      <c r="AA30" s="571"/>
      <c r="AB30" s="571"/>
      <c r="AC30" s="571"/>
      <c r="AD30" s="571"/>
      <c r="AE30" s="835" t="s">
        <v>2524</v>
      </c>
      <c r="AF30" s="571"/>
      <c r="AG30" s="571"/>
      <c r="AH30" s="571"/>
      <c r="AI30" s="571"/>
      <c r="AJ30" s="571"/>
      <c r="AK30" s="571"/>
      <c r="AL30" s="571"/>
      <c r="AM30" s="571"/>
      <c r="AN30" s="571"/>
      <c r="AO30" s="571"/>
      <c r="AP30" s="571"/>
      <c r="AQ30" s="571"/>
      <c r="AR30" s="571"/>
      <c r="AS30" s="571"/>
      <c r="AT30" s="835" t="s">
        <v>2524</v>
      </c>
      <c r="AU30" s="652"/>
      <c r="AV30" s="571"/>
      <c r="AW30" s="571"/>
      <c r="AX30" s="571"/>
      <c r="AY30" s="571"/>
      <c r="AZ30" s="571"/>
      <c r="BA30" s="571"/>
      <c r="BB30" s="571"/>
      <c r="BC30" s="571"/>
      <c r="BD30" s="571"/>
      <c r="BE30" s="571"/>
      <c r="BF30" s="571"/>
      <c r="BG30" s="571"/>
      <c r="BH30" s="571"/>
      <c r="BI30" s="835" t="s">
        <v>2524</v>
      </c>
      <c r="BJ30" s="571"/>
      <c r="BK30" s="571"/>
      <c r="BL30" s="571"/>
      <c r="BM30" s="571"/>
      <c r="BN30" s="571"/>
      <c r="BO30" s="571"/>
      <c r="BP30" s="571"/>
      <c r="BQ30" s="571"/>
      <c r="BR30" s="571"/>
      <c r="BS30" s="571"/>
      <c r="BT30" s="571"/>
      <c r="BU30" s="571"/>
      <c r="BV30" s="571"/>
      <c r="BW30" s="571"/>
    </row>
    <row r="31" spans="1:75" s="389" customFormat="1" ht="13.7" customHeight="1">
      <c r="A31" s="829" t="s">
        <v>818</v>
      </c>
      <c r="B31" s="555">
        <v>62.05</v>
      </c>
      <c r="C31" s="555">
        <v>62.03</v>
      </c>
      <c r="D31" s="555">
        <v>83.75</v>
      </c>
      <c r="E31" s="555">
        <v>83.75</v>
      </c>
      <c r="F31" s="555">
        <v>221.25</v>
      </c>
      <c r="G31" s="555">
        <v>221.59</v>
      </c>
      <c r="H31" s="555">
        <v>63.78</v>
      </c>
      <c r="I31" s="555">
        <v>64.25</v>
      </c>
      <c r="J31" s="555">
        <v>12.5</v>
      </c>
      <c r="K31" s="555">
        <v>12.29</v>
      </c>
      <c r="L31" s="555">
        <v>13.14</v>
      </c>
      <c r="M31" s="555">
        <v>13.16</v>
      </c>
      <c r="N31" s="555">
        <v>97.9</v>
      </c>
      <c r="O31" s="555">
        <v>98.04</v>
      </c>
      <c r="P31" s="829" t="s">
        <v>818</v>
      </c>
      <c r="Q31" s="555">
        <v>10.67</v>
      </c>
      <c r="R31" s="555">
        <v>10.67</v>
      </c>
      <c r="S31" s="555">
        <v>1.22</v>
      </c>
      <c r="T31" s="555">
        <v>1.22</v>
      </c>
      <c r="U31" s="555">
        <v>0.01</v>
      </c>
      <c r="V31" s="555">
        <v>0.01</v>
      </c>
      <c r="W31" s="555">
        <v>0</v>
      </c>
      <c r="X31" s="555">
        <v>0</v>
      </c>
      <c r="Y31" s="555">
        <v>0.75</v>
      </c>
      <c r="Z31" s="555">
        <v>0.75</v>
      </c>
      <c r="AA31" s="555">
        <v>276.63</v>
      </c>
      <c r="AB31" s="555">
        <v>276.68</v>
      </c>
      <c r="AC31" s="555">
        <v>20.68</v>
      </c>
      <c r="AD31" s="555">
        <v>20.63</v>
      </c>
      <c r="AE31" s="829" t="s">
        <v>818</v>
      </c>
      <c r="AF31" s="555">
        <v>0.06</v>
      </c>
      <c r="AG31" s="555">
        <v>0.06</v>
      </c>
      <c r="AH31" s="555">
        <v>0.76</v>
      </c>
      <c r="AI31" s="555">
        <v>0.76</v>
      </c>
      <c r="AJ31" s="555">
        <v>56.87</v>
      </c>
      <c r="AK31" s="555">
        <v>57.14</v>
      </c>
      <c r="AL31" s="555">
        <v>10.3</v>
      </c>
      <c r="AM31" s="555">
        <v>10.3</v>
      </c>
      <c r="AN31" s="555">
        <v>217.55</v>
      </c>
      <c r="AO31" s="555">
        <v>217.56</v>
      </c>
      <c r="AP31" s="555">
        <v>0.67</v>
      </c>
      <c r="AQ31" s="555">
        <v>0.69</v>
      </c>
      <c r="AR31" s="555">
        <v>1.57</v>
      </c>
      <c r="AS31" s="555">
        <v>1.58</v>
      </c>
      <c r="AT31" s="829" t="s">
        <v>818</v>
      </c>
      <c r="AU31" s="828">
        <v>22.99</v>
      </c>
      <c r="AV31" s="555">
        <v>23</v>
      </c>
      <c r="AW31" s="555">
        <v>1.33</v>
      </c>
      <c r="AX31" s="555">
        <v>1.34</v>
      </c>
      <c r="AY31" s="555">
        <v>22.33</v>
      </c>
      <c r="AZ31" s="555">
        <v>22.33</v>
      </c>
      <c r="BA31" s="555">
        <v>7.0000000000000007E-2</v>
      </c>
      <c r="BB31" s="555">
        <v>7.0000000000000007E-2</v>
      </c>
      <c r="BC31" s="555">
        <v>61.46</v>
      </c>
      <c r="BD31" s="555">
        <v>61.54</v>
      </c>
      <c r="BE31" s="555">
        <v>9.49</v>
      </c>
      <c r="BF31" s="555">
        <v>9.56</v>
      </c>
      <c r="BG31" s="555">
        <v>0.53</v>
      </c>
      <c r="BH31" s="555">
        <v>0.52</v>
      </c>
      <c r="BI31" s="829" t="s">
        <v>818</v>
      </c>
      <c r="BJ31" s="555">
        <v>84.25</v>
      </c>
      <c r="BK31" s="555">
        <v>84.74</v>
      </c>
      <c r="BL31" s="555">
        <v>0.16</v>
      </c>
      <c r="BM31" s="555">
        <v>0.16</v>
      </c>
      <c r="BN31" s="555">
        <v>117.67</v>
      </c>
      <c r="BO31" s="555">
        <v>117.53</v>
      </c>
      <c r="BP31" s="555">
        <v>2.52</v>
      </c>
      <c r="BQ31" s="555">
        <v>2.5099999999999998</v>
      </c>
      <c r="BR31" s="555">
        <v>22.8</v>
      </c>
      <c r="BS31" s="555">
        <v>22.8</v>
      </c>
      <c r="BT31" s="555">
        <v>83.75</v>
      </c>
      <c r="BU31" s="555">
        <v>83.75</v>
      </c>
      <c r="BV31" s="555">
        <v>110.4</v>
      </c>
      <c r="BW31" s="555">
        <v>109.99</v>
      </c>
    </row>
    <row r="32" spans="1:75" s="389" customFormat="1" ht="13.7" customHeight="1">
      <c r="A32" s="834" t="s">
        <v>819</v>
      </c>
      <c r="B32" s="1489">
        <v>61.48</v>
      </c>
      <c r="C32" s="1489">
        <v>61.23</v>
      </c>
      <c r="D32" s="1489">
        <v>83.75</v>
      </c>
      <c r="E32" s="1489">
        <v>83.75</v>
      </c>
      <c r="F32" s="1489">
        <v>221.88</v>
      </c>
      <c r="G32" s="1489">
        <v>222.03</v>
      </c>
      <c r="H32" s="1489">
        <v>64.239999999999995</v>
      </c>
      <c r="I32" s="969">
        <v>64.900000000000006</v>
      </c>
      <c r="J32" s="1489">
        <v>12.23</v>
      </c>
      <c r="K32" s="969">
        <v>12.3</v>
      </c>
      <c r="L32" s="1489">
        <v>12.98</v>
      </c>
      <c r="M32" s="1489">
        <v>13.15</v>
      </c>
      <c r="N32" s="1489">
        <v>96.74</v>
      </c>
      <c r="O32" s="1489">
        <v>98.05</v>
      </c>
      <c r="P32" s="834" t="s">
        <v>819</v>
      </c>
      <c r="Q32" s="571">
        <v>10.67</v>
      </c>
      <c r="R32" s="571">
        <v>10.67</v>
      </c>
      <c r="S32" s="571">
        <v>1.21</v>
      </c>
      <c r="T32" s="571">
        <v>1.19</v>
      </c>
      <c r="U32" s="571">
        <v>0.01</v>
      </c>
      <c r="V32" s="571">
        <v>0.01</v>
      </c>
      <c r="W32" s="571">
        <v>0</v>
      </c>
      <c r="X32" s="571">
        <v>0</v>
      </c>
      <c r="Y32" s="571">
        <v>0.75</v>
      </c>
      <c r="Z32" s="571">
        <v>0.75</v>
      </c>
      <c r="AA32" s="571">
        <v>276.36</v>
      </c>
      <c r="AB32" s="571">
        <v>276.72000000000003</v>
      </c>
      <c r="AC32" s="571">
        <v>20.47</v>
      </c>
      <c r="AD32" s="571">
        <v>20.39</v>
      </c>
      <c r="AE32" s="834" t="s">
        <v>819</v>
      </c>
      <c r="AF32" s="571">
        <v>0.06</v>
      </c>
      <c r="AG32" s="571">
        <v>0.05</v>
      </c>
      <c r="AH32" s="571">
        <v>0.75</v>
      </c>
      <c r="AI32" s="571">
        <v>0.75</v>
      </c>
      <c r="AJ32" s="571">
        <v>55.98</v>
      </c>
      <c r="AK32" s="571">
        <v>56.26</v>
      </c>
      <c r="AL32" s="571">
        <v>10.06</v>
      </c>
      <c r="AM32" s="571">
        <v>10.050000000000001</v>
      </c>
      <c r="AN32" s="571">
        <v>217.55</v>
      </c>
      <c r="AO32" s="571">
        <v>217.53</v>
      </c>
      <c r="AP32" s="571">
        <v>0.68</v>
      </c>
      <c r="AQ32" s="571">
        <v>0.68</v>
      </c>
      <c r="AR32" s="571">
        <v>1.57</v>
      </c>
      <c r="AS32" s="571">
        <v>1.57</v>
      </c>
      <c r="AT32" s="834" t="s">
        <v>819</v>
      </c>
      <c r="AU32" s="652">
        <v>23</v>
      </c>
      <c r="AV32" s="571">
        <v>23</v>
      </c>
      <c r="AW32" s="571">
        <v>1.27</v>
      </c>
      <c r="AX32" s="571">
        <v>1.23</v>
      </c>
      <c r="AY32" s="571">
        <v>22.33</v>
      </c>
      <c r="AZ32" s="571">
        <v>22.33</v>
      </c>
      <c r="BA32" s="571">
        <v>7.0000000000000007E-2</v>
      </c>
      <c r="BB32" s="571">
        <v>0.08</v>
      </c>
      <c r="BC32" s="571">
        <v>61.23</v>
      </c>
      <c r="BD32" s="571">
        <v>61.38</v>
      </c>
      <c r="BE32" s="571">
        <v>9.25</v>
      </c>
      <c r="BF32" s="571">
        <v>9.16</v>
      </c>
      <c r="BG32" s="571">
        <v>0.52</v>
      </c>
      <c r="BH32" s="571">
        <v>0.52</v>
      </c>
      <c r="BI32" s="834" t="s">
        <v>819</v>
      </c>
      <c r="BJ32" s="1489">
        <v>84.63</v>
      </c>
      <c r="BK32" s="1489">
        <v>86.29</v>
      </c>
      <c r="BL32" s="1489">
        <v>0.16</v>
      </c>
      <c r="BM32" s="1489">
        <v>0.16</v>
      </c>
      <c r="BN32" s="1489">
        <v>116.83</v>
      </c>
      <c r="BO32" s="1489">
        <v>117.44</v>
      </c>
      <c r="BP32" s="1489">
        <v>2.5299999999999998</v>
      </c>
      <c r="BQ32" s="1489">
        <v>2.56</v>
      </c>
      <c r="BR32" s="969">
        <v>22.8</v>
      </c>
      <c r="BS32" s="969">
        <v>22.8</v>
      </c>
      <c r="BT32" s="1489">
        <v>83.75</v>
      </c>
      <c r="BU32" s="1489">
        <v>83.75</v>
      </c>
      <c r="BV32" s="1489">
        <v>107.86</v>
      </c>
      <c r="BW32" s="969">
        <v>109.1</v>
      </c>
    </row>
    <row r="33" spans="1:75" s="92" customFormat="1" ht="13.7" customHeight="1">
      <c r="A33" s="829" t="s">
        <v>813</v>
      </c>
      <c r="B33" s="990">
        <v>60.3</v>
      </c>
      <c r="C33" s="1549">
        <v>60.56</v>
      </c>
      <c r="D33" s="1549">
        <v>83.75</v>
      </c>
      <c r="E33" s="1549">
        <v>83.75</v>
      </c>
      <c r="F33" s="1549">
        <v>222.11</v>
      </c>
      <c r="G33" s="1549">
        <v>222.15</v>
      </c>
      <c r="H33" s="1549">
        <v>64.260000000000005</v>
      </c>
      <c r="I33" s="990">
        <v>64.89</v>
      </c>
      <c r="J33" s="1549">
        <v>12.24</v>
      </c>
      <c r="K33" s="990">
        <v>12.17</v>
      </c>
      <c r="L33" s="1549">
        <v>13.08</v>
      </c>
      <c r="M33" s="1549">
        <v>13.03</v>
      </c>
      <c r="N33" s="1549">
        <v>97.58</v>
      </c>
      <c r="O33" s="1549">
        <v>97.23</v>
      </c>
      <c r="P33" s="829" t="s">
        <v>813</v>
      </c>
      <c r="Q33" s="555">
        <v>10.68</v>
      </c>
      <c r="R33" s="555">
        <v>10.7</v>
      </c>
      <c r="S33" s="555">
        <v>1.1599999999999999</v>
      </c>
      <c r="T33" s="555">
        <v>1.1599999999999999</v>
      </c>
      <c r="U33" s="555">
        <v>0.01</v>
      </c>
      <c r="V33" s="555">
        <v>0.01</v>
      </c>
      <c r="W33" s="555">
        <v>0</v>
      </c>
      <c r="X33" s="555">
        <v>0</v>
      </c>
      <c r="Y33" s="555">
        <v>0.75</v>
      </c>
      <c r="Z33" s="555">
        <v>0.74</v>
      </c>
      <c r="AA33" s="555">
        <v>276.52</v>
      </c>
      <c r="AB33" s="555">
        <v>276.17</v>
      </c>
      <c r="AC33" s="555">
        <v>20.23</v>
      </c>
      <c r="AD33" s="555">
        <v>20.239999999999998</v>
      </c>
      <c r="AE33" s="829" t="s">
        <v>813</v>
      </c>
      <c r="AF33" s="555">
        <v>0.05</v>
      </c>
      <c r="AG33" s="555">
        <v>0.05</v>
      </c>
      <c r="AH33" s="555">
        <v>0.73</v>
      </c>
      <c r="AI33" s="555">
        <v>0.72</v>
      </c>
      <c r="AJ33" s="555">
        <v>55.25</v>
      </c>
      <c r="AK33" s="555">
        <v>55.43</v>
      </c>
      <c r="AL33" s="555">
        <v>10.14</v>
      </c>
      <c r="AM33" s="555">
        <v>10.28</v>
      </c>
      <c r="AN33" s="555">
        <v>217.54</v>
      </c>
      <c r="AO33" s="555">
        <v>217.53</v>
      </c>
      <c r="AP33" s="555">
        <v>0.68</v>
      </c>
      <c r="AQ33" s="555">
        <v>0.68</v>
      </c>
      <c r="AR33" s="555">
        <v>1.55</v>
      </c>
      <c r="AS33" s="555">
        <v>1.55</v>
      </c>
      <c r="AT33" s="829" t="s">
        <v>813</v>
      </c>
      <c r="AU33" s="828">
        <v>23</v>
      </c>
      <c r="AV33" s="555">
        <v>23</v>
      </c>
      <c r="AW33" s="555">
        <v>1.24</v>
      </c>
      <c r="AX33" s="555">
        <v>1.28</v>
      </c>
      <c r="AY33" s="555">
        <v>22.33</v>
      </c>
      <c r="AZ33" s="555">
        <v>22.33</v>
      </c>
      <c r="BA33" s="555">
        <v>7.0000000000000007E-2</v>
      </c>
      <c r="BB33" s="555">
        <v>0.08</v>
      </c>
      <c r="BC33" s="555">
        <v>61.07</v>
      </c>
      <c r="BD33" s="555">
        <v>61.29</v>
      </c>
      <c r="BE33" s="555">
        <v>9.34</v>
      </c>
      <c r="BF33" s="555">
        <v>9.42</v>
      </c>
      <c r="BG33" s="555">
        <v>0.51</v>
      </c>
      <c r="BH33" s="555">
        <v>0.5</v>
      </c>
      <c r="BI33" s="829" t="s">
        <v>813</v>
      </c>
      <c r="BJ33" s="1549">
        <v>86.49</v>
      </c>
      <c r="BK33" s="1549">
        <v>85.28</v>
      </c>
      <c r="BL33" s="1549">
        <v>0.16</v>
      </c>
      <c r="BM33" s="1549">
        <v>0.16</v>
      </c>
      <c r="BN33" s="1549">
        <v>117.32</v>
      </c>
      <c r="BO33" s="1549">
        <v>116.86</v>
      </c>
      <c r="BP33" s="1549">
        <v>2.57</v>
      </c>
      <c r="BQ33" s="1549">
        <v>2.59</v>
      </c>
      <c r="BR33" s="990">
        <v>22.8</v>
      </c>
      <c r="BS33" s="990">
        <v>22.8</v>
      </c>
      <c r="BT33" s="1549">
        <v>83.75</v>
      </c>
      <c r="BU33" s="1549">
        <v>83.75</v>
      </c>
      <c r="BV33" s="1549">
        <v>109.22</v>
      </c>
      <c r="BW33" s="990">
        <v>109.13</v>
      </c>
    </row>
    <row r="34" spans="1:75" s="92" customFormat="1" ht="13.7" customHeight="1">
      <c r="A34" s="834" t="s">
        <v>820</v>
      </c>
      <c r="B34" s="969">
        <v>59.57</v>
      </c>
      <c r="C34" s="1489">
        <v>59.58</v>
      </c>
      <c r="D34" s="1489">
        <v>83.82</v>
      </c>
      <c r="E34" s="1489">
        <v>83.85</v>
      </c>
      <c r="F34" s="1489">
        <v>222.32</v>
      </c>
      <c r="G34" s="1489">
        <v>222.44</v>
      </c>
      <c r="H34" s="1489">
        <v>64.45</v>
      </c>
      <c r="I34" s="969">
        <v>63.97</v>
      </c>
      <c r="J34" s="1489">
        <v>12.12</v>
      </c>
      <c r="K34" s="969">
        <v>12.04</v>
      </c>
      <c r="L34" s="1489">
        <v>12.91</v>
      </c>
      <c r="M34" s="1489">
        <v>12.75</v>
      </c>
      <c r="N34" s="1489">
        <v>96.33</v>
      </c>
      <c r="O34" s="1489">
        <v>95.12</v>
      </c>
      <c r="P34" s="834" t="s">
        <v>820</v>
      </c>
      <c r="Q34" s="571">
        <v>10.69</v>
      </c>
      <c r="R34" s="571">
        <v>10.69</v>
      </c>
      <c r="S34" s="571">
        <v>1.1399999999999999</v>
      </c>
      <c r="T34" s="571">
        <v>1.1399999999999999</v>
      </c>
      <c r="U34" s="571">
        <v>0.01</v>
      </c>
      <c r="V34" s="571">
        <v>0.01</v>
      </c>
      <c r="W34" s="571">
        <v>0</v>
      </c>
      <c r="X34" s="571">
        <v>0</v>
      </c>
      <c r="Y34" s="571">
        <v>0.74</v>
      </c>
      <c r="Z34" s="571">
        <v>0.74</v>
      </c>
      <c r="AA34" s="571">
        <v>276.27999999999997</v>
      </c>
      <c r="AB34" s="571">
        <v>275.95999999999998</v>
      </c>
      <c r="AC34" s="571">
        <v>20.16</v>
      </c>
      <c r="AD34" s="571">
        <v>20.05</v>
      </c>
      <c r="AE34" s="834" t="s">
        <v>820</v>
      </c>
      <c r="AF34" s="571">
        <v>0.05</v>
      </c>
      <c r="AG34" s="571">
        <v>0.05</v>
      </c>
      <c r="AH34" s="571">
        <v>0.71</v>
      </c>
      <c r="AI34" s="571">
        <v>0.71</v>
      </c>
      <c r="AJ34" s="571">
        <v>54.72</v>
      </c>
      <c r="AK34" s="571">
        <v>54.96</v>
      </c>
      <c r="AL34" s="571">
        <v>10.16</v>
      </c>
      <c r="AM34" s="571">
        <v>9.9700000000000006</v>
      </c>
      <c r="AN34" s="571">
        <v>217.71</v>
      </c>
      <c r="AO34" s="571">
        <v>217.85</v>
      </c>
      <c r="AP34" s="571">
        <v>0.64</v>
      </c>
      <c r="AQ34" s="571">
        <v>0.63</v>
      </c>
      <c r="AR34" s="571">
        <v>1.55</v>
      </c>
      <c r="AS34" s="571">
        <v>1.57</v>
      </c>
      <c r="AT34" s="834" t="s">
        <v>820</v>
      </c>
      <c r="AU34" s="652">
        <v>23.02</v>
      </c>
      <c r="AV34" s="571">
        <v>23.03</v>
      </c>
      <c r="AW34" s="571">
        <v>1.27</v>
      </c>
      <c r="AX34" s="571">
        <v>1.28</v>
      </c>
      <c r="AY34" s="571">
        <v>22.35</v>
      </c>
      <c r="AZ34" s="571">
        <v>22.35</v>
      </c>
      <c r="BA34" s="571">
        <v>7.0000000000000007E-2</v>
      </c>
      <c r="BB34" s="571">
        <v>7.0000000000000007E-2</v>
      </c>
      <c r="BC34" s="571">
        <v>60.77</v>
      </c>
      <c r="BD34" s="571">
        <v>60.54</v>
      </c>
      <c r="BE34" s="571">
        <v>9.27</v>
      </c>
      <c r="BF34" s="571">
        <v>9.14</v>
      </c>
      <c r="BG34" s="571">
        <v>0.49</v>
      </c>
      <c r="BH34" s="571">
        <v>0.48</v>
      </c>
      <c r="BI34" s="834" t="s">
        <v>820</v>
      </c>
      <c r="BJ34" s="1489">
        <v>84.39</v>
      </c>
      <c r="BK34" s="1489">
        <v>83.42</v>
      </c>
      <c r="BL34" s="1489">
        <v>0.16</v>
      </c>
      <c r="BM34" s="1489">
        <v>0.16</v>
      </c>
      <c r="BN34" s="1489">
        <v>116.62</v>
      </c>
      <c r="BO34" s="1489">
        <v>115.89</v>
      </c>
      <c r="BP34" s="1489">
        <v>2.56</v>
      </c>
      <c r="BQ34" s="1489">
        <v>2.52</v>
      </c>
      <c r="BR34" s="969">
        <v>22.82</v>
      </c>
      <c r="BS34" s="969">
        <v>22.83</v>
      </c>
      <c r="BT34" s="1489">
        <v>83.82</v>
      </c>
      <c r="BU34" s="1489">
        <v>83.85</v>
      </c>
      <c r="BV34" s="1489">
        <v>109.23</v>
      </c>
      <c r="BW34" s="969">
        <v>106.54</v>
      </c>
    </row>
    <row r="35" spans="1:75" s="92" customFormat="1" ht="13.7" customHeight="1">
      <c r="A35" s="829" t="s">
        <v>821</v>
      </c>
      <c r="B35" s="990">
        <v>60.76</v>
      </c>
      <c r="C35" s="1549">
        <v>61.41</v>
      </c>
      <c r="D35" s="1549">
        <v>83.87</v>
      </c>
      <c r="E35" s="990">
        <v>83.9</v>
      </c>
      <c r="F35" s="1549">
        <v>222.48</v>
      </c>
      <c r="G35" s="1549">
        <v>222.58</v>
      </c>
      <c r="H35" s="990">
        <v>63.6</v>
      </c>
      <c r="I35" s="990">
        <v>63.16</v>
      </c>
      <c r="J35" s="990">
        <v>12.1</v>
      </c>
      <c r="K35" s="990">
        <v>12.1</v>
      </c>
      <c r="L35" s="1549">
        <v>12.78</v>
      </c>
      <c r="M35" s="1549">
        <v>12.81</v>
      </c>
      <c r="N35" s="1549">
        <v>95.34</v>
      </c>
      <c r="O35" s="1549">
        <v>95.59</v>
      </c>
      <c r="P35" s="829" t="s">
        <v>821</v>
      </c>
      <c r="Q35" s="555">
        <v>10.71</v>
      </c>
      <c r="R35" s="555">
        <v>10.73</v>
      </c>
      <c r="S35" s="555">
        <v>1.17</v>
      </c>
      <c r="T35" s="555">
        <v>1.2</v>
      </c>
      <c r="U35" s="555">
        <v>0.01</v>
      </c>
      <c r="V35" s="555">
        <v>0.01</v>
      </c>
      <c r="W35" s="555">
        <v>0</v>
      </c>
      <c r="X35" s="555">
        <v>0</v>
      </c>
      <c r="Y35" s="555">
        <v>0.74</v>
      </c>
      <c r="Z35" s="555">
        <v>0.74</v>
      </c>
      <c r="AA35" s="555">
        <v>275.87</v>
      </c>
      <c r="AB35" s="555">
        <v>275.67</v>
      </c>
      <c r="AC35" s="555">
        <v>20.04</v>
      </c>
      <c r="AD35" s="555">
        <v>20.02</v>
      </c>
      <c r="AE35" s="829" t="s">
        <v>821</v>
      </c>
      <c r="AF35" s="555">
        <v>0.05</v>
      </c>
      <c r="AG35" s="555">
        <v>0.05</v>
      </c>
      <c r="AH35" s="555">
        <v>0.72</v>
      </c>
      <c r="AI35" s="555">
        <v>0.74</v>
      </c>
      <c r="AJ35" s="555">
        <v>56.76</v>
      </c>
      <c r="AK35" s="555">
        <v>57.54</v>
      </c>
      <c r="AL35" s="555">
        <v>9.9</v>
      </c>
      <c r="AM35" s="555">
        <v>9.83</v>
      </c>
      <c r="AN35" s="555">
        <v>217.85</v>
      </c>
      <c r="AO35" s="555">
        <v>217.92</v>
      </c>
      <c r="AP35" s="555">
        <v>0.63</v>
      </c>
      <c r="AQ35" s="555">
        <v>0.62</v>
      </c>
      <c r="AR35" s="555">
        <v>1.59</v>
      </c>
      <c r="AS35" s="555">
        <v>1.6</v>
      </c>
      <c r="AT35" s="829" t="s">
        <v>821</v>
      </c>
      <c r="AU35" s="828">
        <v>23.03</v>
      </c>
      <c r="AV35" s="555">
        <v>23.04</v>
      </c>
      <c r="AW35" s="555">
        <v>1.26</v>
      </c>
      <c r="AX35" s="555">
        <v>1.25</v>
      </c>
      <c r="AY35" s="555">
        <v>22.36</v>
      </c>
      <c r="AZ35" s="555">
        <v>22.36</v>
      </c>
      <c r="BA35" s="555">
        <v>7.0000000000000007E-2</v>
      </c>
      <c r="BB35" s="555">
        <v>7.0000000000000007E-2</v>
      </c>
      <c r="BC35" s="555">
        <v>60.97</v>
      </c>
      <c r="BD35" s="555">
        <v>61.23</v>
      </c>
      <c r="BE35" s="555">
        <v>9.26</v>
      </c>
      <c r="BF35" s="555">
        <v>9.2899999999999991</v>
      </c>
      <c r="BG35" s="555">
        <v>0.47</v>
      </c>
      <c r="BH35" s="555">
        <v>0.47</v>
      </c>
      <c r="BI35" s="829" t="s">
        <v>821</v>
      </c>
      <c r="BJ35" s="1549">
        <v>83.77</v>
      </c>
      <c r="BK35" s="1549">
        <v>84.25</v>
      </c>
      <c r="BL35" s="1549">
        <v>0.16</v>
      </c>
      <c r="BM35" s="1549">
        <v>0.16</v>
      </c>
      <c r="BN35" s="1549">
        <v>116.13</v>
      </c>
      <c r="BO35" s="1549">
        <v>115.76</v>
      </c>
      <c r="BP35" s="1549">
        <v>2.54</v>
      </c>
      <c r="BQ35" s="1549">
        <v>2.5499999999999998</v>
      </c>
      <c r="BR35" s="990">
        <v>22.83</v>
      </c>
      <c r="BS35" s="990">
        <v>22.84</v>
      </c>
      <c r="BT35" s="1549">
        <v>83.87</v>
      </c>
      <c r="BU35" s="990">
        <v>83.9</v>
      </c>
      <c r="BV35" s="1549">
        <v>108.22</v>
      </c>
      <c r="BW35" s="990">
        <v>107.35</v>
      </c>
    </row>
    <row r="36" spans="1:75" s="92" customFormat="1" ht="13.7" customHeight="1">
      <c r="A36" s="834" t="s">
        <v>814</v>
      </c>
      <c r="B36" s="969">
        <v>60.14</v>
      </c>
      <c r="C36" s="1489">
        <v>59.09</v>
      </c>
      <c r="D36" s="1489">
        <v>83.9</v>
      </c>
      <c r="E36" s="969">
        <v>83.9</v>
      </c>
      <c r="F36" s="1489">
        <v>222.56</v>
      </c>
      <c r="G36" s="1489">
        <v>222.55</v>
      </c>
      <c r="H36" s="969">
        <v>62.53</v>
      </c>
      <c r="I36" s="969">
        <v>61.51</v>
      </c>
      <c r="J36" s="969">
        <v>12.18</v>
      </c>
      <c r="K36" s="969">
        <v>12.22</v>
      </c>
      <c r="L36" s="1489">
        <v>12.77</v>
      </c>
      <c r="M36" s="1489">
        <v>12.86</v>
      </c>
      <c r="N36" s="1489">
        <v>95.33</v>
      </c>
      <c r="O36" s="1489">
        <v>95.96</v>
      </c>
      <c r="P36" s="834" t="s">
        <v>814</v>
      </c>
      <c r="Q36" s="571">
        <v>10.73</v>
      </c>
      <c r="R36" s="571">
        <v>10.71</v>
      </c>
      <c r="S36" s="571">
        <v>1.18</v>
      </c>
      <c r="T36" s="571">
        <v>1.2</v>
      </c>
      <c r="U36" s="571">
        <v>0.01</v>
      </c>
      <c r="V36" s="571">
        <v>0.01</v>
      </c>
      <c r="W36" s="571">
        <v>0</v>
      </c>
      <c r="X36" s="571">
        <v>0</v>
      </c>
      <c r="Y36" s="571">
        <v>0.75</v>
      </c>
      <c r="Z36" s="571">
        <v>0.76</v>
      </c>
      <c r="AA36" s="571">
        <v>275.93</v>
      </c>
      <c r="AB36" s="571">
        <v>276.08</v>
      </c>
      <c r="AC36" s="571">
        <v>20.100000000000001</v>
      </c>
      <c r="AD36" s="571">
        <v>20.27</v>
      </c>
      <c r="AE36" s="834" t="s">
        <v>814</v>
      </c>
      <c r="AF36" s="571">
        <v>0.05</v>
      </c>
      <c r="AG36" s="571">
        <v>0.05</v>
      </c>
      <c r="AH36" s="571">
        <v>0.74</v>
      </c>
      <c r="AI36" s="571">
        <v>0.75</v>
      </c>
      <c r="AJ36" s="571">
        <v>57.09</v>
      </c>
      <c r="AK36" s="571">
        <v>56.33</v>
      </c>
      <c r="AL36" s="571">
        <v>9.73</v>
      </c>
      <c r="AM36" s="571">
        <v>9.6300000000000008</v>
      </c>
      <c r="AN36" s="571">
        <v>217.92</v>
      </c>
      <c r="AO36" s="571">
        <v>217.92</v>
      </c>
      <c r="AP36" s="571">
        <v>0.6</v>
      </c>
      <c r="AQ36" s="571">
        <v>0.6</v>
      </c>
      <c r="AR36" s="571">
        <v>1.59</v>
      </c>
      <c r="AS36" s="571">
        <v>1.6</v>
      </c>
      <c r="AT36" s="834" t="s">
        <v>814</v>
      </c>
      <c r="AU36" s="652">
        <v>23.04</v>
      </c>
      <c r="AV36" s="571">
        <v>23.04</v>
      </c>
      <c r="AW36" s="571">
        <v>1.25</v>
      </c>
      <c r="AX36" s="571">
        <v>1.22</v>
      </c>
      <c r="AY36" s="571">
        <v>22.36</v>
      </c>
      <c r="AZ36" s="571">
        <v>22.36</v>
      </c>
      <c r="BA36" s="571">
        <v>7.0000000000000007E-2</v>
      </c>
      <c r="BB36" s="571">
        <v>0.08</v>
      </c>
      <c r="BC36" s="571">
        <v>61.16</v>
      </c>
      <c r="BD36" s="571">
        <v>61.4</v>
      </c>
      <c r="BE36" s="571">
        <v>9.27</v>
      </c>
      <c r="BF36" s="571">
        <v>9.36</v>
      </c>
      <c r="BG36" s="571">
        <v>0.47</v>
      </c>
      <c r="BH36" s="571">
        <v>0.46</v>
      </c>
      <c r="BI36" s="834" t="s">
        <v>814</v>
      </c>
      <c r="BJ36" s="1489">
        <v>84.42</v>
      </c>
      <c r="BK36" s="1489">
        <v>85.24</v>
      </c>
      <c r="BL36" s="1489">
        <v>0.16</v>
      </c>
      <c r="BM36" s="1489">
        <v>0.16</v>
      </c>
      <c r="BN36" s="1489">
        <v>116.27</v>
      </c>
      <c r="BO36" s="1489">
        <v>116.69</v>
      </c>
      <c r="BP36" s="1489">
        <v>2.56</v>
      </c>
      <c r="BQ36" s="1489">
        <v>2.58</v>
      </c>
      <c r="BR36" s="969">
        <v>22.84</v>
      </c>
      <c r="BS36" s="969">
        <v>22.84</v>
      </c>
      <c r="BT36" s="1489">
        <v>83.9</v>
      </c>
      <c r="BU36" s="969">
        <v>83.9</v>
      </c>
      <c r="BV36" s="1489">
        <v>106.36</v>
      </c>
      <c r="BW36" s="969">
        <v>106.61</v>
      </c>
    </row>
    <row r="37" spans="1:75" s="92" customFormat="1" ht="13.7" customHeight="1">
      <c r="A37" s="829" t="s">
        <v>822</v>
      </c>
      <c r="B37" s="990">
        <v>59.98</v>
      </c>
      <c r="C37" s="1549">
        <v>60.84</v>
      </c>
      <c r="D37" s="1549">
        <v>83.94</v>
      </c>
      <c r="E37" s="990">
        <v>83.95</v>
      </c>
      <c r="F37" s="1549">
        <v>222.65</v>
      </c>
      <c r="G37" s="1549">
        <v>222.68</v>
      </c>
      <c r="H37" s="990">
        <v>63.01</v>
      </c>
      <c r="I37" s="990">
        <v>63.85</v>
      </c>
      <c r="J37" s="990">
        <v>12.35</v>
      </c>
      <c r="K37" s="990">
        <v>12.53</v>
      </c>
      <c r="L37" s="1549">
        <v>12.84</v>
      </c>
      <c r="M37" s="1549">
        <v>12.91</v>
      </c>
      <c r="N37" s="1549">
        <v>95.89</v>
      </c>
      <c r="O37" s="1549">
        <v>96.36</v>
      </c>
      <c r="P37" s="829" t="s">
        <v>822</v>
      </c>
      <c r="Q37" s="555">
        <v>10.71</v>
      </c>
      <c r="R37" s="555">
        <v>10.7</v>
      </c>
      <c r="S37" s="555">
        <v>1.19</v>
      </c>
      <c r="T37" s="555">
        <v>1.18</v>
      </c>
      <c r="U37" s="555">
        <v>0.01</v>
      </c>
      <c r="V37" s="555">
        <v>0.01</v>
      </c>
      <c r="W37" s="555">
        <v>0</v>
      </c>
      <c r="X37" s="555">
        <v>0</v>
      </c>
      <c r="Y37" s="555">
        <v>0.77</v>
      </c>
      <c r="Z37" s="555">
        <v>0.77</v>
      </c>
      <c r="AA37" s="555">
        <v>276.87</v>
      </c>
      <c r="AB37" s="555">
        <v>276.97000000000003</v>
      </c>
      <c r="AC37" s="555">
        <v>20.39</v>
      </c>
      <c r="AD37" s="555">
        <v>20.54</v>
      </c>
      <c r="AE37" s="829" t="s">
        <v>822</v>
      </c>
      <c r="AF37" s="555">
        <v>0.05</v>
      </c>
      <c r="AG37" s="555">
        <v>0.06</v>
      </c>
      <c r="AH37" s="555">
        <v>0.74</v>
      </c>
      <c r="AI37" s="555">
        <v>0.74</v>
      </c>
      <c r="AJ37" s="555">
        <v>56.86</v>
      </c>
      <c r="AK37" s="555">
        <v>57.87</v>
      </c>
      <c r="AL37" s="555">
        <v>9.81</v>
      </c>
      <c r="AM37" s="555">
        <v>9.9600000000000009</v>
      </c>
      <c r="AN37" s="555">
        <v>218.04</v>
      </c>
      <c r="AO37" s="555">
        <v>218.05</v>
      </c>
      <c r="AP37" s="555">
        <v>0.6</v>
      </c>
      <c r="AQ37" s="555">
        <v>0.6</v>
      </c>
      <c r="AR37" s="555">
        <v>1.6</v>
      </c>
      <c r="AS37" s="555">
        <v>1.61</v>
      </c>
      <c r="AT37" s="829" t="s">
        <v>822</v>
      </c>
      <c r="AU37" s="828">
        <v>23.05</v>
      </c>
      <c r="AV37" s="555">
        <v>23.06</v>
      </c>
      <c r="AW37" s="555">
        <v>1.25</v>
      </c>
      <c r="AX37" s="555">
        <v>1.28</v>
      </c>
      <c r="AY37" s="555">
        <v>22.38</v>
      </c>
      <c r="AZ37" s="555">
        <v>22.38</v>
      </c>
      <c r="BA37" s="555">
        <v>7.0000000000000007E-2</v>
      </c>
      <c r="BB37" s="555">
        <v>0.08</v>
      </c>
      <c r="BC37" s="555">
        <v>61.86</v>
      </c>
      <c r="BD37" s="555">
        <v>62.31</v>
      </c>
      <c r="BE37" s="555">
        <v>9.35</v>
      </c>
      <c r="BF37" s="555">
        <v>9.31</v>
      </c>
      <c r="BG37" s="555">
        <v>0.46</v>
      </c>
      <c r="BH37" s="555">
        <v>0.47</v>
      </c>
      <c r="BI37" s="829" t="s">
        <v>822</v>
      </c>
      <c r="BJ37" s="1549">
        <v>84.93</v>
      </c>
      <c r="BK37" s="1549">
        <v>84.43</v>
      </c>
      <c r="BL37" s="1549">
        <v>0.16</v>
      </c>
      <c r="BM37" s="1549">
        <v>0.16</v>
      </c>
      <c r="BN37" s="1549">
        <v>116.99</v>
      </c>
      <c r="BO37" s="1549">
        <v>117.3</v>
      </c>
      <c r="BP37" s="1549">
        <v>2.64</v>
      </c>
      <c r="BQ37" s="1549">
        <v>2.69</v>
      </c>
      <c r="BR37" s="990">
        <v>22.85</v>
      </c>
      <c r="BS37" s="990">
        <v>22.86</v>
      </c>
      <c r="BT37" s="1549">
        <v>83.94</v>
      </c>
      <c r="BU37" s="990">
        <v>83.95</v>
      </c>
      <c r="BV37" s="1549">
        <v>108.17</v>
      </c>
      <c r="BW37" s="990">
        <v>110.11</v>
      </c>
    </row>
    <row r="38" spans="1:75" s="92" customFormat="1" ht="13.7" customHeight="1">
      <c r="A38" s="834" t="s">
        <v>823</v>
      </c>
      <c r="B38" s="969">
        <v>60.12</v>
      </c>
      <c r="C38" s="1489">
        <v>60.49</v>
      </c>
      <c r="D38" s="1489">
        <v>84.04</v>
      </c>
      <c r="E38" s="969">
        <v>84.15</v>
      </c>
      <c r="F38" s="1489">
        <v>222.92</v>
      </c>
      <c r="G38" s="1489">
        <v>223.21</v>
      </c>
      <c r="H38" s="969">
        <v>63.67</v>
      </c>
      <c r="I38" s="969">
        <v>63.9</v>
      </c>
      <c r="J38" s="969">
        <v>12.49</v>
      </c>
      <c r="K38" s="969">
        <v>12.59</v>
      </c>
      <c r="L38" s="1489">
        <v>12.78</v>
      </c>
      <c r="M38" s="1489">
        <v>12.84</v>
      </c>
      <c r="N38" s="1489">
        <v>95.43</v>
      </c>
      <c r="O38" s="1489">
        <v>95.83</v>
      </c>
      <c r="P38" s="834" t="s">
        <v>823</v>
      </c>
      <c r="Q38" s="571">
        <v>10.71</v>
      </c>
      <c r="R38" s="571">
        <v>10.72</v>
      </c>
      <c r="S38" s="571">
        <v>1.18</v>
      </c>
      <c r="T38" s="571">
        <v>1.19</v>
      </c>
      <c r="U38" s="571">
        <v>0.01</v>
      </c>
      <c r="V38" s="571">
        <v>0.01</v>
      </c>
      <c r="W38" s="571">
        <v>0</v>
      </c>
      <c r="X38" s="571">
        <v>0</v>
      </c>
      <c r="Y38" s="571">
        <v>0.76</v>
      </c>
      <c r="Z38" s="571">
        <v>0.76</v>
      </c>
      <c r="AA38" s="571">
        <v>276.87</v>
      </c>
      <c r="AB38" s="571">
        <v>277.45</v>
      </c>
      <c r="AC38" s="571">
        <v>20.61</v>
      </c>
      <c r="AD38" s="571">
        <v>20.7</v>
      </c>
      <c r="AE38" s="834" t="s">
        <v>823</v>
      </c>
      <c r="AF38" s="571">
        <v>0.06</v>
      </c>
      <c r="AG38" s="571">
        <v>0.06</v>
      </c>
      <c r="AH38" s="571">
        <v>0.74</v>
      </c>
      <c r="AI38" s="571">
        <v>0.74</v>
      </c>
      <c r="AJ38" s="571">
        <v>57.5</v>
      </c>
      <c r="AK38" s="571">
        <v>57.96</v>
      </c>
      <c r="AL38" s="571">
        <v>9.8000000000000007</v>
      </c>
      <c r="AM38" s="571">
        <v>9.83</v>
      </c>
      <c r="AN38" s="571">
        <v>218.29</v>
      </c>
      <c r="AO38" s="571">
        <v>218.57</v>
      </c>
      <c r="AP38" s="571">
        <v>0.6</v>
      </c>
      <c r="AQ38" s="571">
        <v>0.6</v>
      </c>
      <c r="AR38" s="571">
        <v>1.61</v>
      </c>
      <c r="AS38" s="571">
        <v>1.62</v>
      </c>
      <c r="AT38" s="834" t="s">
        <v>823</v>
      </c>
      <c r="AU38" s="652">
        <v>23.08</v>
      </c>
      <c r="AV38" s="571">
        <v>23.11</v>
      </c>
      <c r="AW38" s="571">
        <v>1.28</v>
      </c>
      <c r="AX38" s="571">
        <v>1.28</v>
      </c>
      <c r="AY38" s="571">
        <v>22.41</v>
      </c>
      <c r="AZ38" s="571">
        <v>22.44</v>
      </c>
      <c r="BA38" s="571">
        <v>7.0000000000000007E-2</v>
      </c>
      <c r="BB38" s="571">
        <v>0.08</v>
      </c>
      <c r="BC38" s="571">
        <v>62.09</v>
      </c>
      <c r="BD38" s="571">
        <v>62.46</v>
      </c>
      <c r="BE38" s="571">
        <v>9.1</v>
      </c>
      <c r="BF38" s="571">
        <v>9.06</v>
      </c>
      <c r="BG38" s="571">
        <v>0.47</v>
      </c>
      <c r="BH38" s="571">
        <v>0.47</v>
      </c>
      <c r="BI38" s="834" t="s">
        <v>823</v>
      </c>
      <c r="BJ38" s="1489">
        <v>83.93</v>
      </c>
      <c r="BK38" s="1489">
        <v>84.17</v>
      </c>
      <c r="BL38" s="1489">
        <v>0.16</v>
      </c>
      <c r="BM38" s="1489">
        <v>0.16</v>
      </c>
      <c r="BN38" s="1489">
        <v>116.96</v>
      </c>
      <c r="BO38" s="1489">
        <v>117.38</v>
      </c>
      <c r="BP38" s="1489">
        <v>2.69</v>
      </c>
      <c r="BQ38" s="1489">
        <v>2.68</v>
      </c>
      <c r="BR38" s="969">
        <v>22.88</v>
      </c>
      <c r="BS38" s="969">
        <v>22.91</v>
      </c>
      <c r="BT38" s="1489">
        <v>84.04</v>
      </c>
      <c r="BU38" s="969">
        <v>84.15</v>
      </c>
      <c r="BV38" s="1489">
        <v>109.26</v>
      </c>
      <c r="BW38" s="969">
        <v>111.51</v>
      </c>
    </row>
    <row r="39" spans="1:75" s="268" customFormat="1" ht="13.7" customHeight="1">
      <c r="A39" s="829" t="s">
        <v>815</v>
      </c>
      <c r="B39" s="990">
        <v>59.65</v>
      </c>
      <c r="C39" s="1549">
        <v>59.79</v>
      </c>
      <c r="D39" s="1549">
        <v>84.21</v>
      </c>
      <c r="E39" s="990">
        <v>84.25</v>
      </c>
      <c r="F39" s="1549">
        <v>223.36</v>
      </c>
      <c r="G39" s="1549">
        <v>223.47</v>
      </c>
      <c r="H39" s="990">
        <v>63.05</v>
      </c>
      <c r="I39" s="990">
        <v>63.13</v>
      </c>
      <c r="J39" s="990">
        <v>12.55</v>
      </c>
      <c r="K39" s="990">
        <v>12.51</v>
      </c>
      <c r="L39" s="1549">
        <v>12.76</v>
      </c>
      <c r="M39" s="1549">
        <v>12.66</v>
      </c>
      <c r="N39" s="1549">
        <v>95.27</v>
      </c>
      <c r="O39" s="1549">
        <v>94.51</v>
      </c>
      <c r="P39" s="829" t="s">
        <v>815</v>
      </c>
      <c r="Q39" s="555">
        <v>10.73</v>
      </c>
      <c r="R39" s="555">
        <v>10.73</v>
      </c>
      <c r="S39" s="555">
        <v>1.21</v>
      </c>
      <c r="T39" s="555">
        <v>1.22</v>
      </c>
      <c r="U39" s="555">
        <v>0.01</v>
      </c>
      <c r="V39" s="555">
        <v>0.01</v>
      </c>
      <c r="W39" s="555">
        <v>0</v>
      </c>
      <c r="X39" s="555">
        <v>0</v>
      </c>
      <c r="Y39" s="555">
        <v>0.76</v>
      </c>
      <c r="Z39" s="555">
        <v>0.76</v>
      </c>
      <c r="AA39" s="555">
        <v>277.27</v>
      </c>
      <c r="AB39" s="555">
        <v>276.91000000000003</v>
      </c>
      <c r="AC39" s="555">
        <v>20.65</v>
      </c>
      <c r="AD39" s="555">
        <v>20.64</v>
      </c>
      <c r="AE39" s="829" t="s">
        <v>815</v>
      </c>
      <c r="AF39" s="555">
        <v>0.06</v>
      </c>
      <c r="AG39" s="555">
        <v>0.06</v>
      </c>
      <c r="AH39" s="555">
        <v>0.74</v>
      </c>
      <c r="AI39" s="555">
        <v>0.74</v>
      </c>
      <c r="AJ39" s="555">
        <v>57.55</v>
      </c>
      <c r="AK39" s="555">
        <v>57.32</v>
      </c>
      <c r="AL39" s="555">
        <v>9.8000000000000007</v>
      </c>
      <c r="AM39" s="555">
        <v>9.77</v>
      </c>
      <c r="AN39" s="555">
        <v>218.72</v>
      </c>
      <c r="AO39" s="555">
        <v>218.83</v>
      </c>
      <c r="AP39" s="555">
        <v>0.6</v>
      </c>
      <c r="AQ39" s="555">
        <v>0.6</v>
      </c>
      <c r="AR39" s="555">
        <v>1.6</v>
      </c>
      <c r="AS39" s="555">
        <v>1.6</v>
      </c>
      <c r="AT39" s="829" t="s">
        <v>815</v>
      </c>
      <c r="AU39" s="828">
        <v>23.12</v>
      </c>
      <c r="AV39" s="555">
        <v>23.14</v>
      </c>
      <c r="AW39" s="555">
        <v>1.29</v>
      </c>
      <c r="AX39" s="555">
        <v>1.28</v>
      </c>
      <c r="AY39" s="555">
        <v>22.45</v>
      </c>
      <c r="AZ39" s="555">
        <v>22.46</v>
      </c>
      <c r="BA39" s="555">
        <v>7.0000000000000007E-2</v>
      </c>
      <c r="BB39" s="555">
        <v>7.0000000000000007E-2</v>
      </c>
      <c r="BC39" s="555">
        <v>62.2</v>
      </c>
      <c r="BD39" s="555">
        <v>62.14</v>
      </c>
      <c r="BE39" s="555">
        <v>9.07</v>
      </c>
      <c r="BF39" s="555">
        <v>9.06</v>
      </c>
      <c r="BG39" s="555">
        <v>0.47</v>
      </c>
      <c r="BH39" s="555">
        <v>0.48</v>
      </c>
      <c r="BI39" s="829" t="s">
        <v>815</v>
      </c>
      <c r="BJ39" s="990">
        <v>84.2</v>
      </c>
      <c r="BK39" s="1549">
        <v>84.64</v>
      </c>
      <c r="BL39" s="1549">
        <v>0.16</v>
      </c>
      <c r="BM39" s="1549">
        <v>0.16</v>
      </c>
      <c r="BN39" s="1549">
        <v>117.22</v>
      </c>
      <c r="BO39" s="1549">
        <v>116.97</v>
      </c>
      <c r="BP39" s="1549">
        <v>2.65</v>
      </c>
      <c r="BQ39" s="1549">
        <v>2.66</v>
      </c>
      <c r="BR39" s="990">
        <v>22.93</v>
      </c>
      <c r="BS39" s="990">
        <v>22.94</v>
      </c>
      <c r="BT39" s="1549">
        <v>84.21</v>
      </c>
      <c r="BU39" s="990">
        <v>84.25</v>
      </c>
      <c r="BV39" s="1549">
        <v>111.12</v>
      </c>
      <c r="BW39" s="990">
        <v>109.8</v>
      </c>
    </row>
    <row r="40" spans="1:75" s="268" customFormat="1" ht="13.7" customHeight="1">
      <c r="A40" s="834" t="s">
        <v>824</v>
      </c>
      <c r="B40" s="969">
        <v>60.03</v>
      </c>
      <c r="C40" s="969">
        <v>59.6</v>
      </c>
      <c r="D40" s="1489">
        <v>84.33</v>
      </c>
      <c r="E40" s="969">
        <v>84.45</v>
      </c>
      <c r="F40" s="1489">
        <v>223.67</v>
      </c>
      <c r="G40" s="1489">
        <v>224.01</v>
      </c>
      <c r="H40" s="969">
        <v>63.06</v>
      </c>
      <c r="I40" s="969">
        <v>62.75</v>
      </c>
      <c r="J40" s="969">
        <v>12.56</v>
      </c>
      <c r="K40" s="969">
        <v>12.55</v>
      </c>
      <c r="L40" s="1489">
        <v>12.69</v>
      </c>
      <c r="M40" s="1489">
        <v>12.65</v>
      </c>
      <c r="N40" s="1489">
        <v>94.77</v>
      </c>
      <c r="O40" s="1489">
        <v>94.47</v>
      </c>
      <c r="P40" s="834" t="s">
        <v>824</v>
      </c>
      <c r="Q40" s="571">
        <v>10.75</v>
      </c>
      <c r="R40" s="571">
        <v>10.77</v>
      </c>
      <c r="S40" s="571">
        <v>1.22</v>
      </c>
      <c r="T40" s="571">
        <v>1.21</v>
      </c>
      <c r="U40" s="571">
        <v>0.01</v>
      </c>
      <c r="V40" s="571">
        <v>0.01</v>
      </c>
      <c r="W40" s="571">
        <v>0</v>
      </c>
      <c r="X40" s="571">
        <v>0</v>
      </c>
      <c r="Y40" s="571">
        <v>0.76</v>
      </c>
      <c r="Z40" s="571">
        <v>0.76</v>
      </c>
      <c r="AA40" s="571">
        <v>277.14</v>
      </c>
      <c r="AB40" s="571">
        <v>277.39</v>
      </c>
      <c r="AC40" s="571">
        <v>20.5</v>
      </c>
      <c r="AD40" s="571">
        <v>20.420000000000002</v>
      </c>
      <c r="AE40" s="834" t="s">
        <v>824</v>
      </c>
      <c r="AF40" s="571">
        <v>0.06</v>
      </c>
      <c r="AG40" s="571">
        <v>0.06</v>
      </c>
      <c r="AH40" s="571">
        <v>0.74</v>
      </c>
      <c r="AI40" s="571">
        <v>0.74</v>
      </c>
      <c r="AJ40" s="571">
        <v>56.7</v>
      </c>
      <c r="AK40" s="571">
        <v>56.32</v>
      </c>
      <c r="AL40" s="571">
        <v>9.85</v>
      </c>
      <c r="AM40" s="571">
        <v>9.75</v>
      </c>
      <c r="AN40" s="571">
        <v>219.05</v>
      </c>
      <c r="AO40" s="571">
        <v>219.35</v>
      </c>
      <c r="AP40" s="571">
        <v>0.6</v>
      </c>
      <c r="AQ40" s="571">
        <v>0.6</v>
      </c>
      <c r="AR40" s="571">
        <v>1.62</v>
      </c>
      <c r="AS40" s="571">
        <v>1.62</v>
      </c>
      <c r="AT40" s="834" t="s">
        <v>824</v>
      </c>
      <c r="AU40" s="652">
        <v>23.16</v>
      </c>
      <c r="AV40" s="571">
        <v>23.19</v>
      </c>
      <c r="AW40" s="571">
        <v>1.31</v>
      </c>
      <c r="AX40" s="571">
        <v>1.31</v>
      </c>
      <c r="AY40" s="571">
        <v>22.49</v>
      </c>
      <c r="AZ40" s="571">
        <v>22.52</v>
      </c>
      <c r="BA40" s="571">
        <v>7.0000000000000007E-2</v>
      </c>
      <c r="BB40" s="571">
        <v>7.0000000000000007E-2</v>
      </c>
      <c r="BC40" s="571">
        <v>62.21</v>
      </c>
      <c r="BD40" s="571">
        <v>62.02</v>
      </c>
      <c r="BE40" s="571">
        <v>9.0500000000000007</v>
      </c>
      <c r="BF40" s="571">
        <v>8.8800000000000008</v>
      </c>
      <c r="BG40" s="571">
        <v>0.48</v>
      </c>
      <c r="BH40" s="571">
        <v>0.48</v>
      </c>
      <c r="BI40" s="834" t="s">
        <v>824</v>
      </c>
      <c r="BJ40" s="969">
        <v>83.71</v>
      </c>
      <c r="BK40" s="1489">
        <v>82.82</v>
      </c>
      <c r="BL40" s="1489">
        <v>0.16</v>
      </c>
      <c r="BM40" s="1489">
        <v>0.16</v>
      </c>
      <c r="BN40" s="1489">
        <v>116.99</v>
      </c>
      <c r="BO40" s="1489">
        <v>116.74</v>
      </c>
      <c r="BP40" s="1489">
        <v>2.65</v>
      </c>
      <c r="BQ40" s="1489">
        <v>2.65</v>
      </c>
      <c r="BR40" s="969">
        <v>22.96</v>
      </c>
      <c r="BS40" s="969">
        <v>22.99</v>
      </c>
      <c r="BT40" s="1489">
        <v>84.33</v>
      </c>
      <c r="BU40" s="969">
        <v>84.45</v>
      </c>
      <c r="BV40" s="1489">
        <v>109.91</v>
      </c>
      <c r="BW40" s="969">
        <v>109.26</v>
      </c>
    </row>
    <row r="41" spans="1:75" s="268" customFormat="1" ht="13.7" customHeight="1" thickBot="1">
      <c r="A41" s="1669" t="s">
        <v>825</v>
      </c>
      <c r="B41" s="1684">
        <v>58.7</v>
      </c>
      <c r="C41" s="1697">
        <v>58.45</v>
      </c>
      <c r="D41" s="1697">
        <v>84.49</v>
      </c>
      <c r="E41" s="1684">
        <v>84.5</v>
      </c>
      <c r="F41" s="1697">
        <v>224.11</v>
      </c>
      <c r="G41" s="1697">
        <v>224.14</v>
      </c>
      <c r="H41" s="1684">
        <v>62.82</v>
      </c>
      <c r="I41" s="1684">
        <v>62.5</v>
      </c>
      <c r="J41" s="1684">
        <v>12.36</v>
      </c>
      <c r="K41" s="1684">
        <v>12.25</v>
      </c>
      <c r="L41" s="1697">
        <v>12.66</v>
      </c>
      <c r="M41" s="1684">
        <v>12.6</v>
      </c>
      <c r="N41" s="1697">
        <v>94.52</v>
      </c>
      <c r="O41" s="1697">
        <v>94.06</v>
      </c>
      <c r="P41" s="1669" t="s">
        <v>825</v>
      </c>
      <c r="Q41" s="1698">
        <v>10.77</v>
      </c>
      <c r="R41" s="1698">
        <v>10.77</v>
      </c>
      <c r="S41" s="1698">
        <v>1.21</v>
      </c>
      <c r="T41" s="1698">
        <v>1.21</v>
      </c>
      <c r="U41" s="1698">
        <v>0.01</v>
      </c>
      <c r="V41" s="1698">
        <v>0.01</v>
      </c>
      <c r="W41" s="1698">
        <v>0</v>
      </c>
      <c r="X41" s="1698">
        <v>0</v>
      </c>
      <c r="Y41" s="1698">
        <v>0.77</v>
      </c>
      <c r="Z41" s="1698">
        <v>0.77</v>
      </c>
      <c r="AA41" s="1698">
        <v>277.7</v>
      </c>
      <c r="AB41" s="1698">
        <v>277.64</v>
      </c>
      <c r="AC41" s="1698">
        <v>20.260000000000002</v>
      </c>
      <c r="AD41" s="1698">
        <v>20.14</v>
      </c>
      <c r="AE41" s="1669" t="s">
        <v>825</v>
      </c>
      <c r="AF41" s="1698">
        <v>0.06</v>
      </c>
      <c r="AG41" s="1698">
        <v>0.06</v>
      </c>
      <c r="AH41" s="1698">
        <v>0.74</v>
      </c>
      <c r="AI41" s="1698">
        <v>0.74</v>
      </c>
      <c r="AJ41" s="1698">
        <v>55.46</v>
      </c>
      <c r="AK41" s="1698">
        <v>55.02</v>
      </c>
      <c r="AL41" s="1698">
        <v>9.67</v>
      </c>
      <c r="AM41" s="1698">
        <v>9.65</v>
      </c>
      <c r="AN41" s="1698">
        <v>219.46</v>
      </c>
      <c r="AO41" s="1698">
        <v>219.48</v>
      </c>
      <c r="AP41" s="1698">
        <v>0.57999999999999996</v>
      </c>
      <c r="AQ41" s="1698">
        <v>0.56000000000000005</v>
      </c>
      <c r="AR41" s="1698">
        <v>1.62</v>
      </c>
      <c r="AS41" s="1698">
        <v>1.62</v>
      </c>
      <c r="AT41" s="1669" t="s">
        <v>825</v>
      </c>
      <c r="AU41" s="1699">
        <v>23.21</v>
      </c>
      <c r="AV41" s="1698">
        <v>23.21</v>
      </c>
      <c r="AW41" s="1698">
        <v>1.3</v>
      </c>
      <c r="AX41" s="1698">
        <v>1.3</v>
      </c>
      <c r="AY41" s="1698">
        <v>22.53</v>
      </c>
      <c r="AZ41" s="1698">
        <v>22.53</v>
      </c>
      <c r="BA41" s="1698">
        <v>7.0000000000000007E-2</v>
      </c>
      <c r="BB41" s="1698">
        <v>7.0000000000000007E-2</v>
      </c>
      <c r="BC41" s="1698">
        <v>61.65</v>
      </c>
      <c r="BD41" s="1698">
        <v>61.18</v>
      </c>
      <c r="BE41" s="1698">
        <v>8.81</v>
      </c>
      <c r="BF41" s="1698">
        <v>8.85</v>
      </c>
      <c r="BG41" s="1698">
        <v>0.48</v>
      </c>
      <c r="BH41" s="1698">
        <v>0.48</v>
      </c>
      <c r="BI41" s="1669" t="s">
        <v>825</v>
      </c>
      <c r="BJ41" s="1684">
        <v>83.55</v>
      </c>
      <c r="BK41" s="1697">
        <v>83.85</v>
      </c>
      <c r="BL41" s="1697">
        <v>0.16</v>
      </c>
      <c r="BM41" s="1697">
        <v>0.16</v>
      </c>
      <c r="BN41" s="1697">
        <v>116.76</v>
      </c>
      <c r="BO41" s="1697">
        <v>116.47</v>
      </c>
      <c r="BP41" s="1697">
        <v>2.66</v>
      </c>
      <c r="BQ41" s="1697">
        <v>2.66</v>
      </c>
      <c r="BR41" s="1684">
        <v>23</v>
      </c>
      <c r="BS41" s="1684">
        <v>23</v>
      </c>
      <c r="BT41" s="1697">
        <v>84.49</v>
      </c>
      <c r="BU41" s="1684">
        <v>84.5</v>
      </c>
      <c r="BV41" s="1697">
        <v>108.67</v>
      </c>
      <c r="BW41" s="1684">
        <v>106.7</v>
      </c>
    </row>
    <row r="42" spans="1:75" s="92" customFormat="1" ht="12.75" customHeight="1">
      <c r="A42" s="991" t="s">
        <v>622</v>
      </c>
      <c r="B42" s="992" t="s">
        <v>2251</v>
      </c>
      <c r="C42" s="45"/>
      <c r="D42" s="45"/>
      <c r="E42" s="45"/>
      <c r="F42" s="45"/>
      <c r="G42" s="45"/>
      <c r="H42" s="993" t="s">
        <v>621</v>
      </c>
      <c r="I42" s="2071" t="s">
        <v>2123</v>
      </c>
      <c r="J42" s="2071"/>
      <c r="K42" s="2071"/>
      <c r="L42" s="2071"/>
      <c r="M42" s="2071"/>
      <c r="N42" s="6"/>
      <c r="O42" s="6"/>
      <c r="P42" s="994"/>
      <c r="Q42" s="2071"/>
      <c r="R42" s="2071"/>
      <c r="S42" s="2071"/>
      <c r="T42" s="2071"/>
      <c r="U42" s="2071"/>
      <c r="V42" s="2071"/>
      <c r="AE42" s="994" t="s">
        <v>1060</v>
      </c>
      <c r="AF42" s="2071" t="s">
        <v>2192</v>
      </c>
      <c r="AG42" s="2071"/>
      <c r="AH42" s="2071"/>
      <c r="AI42" s="2071"/>
      <c r="AJ42" s="2071"/>
      <c r="AK42" s="2071"/>
      <c r="AT42" s="163"/>
      <c r="AU42" s="2071"/>
      <c r="AV42" s="2071"/>
      <c r="AW42" s="2071"/>
      <c r="AX42" s="2071"/>
      <c r="AY42" s="2071"/>
      <c r="AZ42" s="2071"/>
      <c r="BI42" s="994"/>
      <c r="BJ42" s="995"/>
      <c r="BK42" s="995"/>
      <c r="BL42" s="995"/>
      <c r="BM42" s="995"/>
      <c r="BN42" s="995"/>
      <c r="BO42" s="995"/>
      <c r="BP42" s="995"/>
      <c r="BQ42" s="995"/>
      <c r="BR42" s="995"/>
      <c r="BS42" s="995"/>
      <c r="BT42" s="995"/>
      <c r="BU42" s="995"/>
      <c r="BV42" s="995"/>
      <c r="BW42" s="995"/>
    </row>
    <row r="43" spans="1:75" s="92" customFormat="1" ht="12.75" customHeight="1">
      <c r="A43" s="73"/>
      <c r="B43" s="294" t="s">
        <v>2362</v>
      </c>
      <c r="P43" s="73"/>
      <c r="AE43" s="195"/>
      <c r="AT43" s="73"/>
      <c r="BI43" s="73"/>
      <c r="BJ43" s="72"/>
      <c r="BK43" s="72"/>
      <c r="BL43" s="72"/>
      <c r="BM43" s="72"/>
      <c r="BN43" s="72"/>
      <c r="BO43" s="72"/>
      <c r="BP43" s="72"/>
      <c r="BQ43" s="72"/>
      <c r="BR43" s="72"/>
      <c r="BS43" s="72"/>
      <c r="BT43" s="72"/>
      <c r="BU43" s="72"/>
      <c r="BV43" s="72"/>
      <c r="BW43" s="72"/>
    </row>
    <row r="44" spans="1:75" s="92" customFormat="1" ht="12.75" customHeight="1">
      <c r="A44" s="73"/>
      <c r="B44" s="44" t="s">
        <v>2241</v>
      </c>
      <c r="C44" s="117"/>
      <c r="D44" s="117"/>
      <c r="E44" s="117"/>
      <c r="F44" s="117"/>
      <c r="G44" s="117"/>
      <c r="P44" s="73"/>
      <c r="AE44" s="73"/>
      <c r="AT44" s="73"/>
      <c r="BI44" s="73"/>
      <c r="BJ44" s="72"/>
      <c r="BK44" s="72"/>
      <c r="BL44" s="72"/>
      <c r="BM44" s="72"/>
      <c r="BN44" s="72"/>
      <c r="BO44" s="72"/>
      <c r="BP44" s="72"/>
      <c r="BQ44" s="72"/>
      <c r="BR44" s="72"/>
      <c r="BS44" s="72"/>
      <c r="BT44" s="72"/>
      <c r="BU44" s="72"/>
      <c r="BV44" s="72"/>
      <c r="BW44" s="72"/>
    </row>
    <row r="45" spans="1:75" ht="12.75" customHeight="1">
      <c r="A45" s="73"/>
      <c r="B45" s="92"/>
      <c r="C45" s="92"/>
      <c r="D45" s="92"/>
      <c r="E45" s="92"/>
      <c r="F45" s="92"/>
      <c r="G45" s="92"/>
      <c r="H45" s="92"/>
      <c r="I45" s="92"/>
      <c r="J45" s="92"/>
      <c r="K45" s="92"/>
      <c r="L45" s="92"/>
      <c r="M45" s="92"/>
      <c r="N45" s="92"/>
      <c r="O45" s="92"/>
      <c r="P45" s="73"/>
      <c r="Q45" s="92"/>
      <c r="R45" s="92"/>
      <c r="S45" s="92"/>
      <c r="T45" s="92"/>
      <c r="U45" s="92"/>
      <c r="V45" s="92"/>
      <c r="W45" s="92"/>
      <c r="X45" s="92"/>
      <c r="Y45" s="92"/>
      <c r="Z45" s="92"/>
      <c r="AA45" s="92"/>
      <c r="AB45" s="92"/>
      <c r="AC45" s="92"/>
      <c r="AD45" s="92"/>
      <c r="AE45" s="73"/>
      <c r="AF45" s="92"/>
      <c r="AG45" s="92"/>
      <c r="AH45" s="92"/>
      <c r="AI45" s="92"/>
      <c r="AJ45" s="92"/>
      <c r="AK45" s="92"/>
      <c r="AL45" s="92"/>
      <c r="AM45" s="92"/>
      <c r="AN45" s="92"/>
      <c r="AO45" s="92"/>
      <c r="AP45" s="92"/>
      <c r="AQ45" s="92"/>
      <c r="AR45" s="92"/>
      <c r="AS45" s="92"/>
      <c r="AT45" s="73"/>
      <c r="AU45" s="92"/>
      <c r="AV45" s="92"/>
      <c r="AW45" s="92"/>
      <c r="AX45" s="92"/>
      <c r="AY45" s="92"/>
      <c r="AZ45" s="92"/>
      <c r="BA45" s="92"/>
      <c r="BB45" s="92"/>
      <c r="BC45" s="92"/>
      <c r="BD45" s="92"/>
      <c r="BE45" s="92"/>
      <c r="BF45" s="92"/>
      <c r="BG45" s="92"/>
      <c r="BH45" s="92"/>
      <c r="BI45" s="73"/>
      <c r="BJ45" s="92"/>
      <c r="BK45" s="92"/>
      <c r="BL45" s="92"/>
      <c r="BM45" s="92"/>
      <c r="BN45" s="92"/>
      <c r="BO45" s="92"/>
      <c r="BP45" s="92"/>
      <c r="BQ45" s="92"/>
      <c r="BR45" s="92"/>
      <c r="BS45" s="92"/>
      <c r="BT45" s="92"/>
      <c r="BU45" s="92"/>
      <c r="BV45" s="92"/>
      <c r="BW45" s="92"/>
    </row>
    <row r="46" spans="1:75" ht="12.75" customHeight="1">
      <c r="Q46" s="62"/>
      <c r="R46" s="62"/>
      <c r="S46" s="62"/>
      <c r="T46" s="62"/>
      <c r="U46" s="62"/>
      <c r="AG46" s="62"/>
      <c r="AI46" s="62"/>
      <c r="AK46" s="62"/>
      <c r="AM46" s="62"/>
      <c r="AO46" s="62"/>
      <c r="AW46" s="62"/>
      <c r="AZ46" s="62"/>
      <c r="BC46" s="62"/>
      <c r="BF46" s="62"/>
      <c r="BJ46" s="62"/>
      <c r="BM46" s="62"/>
      <c r="BQ46" s="62"/>
      <c r="BU46" s="62"/>
    </row>
    <row r="47" spans="1:75">
      <c r="B47" s="245"/>
      <c r="C47" s="245"/>
      <c r="D47" s="245"/>
      <c r="E47" s="245"/>
      <c r="F47" s="245"/>
      <c r="G47" s="245"/>
      <c r="H47" s="245"/>
      <c r="I47" s="245"/>
      <c r="J47" s="245"/>
      <c r="K47" s="245"/>
      <c r="L47" s="245"/>
      <c r="M47" s="245"/>
      <c r="N47" s="245"/>
      <c r="O47" s="245"/>
      <c r="Q47" s="62"/>
      <c r="R47" s="62"/>
      <c r="S47" s="62"/>
      <c r="T47" s="62"/>
      <c r="U47" s="62"/>
      <c r="V47" s="62"/>
      <c r="W47" s="62"/>
      <c r="X47" s="245"/>
      <c r="Y47" s="245"/>
      <c r="Z47" s="245"/>
      <c r="AA47" s="245"/>
      <c r="AB47" s="245"/>
      <c r="AC47" s="245"/>
      <c r="AD47" s="245"/>
      <c r="AF47" s="245"/>
      <c r="AG47" s="62"/>
      <c r="AH47" s="245"/>
      <c r="AI47" s="62"/>
      <c r="AJ47" s="245"/>
      <c r="AK47" s="62"/>
      <c r="AL47" s="245"/>
      <c r="AM47" s="62"/>
      <c r="AN47" s="245"/>
      <c r="AO47" s="62"/>
      <c r="AP47" s="245"/>
      <c r="AQ47" s="62"/>
      <c r="AR47" s="245"/>
      <c r="AS47" s="62"/>
      <c r="AU47" s="245"/>
      <c r="AV47" s="245"/>
      <c r="AW47" s="62"/>
      <c r="AX47" s="245"/>
      <c r="AY47" s="245"/>
      <c r="AZ47" s="62"/>
      <c r="BA47" s="245"/>
      <c r="BB47" s="245"/>
      <c r="BC47" s="62"/>
      <c r="BD47" s="245"/>
      <c r="BE47" s="245"/>
      <c r="BF47" s="62"/>
      <c r="BG47" s="245"/>
      <c r="BH47" s="245"/>
      <c r="BJ47" s="62"/>
      <c r="BK47" s="245"/>
      <c r="BL47" s="245"/>
      <c r="BM47" s="62"/>
      <c r="BN47" s="62"/>
      <c r="BO47" s="245"/>
      <c r="BP47" s="245"/>
      <c r="BQ47" s="62"/>
      <c r="BR47" s="62"/>
      <c r="BS47" s="245"/>
      <c r="BT47" s="245"/>
      <c r="BU47" s="62"/>
      <c r="BV47" s="245"/>
      <c r="BW47" s="245"/>
    </row>
    <row r="48" spans="1:75">
      <c r="Q48" s="62"/>
      <c r="R48" s="62"/>
      <c r="S48" s="62"/>
      <c r="T48" s="62"/>
      <c r="U48" s="62"/>
      <c r="V48" s="62"/>
      <c r="W48" s="62"/>
      <c r="X48" s="62"/>
      <c r="Z48" s="62"/>
      <c r="AA48" s="62"/>
      <c r="AB48" s="62"/>
      <c r="AC48" s="62"/>
      <c r="AD48" s="62"/>
      <c r="AF48" s="62"/>
      <c r="AG48" s="62"/>
      <c r="AH48" s="62"/>
      <c r="AI48" s="62"/>
      <c r="AJ48" s="62"/>
      <c r="AK48" s="62"/>
      <c r="AL48" s="62"/>
      <c r="AM48" s="62"/>
      <c r="AN48" s="62"/>
      <c r="AO48" s="62"/>
      <c r="AP48" s="62"/>
      <c r="AQ48" s="62"/>
      <c r="AS48" s="62"/>
      <c r="AV48" s="62"/>
      <c r="AW48" s="62"/>
      <c r="AZ48" s="62"/>
      <c r="BB48" s="62"/>
      <c r="BC48" s="62"/>
      <c r="BE48" s="62"/>
      <c r="BF48" s="62"/>
      <c r="BH48" s="62"/>
      <c r="BJ48" s="62"/>
      <c r="BM48" s="62"/>
      <c r="BN48" s="62"/>
      <c r="BO48" s="62"/>
      <c r="BP48" s="1169"/>
      <c r="BQ48" s="62"/>
      <c r="BR48" s="62"/>
      <c r="BS48" s="62"/>
      <c r="BU48" s="62"/>
      <c r="BV48" s="62"/>
      <c r="BW48" s="62"/>
    </row>
    <row r="49" spans="2:75">
      <c r="B49" s="245"/>
      <c r="C49" s="245"/>
      <c r="D49" s="245"/>
      <c r="E49" s="245"/>
      <c r="F49" s="245"/>
      <c r="G49" s="245"/>
      <c r="H49" s="245"/>
      <c r="I49" s="245"/>
      <c r="J49" s="245"/>
      <c r="K49" s="245"/>
      <c r="L49" s="245"/>
      <c r="M49" s="245"/>
      <c r="N49" s="245"/>
      <c r="O49" s="245"/>
      <c r="Q49" s="62"/>
      <c r="R49" s="62"/>
      <c r="S49" s="62"/>
      <c r="T49" s="62"/>
      <c r="U49" s="62"/>
      <c r="V49" s="62"/>
      <c r="W49" s="245"/>
      <c r="X49" s="245"/>
      <c r="Y49" s="245"/>
      <c r="Z49" s="245"/>
      <c r="AA49" s="245"/>
      <c r="AB49" s="245"/>
      <c r="AC49" s="245"/>
      <c r="AD49" s="245"/>
      <c r="AF49" s="245"/>
      <c r="AG49" s="62"/>
      <c r="AH49" s="245"/>
      <c r="AI49" s="62"/>
      <c r="AJ49" s="245"/>
      <c r="AK49" s="62"/>
      <c r="AL49" s="245"/>
      <c r="AM49" s="62"/>
      <c r="AN49" s="245"/>
      <c r="AO49" s="62"/>
      <c r="AP49" s="245"/>
      <c r="AQ49" s="62"/>
      <c r="AR49" s="245"/>
      <c r="AS49" s="245"/>
      <c r="AU49" s="245"/>
      <c r="AV49" s="245"/>
      <c r="AW49" s="62"/>
      <c r="AX49" s="245"/>
      <c r="AY49" s="245"/>
      <c r="AZ49" s="62"/>
      <c r="BA49" s="245"/>
      <c r="BB49" s="245"/>
      <c r="BC49" s="62"/>
      <c r="BD49" s="245"/>
      <c r="BE49" s="245"/>
      <c r="BF49" s="62"/>
      <c r="BG49" s="245"/>
      <c r="BH49" s="245"/>
      <c r="BJ49" s="62"/>
      <c r="BK49" s="245"/>
      <c r="BL49" s="245"/>
      <c r="BM49" s="62"/>
      <c r="BN49" s="62"/>
      <c r="BO49" s="245"/>
      <c r="BP49" s="245"/>
      <c r="BQ49" s="62"/>
      <c r="BR49" s="245"/>
      <c r="BS49" s="245"/>
      <c r="BT49" s="245"/>
      <c r="BU49" s="62"/>
      <c r="BV49" s="245"/>
      <c r="BW49" s="245"/>
    </row>
    <row r="50" spans="2:75">
      <c r="B50" s="245"/>
      <c r="C50" s="245"/>
      <c r="D50" s="245"/>
      <c r="E50" s="245"/>
      <c r="F50" s="245"/>
      <c r="G50" s="245"/>
      <c r="H50" s="245"/>
      <c r="I50" s="245"/>
      <c r="J50" s="245"/>
      <c r="K50" s="245"/>
      <c r="L50" s="245"/>
      <c r="M50" s="245"/>
      <c r="N50" s="245"/>
      <c r="O50" s="245"/>
      <c r="Q50" s="62"/>
      <c r="R50" s="62"/>
      <c r="S50" s="62"/>
      <c r="T50" s="62"/>
      <c r="U50" s="62"/>
      <c r="V50" s="62"/>
      <c r="W50" s="245"/>
      <c r="X50" s="245"/>
      <c r="Y50" s="245"/>
      <c r="Z50" s="245"/>
      <c r="AA50" s="245"/>
      <c r="AB50" s="245"/>
      <c r="AC50" s="245"/>
      <c r="AD50" s="245"/>
      <c r="AF50" s="245"/>
      <c r="AG50" s="62"/>
      <c r="AH50" s="245"/>
      <c r="AI50" s="62"/>
      <c r="AJ50" s="245"/>
      <c r="AK50" s="62"/>
      <c r="AL50" s="245"/>
      <c r="AM50" s="62"/>
      <c r="AN50" s="245"/>
      <c r="AO50" s="62"/>
      <c r="AP50" s="245"/>
      <c r="AQ50" s="62"/>
      <c r="AR50" s="245"/>
      <c r="AS50" s="245"/>
      <c r="AU50" s="245"/>
      <c r="AV50" s="245"/>
      <c r="AW50" s="62"/>
      <c r="AX50" s="245"/>
      <c r="AY50" s="245"/>
      <c r="AZ50" s="62"/>
      <c r="BA50" s="245"/>
      <c r="BB50" s="245"/>
      <c r="BC50" s="62"/>
      <c r="BD50" s="245"/>
      <c r="BE50" s="245"/>
      <c r="BF50" s="62"/>
      <c r="BG50" s="245"/>
      <c r="BH50" s="245"/>
      <c r="BJ50" s="62"/>
      <c r="BK50" s="245"/>
      <c r="BL50" s="245"/>
      <c r="BM50" s="62"/>
      <c r="BN50" s="62"/>
      <c r="BO50" s="245"/>
      <c r="BP50" s="245"/>
      <c r="BQ50" s="62"/>
      <c r="BR50" s="245"/>
      <c r="BS50" s="245"/>
      <c r="BT50" s="245"/>
      <c r="BU50" s="62"/>
      <c r="BV50" s="245"/>
      <c r="BW50" s="245"/>
    </row>
    <row r="51" spans="2:75">
      <c r="B51" s="245"/>
      <c r="C51" s="245"/>
      <c r="D51" s="245"/>
      <c r="E51" s="245"/>
      <c r="F51" s="245"/>
      <c r="G51" s="245"/>
      <c r="H51" s="245"/>
      <c r="I51" s="245"/>
      <c r="J51" s="245"/>
      <c r="K51" s="245"/>
      <c r="L51" s="245"/>
      <c r="M51" s="245"/>
      <c r="N51" s="245"/>
      <c r="O51" s="245"/>
      <c r="Q51" s="62"/>
      <c r="R51" s="62"/>
      <c r="S51" s="62"/>
      <c r="T51" s="62"/>
      <c r="U51" s="245"/>
      <c r="V51" s="245"/>
      <c r="W51" s="245"/>
      <c r="X51" s="245"/>
      <c r="Y51" s="245"/>
      <c r="Z51" s="245"/>
      <c r="AA51" s="245"/>
      <c r="AB51" s="245"/>
      <c r="AC51" s="245"/>
      <c r="AD51" s="245"/>
      <c r="AF51" s="245"/>
      <c r="AG51" s="62"/>
      <c r="AH51" s="245"/>
      <c r="AI51" s="62"/>
      <c r="AJ51" s="245"/>
      <c r="AK51" s="62"/>
      <c r="AL51" s="245"/>
      <c r="AM51" s="62"/>
      <c r="AN51" s="245"/>
      <c r="AO51" s="245"/>
      <c r="AP51" s="245"/>
      <c r="AQ51" s="245"/>
      <c r="AR51" s="245"/>
      <c r="AS51" s="245"/>
      <c r="AU51" s="245"/>
      <c r="AV51" s="245"/>
      <c r="AW51" s="62"/>
      <c r="AX51" s="245"/>
      <c r="AY51" s="245"/>
      <c r="AZ51" s="62"/>
      <c r="BA51" s="245"/>
      <c r="BB51" s="245"/>
      <c r="BC51" s="62"/>
      <c r="BD51" s="245"/>
      <c r="BE51" s="245"/>
      <c r="BF51" s="62"/>
      <c r="BG51" s="245"/>
      <c r="BH51" s="245"/>
      <c r="BJ51" s="245"/>
      <c r="BK51" s="245"/>
      <c r="BL51" s="245"/>
      <c r="BM51" s="62"/>
      <c r="BN51" s="245"/>
      <c r="BO51" s="245"/>
      <c r="BP51" s="245"/>
      <c r="BQ51" s="62"/>
      <c r="BR51" s="245"/>
      <c r="BS51" s="245"/>
      <c r="BT51" s="245"/>
      <c r="BU51" s="62"/>
      <c r="BV51" s="245"/>
      <c r="BW51" s="245"/>
    </row>
    <row r="52" spans="2:75">
      <c r="B52" s="245"/>
      <c r="C52" s="245"/>
      <c r="D52" s="245"/>
      <c r="E52" s="245"/>
      <c r="F52" s="245"/>
      <c r="G52" s="245"/>
      <c r="H52" s="245"/>
      <c r="I52" s="245"/>
      <c r="J52" s="245"/>
      <c r="K52" s="245"/>
      <c r="L52" s="245"/>
      <c r="M52" s="245"/>
      <c r="N52" s="245"/>
      <c r="O52" s="245"/>
      <c r="Q52" s="62"/>
      <c r="R52" s="62"/>
      <c r="S52" s="62"/>
      <c r="T52" s="62"/>
      <c r="U52" s="62"/>
      <c r="V52" s="62"/>
      <c r="W52" s="245"/>
      <c r="X52" s="245"/>
      <c r="Y52" s="245"/>
      <c r="Z52" s="245"/>
      <c r="AA52" s="245"/>
      <c r="AB52" s="245"/>
      <c r="AC52" s="245"/>
      <c r="AD52" s="245"/>
      <c r="AF52" s="245"/>
      <c r="AG52" s="62"/>
      <c r="AH52" s="245"/>
      <c r="AI52" s="62"/>
      <c r="AJ52" s="245"/>
      <c r="AK52" s="62"/>
      <c r="AL52" s="245"/>
      <c r="AM52" s="62"/>
      <c r="AN52" s="245"/>
      <c r="AO52" s="62"/>
      <c r="AP52" s="245"/>
      <c r="AQ52" s="62"/>
      <c r="AR52" s="245"/>
      <c r="AS52" s="245"/>
      <c r="AU52" s="245"/>
      <c r="AV52" s="245"/>
      <c r="AW52" s="62"/>
      <c r="AX52" s="245"/>
      <c r="AY52" s="245"/>
      <c r="AZ52" s="62"/>
      <c r="BA52" s="245"/>
      <c r="BB52" s="245"/>
      <c r="BC52" s="62"/>
      <c r="BD52" s="245"/>
      <c r="BE52" s="245"/>
      <c r="BF52" s="62"/>
      <c r="BG52" s="245"/>
      <c r="BH52" s="245"/>
      <c r="BJ52" s="62"/>
      <c r="BK52" s="245"/>
      <c r="BL52" s="245"/>
      <c r="BM52" s="62"/>
      <c r="BN52" s="62"/>
      <c r="BO52" s="245"/>
      <c r="BP52" s="245"/>
      <c r="BQ52" s="62"/>
      <c r="BR52" s="245"/>
      <c r="BS52" s="245"/>
      <c r="BT52" s="245"/>
      <c r="BU52" s="62"/>
      <c r="BV52" s="245"/>
      <c r="BW52" s="245"/>
    </row>
    <row r="53" spans="2:75">
      <c r="B53" s="245"/>
      <c r="C53" s="245"/>
      <c r="D53" s="245"/>
      <c r="E53" s="245"/>
      <c r="F53" s="245"/>
      <c r="G53" s="245"/>
      <c r="H53" s="245"/>
      <c r="I53" s="245"/>
      <c r="J53" s="245"/>
      <c r="K53" s="245"/>
      <c r="L53" s="245"/>
      <c r="M53" s="245"/>
      <c r="N53" s="245"/>
      <c r="O53" s="245"/>
      <c r="Q53" s="62"/>
      <c r="R53" s="62"/>
      <c r="S53" s="62"/>
      <c r="T53" s="62"/>
      <c r="U53" s="245"/>
      <c r="V53" s="245"/>
      <c r="W53" s="245"/>
      <c r="X53" s="245"/>
      <c r="Y53" s="245"/>
      <c r="Z53" s="245"/>
      <c r="AA53" s="245"/>
      <c r="AB53" s="245"/>
      <c r="AC53" s="245"/>
      <c r="AD53" s="245"/>
      <c r="AF53" s="245"/>
      <c r="AG53" s="62"/>
      <c r="AH53" s="245"/>
      <c r="AI53" s="62"/>
      <c r="AJ53" s="245"/>
      <c r="AK53" s="62"/>
      <c r="AL53" s="245"/>
      <c r="AM53" s="62"/>
      <c r="AN53" s="245"/>
      <c r="AO53" s="245"/>
      <c r="AP53" s="245"/>
      <c r="AQ53" s="245"/>
      <c r="AR53" s="245"/>
      <c r="AS53" s="245"/>
      <c r="AU53" s="245"/>
      <c r="AV53" s="245"/>
      <c r="AW53" s="62"/>
      <c r="AX53" s="245"/>
      <c r="AY53" s="245"/>
      <c r="AZ53" s="62"/>
      <c r="BA53" s="245"/>
      <c r="BB53" s="245"/>
      <c r="BC53" s="62"/>
      <c r="BD53" s="245"/>
      <c r="BE53" s="245"/>
      <c r="BF53" s="62"/>
      <c r="BG53" s="245"/>
      <c r="BH53" s="245"/>
      <c r="BJ53" s="245"/>
      <c r="BK53" s="245"/>
      <c r="BL53" s="245"/>
      <c r="BM53" s="62"/>
      <c r="BN53" s="245"/>
      <c r="BO53" s="245"/>
      <c r="BP53" s="245"/>
      <c r="BQ53" s="62"/>
      <c r="BR53" s="245"/>
      <c r="BS53" s="245"/>
      <c r="BT53" s="245"/>
      <c r="BU53" s="62"/>
      <c r="BV53" s="245"/>
      <c r="BW53" s="245"/>
    </row>
    <row r="54" spans="2:75">
      <c r="B54" s="245"/>
      <c r="C54" s="245"/>
      <c r="D54" s="245"/>
      <c r="E54" s="245"/>
      <c r="F54" s="245"/>
      <c r="G54" s="245"/>
      <c r="H54" s="245"/>
      <c r="I54" s="245"/>
      <c r="J54" s="245"/>
      <c r="K54" s="245"/>
      <c r="L54" s="245"/>
      <c r="M54" s="245"/>
      <c r="N54" s="245"/>
      <c r="O54" s="245"/>
      <c r="Q54" s="62"/>
      <c r="R54" s="62"/>
      <c r="S54" s="62"/>
      <c r="T54" s="245"/>
      <c r="U54" s="245"/>
      <c r="V54" s="245"/>
      <c r="W54" s="245"/>
      <c r="X54" s="245"/>
      <c r="Y54" s="245"/>
      <c r="Z54" s="245"/>
      <c r="AA54" s="245"/>
      <c r="AB54" s="245"/>
      <c r="AC54" s="245"/>
      <c r="AD54" s="245"/>
      <c r="AF54" s="245"/>
      <c r="AG54" s="62"/>
      <c r="AH54" s="245"/>
      <c r="AI54" s="62"/>
      <c r="AJ54" s="245"/>
      <c r="AK54" s="62"/>
      <c r="AL54" s="245"/>
      <c r="AM54" s="245"/>
      <c r="AN54" s="245"/>
      <c r="AO54" s="245"/>
      <c r="AP54" s="245"/>
      <c r="AQ54" s="245"/>
      <c r="AR54" s="245"/>
      <c r="AS54" s="245"/>
      <c r="AU54" s="245"/>
      <c r="AV54" s="245"/>
      <c r="AW54" s="62"/>
      <c r="AX54" s="245"/>
      <c r="AY54" s="245"/>
      <c r="AZ54" s="62"/>
      <c r="BA54" s="245"/>
      <c r="BB54" s="245"/>
      <c r="BC54" s="62"/>
      <c r="BD54" s="245"/>
      <c r="BE54" s="245"/>
      <c r="BF54" s="245"/>
      <c r="BG54" s="245"/>
      <c r="BH54" s="245"/>
      <c r="BJ54" s="245"/>
      <c r="BK54" s="245"/>
      <c r="BL54" s="245"/>
      <c r="BM54" s="62"/>
      <c r="BN54" s="245"/>
      <c r="BO54" s="245"/>
      <c r="BP54" s="245"/>
      <c r="BQ54" s="62"/>
      <c r="BR54" s="245"/>
      <c r="BS54" s="245"/>
      <c r="BT54" s="245"/>
      <c r="BU54" s="62"/>
      <c r="BV54" s="245"/>
      <c r="BW54" s="245"/>
    </row>
    <row r="55" spans="2:75">
      <c r="B55" s="245"/>
      <c r="C55" s="245"/>
      <c r="D55" s="245"/>
      <c r="E55" s="245"/>
      <c r="F55" s="245"/>
      <c r="G55" s="245"/>
      <c r="H55" s="245"/>
      <c r="I55" s="245"/>
      <c r="J55" s="245"/>
      <c r="K55" s="245"/>
      <c r="L55" s="245"/>
      <c r="M55" s="245"/>
      <c r="N55" s="245"/>
      <c r="O55" s="245"/>
      <c r="Q55" s="62"/>
      <c r="R55" s="245"/>
      <c r="S55" s="245"/>
      <c r="T55" s="245"/>
      <c r="U55" s="245"/>
      <c r="V55" s="245"/>
      <c r="W55" s="245"/>
      <c r="X55" s="245"/>
      <c r="Y55" s="245"/>
      <c r="Z55" s="245"/>
      <c r="AA55" s="245"/>
      <c r="AB55" s="245"/>
      <c r="AC55" s="245"/>
      <c r="AD55" s="245"/>
      <c r="AF55" s="245"/>
      <c r="AG55" s="62"/>
      <c r="AH55" s="245"/>
      <c r="AI55" s="245"/>
      <c r="AJ55" s="245"/>
      <c r="AK55" s="245"/>
      <c r="AL55" s="245"/>
      <c r="AM55" s="245"/>
      <c r="AN55" s="245"/>
      <c r="AO55" s="245"/>
      <c r="AP55" s="245"/>
      <c r="AQ55" s="245"/>
      <c r="AR55" s="245"/>
      <c r="AS55" s="245"/>
      <c r="AU55" s="245"/>
      <c r="AV55" s="245"/>
      <c r="AW55" s="62"/>
      <c r="AX55" s="245"/>
      <c r="AY55" s="245"/>
      <c r="AZ55" s="245"/>
      <c r="BA55" s="245"/>
      <c r="BB55" s="245"/>
      <c r="BC55" s="245"/>
      <c r="BD55" s="245"/>
      <c r="BE55" s="245"/>
      <c r="BF55" s="245"/>
      <c r="BG55" s="245"/>
      <c r="BH55" s="245"/>
      <c r="BJ55" s="245"/>
      <c r="BK55" s="245"/>
      <c r="BL55" s="245"/>
      <c r="BM55" s="62"/>
      <c r="BN55" s="245"/>
      <c r="BO55" s="245"/>
      <c r="BP55" s="245"/>
      <c r="BQ55" s="245"/>
      <c r="BR55" s="245"/>
      <c r="BS55" s="245"/>
      <c r="BT55" s="245"/>
      <c r="BU55" s="245"/>
      <c r="BV55" s="245"/>
      <c r="BW55" s="245"/>
    </row>
    <row r="56" spans="2:75">
      <c r="B56" s="245"/>
      <c r="C56" s="245"/>
      <c r="D56" s="245"/>
      <c r="E56" s="245"/>
      <c r="F56" s="245"/>
      <c r="G56" s="245"/>
      <c r="H56" s="245"/>
      <c r="I56" s="245"/>
      <c r="J56" s="245"/>
      <c r="K56" s="245"/>
      <c r="L56" s="245"/>
      <c r="M56" s="245"/>
      <c r="N56" s="245"/>
      <c r="O56" s="245"/>
      <c r="Q56" s="245"/>
      <c r="R56" s="245"/>
      <c r="S56" s="245"/>
      <c r="T56" s="245"/>
      <c r="U56" s="245"/>
      <c r="V56" s="245"/>
      <c r="W56" s="245"/>
      <c r="X56" s="245"/>
      <c r="Y56" s="245"/>
      <c r="Z56" s="245"/>
      <c r="AA56" s="245"/>
      <c r="AB56" s="245"/>
      <c r="AC56" s="245"/>
      <c r="AD56" s="245"/>
      <c r="AF56" s="245"/>
      <c r="AG56" s="245"/>
      <c r="AH56" s="245"/>
      <c r="AI56" s="245"/>
      <c r="AJ56" s="245"/>
      <c r="AK56" s="245"/>
      <c r="AL56" s="245"/>
      <c r="AM56" s="245"/>
      <c r="AN56" s="245"/>
      <c r="AO56" s="245"/>
      <c r="AP56" s="245"/>
      <c r="AQ56" s="245"/>
      <c r="AR56" s="245"/>
      <c r="AS56" s="245"/>
      <c r="AU56" s="245"/>
      <c r="AV56" s="245"/>
      <c r="AW56" s="245"/>
      <c r="AX56" s="245"/>
      <c r="AY56" s="245"/>
      <c r="AZ56" s="245"/>
      <c r="BA56" s="245"/>
      <c r="BB56" s="245"/>
      <c r="BC56" s="245"/>
      <c r="BD56" s="245"/>
      <c r="BE56" s="245"/>
      <c r="BF56" s="245"/>
      <c r="BG56" s="245"/>
      <c r="BH56" s="245"/>
      <c r="BJ56" s="245"/>
      <c r="BK56" s="245"/>
      <c r="BL56" s="245"/>
      <c r="BM56" s="245"/>
      <c r="BN56" s="245"/>
      <c r="BO56" s="245"/>
      <c r="BP56" s="245"/>
      <c r="BQ56" s="245"/>
      <c r="BR56" s="245"/>
      <c r="BS56" s="245"/>
      <c r="BT56" s="245"/>
      <c r="BU56" s="245"/>
      <c r="BV56" s="245"/>
      <c r="BW56" s="245"/>
    </row>
    <row r="57" spans="2:75">
      <c r="B57" s="245"/>
      <c r="C57" s="245"/>
      <c r="D57" s="245"/>
      <c r="E57" s="245"/>
      <c r="F57" s="245"/>
      <c r="G57" s="245"/>
      <c r="H57" s="245"/>
      <c r="I57" s="245"/>
      <c r="J57" s="245"/>
      <c r="K57" s="245"/>
      <c r="L57" s="245"/>
      <c r="M57" s="245"/>
      <c r="N57" s="245"/>
      <c r="O57" s="245"/>
      <c r="P57" s="245"/>
      <c r="Q57" s="245"/>
      <c r="R57" s="245"/>
      <c r="S57" s="245"/>
      <c r="T57" s="245"/>
      <c r="U57" s="245"/>
      <c r="V57" s="245"/>
      <c r="W57" s="245"/>
      <c r="X57" s="245"/>
      <c r="Y57" s="245"/>
      <c r="Z57" s="245"/>
      <c r="AA57" s="245"/>
      <c r="AB57" s="245"/>
      <c r="AC57" s="245"/>
      <c r="AD57" s="245"/>
      <c r="AE57" s="245"/>
      <c r="AF57" s="245"/>
      <c r="AG57" s="245"/>
      <c r="AH57" s="245"/>
      <c r="AI57" s="245"/>
      <c r="AJ57" s="245"/>
      <c r="AK57" s="245"/>
      <c r="AL57" s="245"/>
      <c r="AM57" s="245"/>
      <c r="AN57" s="245"/>
      <c r="AO57" s="245"/>
      <c r="AP57" s="245"/>
      <c r="AQ57" s="245"/>
      <c r="AR57" s="245"/>
      <c r="AS57" s="245"/>
      <c r="AT57" s="245"/>
      <c r="AU57" s="245"/>
      <c r="AV57" s="245"/>
      <c r="AW57" s="245"/>
      <c r="AX57" s="245"/>
      <c r="AY57" s="245"/>
      <c r="AZ57" s="245"/>
      <c r="BA57" s="245"/>
      <c r="BB57" s="245"/>
      <c r="BC57" s="245"/>
      <c r="BD57" s="245"/>
      <c r="BE57" s="245"/>
      <c r="BF57" s="245"/>
      <c r="BG57" s="245"/>
      <c r="BH57" s="245"/>
      <c r="BI57" s="245"/>
      <c r="BJ57" s="245"/>
      <c r="BK57" s="245"/>
      <c r="BL57" s="245"/>
      <c r="BM57" s="245"/>
      <c r="BN57" s="245"/>
      <c r="BO57" s="245"/>
      <c r="BP57" s="245"/>
      <c r="BQ57" s="245"/>
      <c r="BR57" s="245"/>
      <c r="BS57" s="245"/>
      <c r="BT57" s="245"/>
      <c r="BU57" s="245"/>
      <c r="BV57" s="245"/>
      <c r="BW57" s="245"/>
    </row>
    <row r="58" spans="2:75">
      <c r="B58" s="245"/>
      <c r="C58" s="245"/>
      <c r="D58" s="245"/>
      <c r="E58" s="245"/>
      <c r="F58" s="245"/>
      <c r="G58" s="245"/>
      <c r="H58" s="245"/>
      <c r="I58" s="245"/>
      <c r="J58" s="245"/>
      <c r="K58" s="245"/>
      <c r="L58" s="245"/>
      <c r="M58" s="245"/>
      <c r="N58" s="245"/>
      <c r="O58" s="245"/>
      <c r="P58" s="245"/>
      <c r="Q58" s="245"/>
      <c r="R58" s="245"/>
      <c r="S58" s="245"/>
      <c r="T58" s="245"/>
      <c r="U58" s="245"/>
      <c r="V58" s="245"/>
      <c r="W58" s="245"/>
      <c r="X58" s="245"/>
      <c r="Y58" s="245"/>
      <c r="Z58" s="245"/>
      <c r="AA58" s="245"/>
      <c r="AB58" s="245"/>
      <c r="AC58" s="245"/>
      <c r="AD58" s="245"/>
      <c r="AE58" s="245"/>
      <c r="AF58" s="245"/>
      <c r="AG58" s="245"/>
      <c r="AH58" s="245"/>
      <c r="AI58" s="245"/>
      <c r="AJ58" s="245"/>
      <c r="AK58" s="245"/>
      <c r="AL58" s="245"/>
      <c r="AM58" s="245"/>
      <c r="AN58" s="245"/>
      <c r="AO58" s="245"/>
      <c r="AP58" s="245"/>
      <c r="AQ58" s="245"/>
      <c r="AR58" s="245"/>
      <c r="AS58" s="245"/>
      <c r="AT58" s="245"/>
      <c r="AU58" s="245"/>
      <c r="AV58" s="245"/>
      <c r="AW58" s="245"/>
      <c r="AX58" s="245"/>
      <c r="AY58" s="245"/>
      <c r="AZ58" s="245"/>
      <c r="BA58" s="245"/>
      <c r="BB58" s="245"/>
      <c r="BC58" s="245"/>
      <c r="BD58" s="245"/>
      <c r="BE58" s="245"/>
      <c r="BF58" s="245"/>
      <c r="BG58" s="245"/>
      <c r="BH58" s="245"/>
      <c r="BI58" s="245"/>
      <c r="BJ58" s="245"/>
      <c r="BK58" s="245"/>
      <c r="BL58" s="245"/>
      <c r="BM58" s="245"/>
      <c r="BN58" s="245"/>
      <c r="BO58" s="245"/>
      <c r="BP58" s="245"/>
      <c r="BQ58" s="245"/>
      <c r="BR58" s="245"/>
      <c r="BS58" s="245"/>
      <c r="BT58" s="245"/>
      <c r="BU58" s="245"/>
      <c r="BV58" s="245"/>
      <c r="BW58" s="245"/>
    </row>
    <row r="59" spans="2:75">
      <c r="B59" s="245"/>
      <c r="C59" s="245"/>
      <c r="D59" s="245"/>
      <c r="E59" s="245"/>
      <c r="F59" s="245"/>
      <c r="G59" s="245"/>
      <c r="H59" s="245"/>
      <c r="I59" s="245"/>
      <c r="J59" s="245"/>
      <c r="K59" s="245"/>
      <c r="L59" s="245"/>
      <c r="M59" s="245"/>
      <c r="N59" s="245"/>
      <c r="O59" s="245"/>
      <c r="P59" s="245"/>
      <c r="Q59" s="245"/>
      <c r="R59" s="245"/>
      <c r="S59" s="245"/>
      <c r="T59" s="245"/>
      <c r="U59" s="245"/>
      <c r="V59" s="245"/>
      <c r="W59" s="245"/>
      <c r="X59" s="245"/>
      <c r="Y59" s="245"/>
      <c r="Z59" s="245"/>
      <c r="AA59" s="245"/>
      <c r="AB59" s="245"/>
      <c r="AC59" s="245"/>
      <c r="AD59" s="245"/>
      <c r="AE59" s="245"/>
      <c r="AF59" s="245"/>
      <c r="AG59" s="245"/>
      <c r="AH59" s="245"/>
      <c r="AI59" s="245"/>
      <c r="AJ59" s="245"/>
      <c r="AK59" s="245"/>
      <c r="AL59" s="245"/>
      <c r="AM59" s="245"/>
      <c r="AN59" s="245"/>
      <c r="AO59" s="245"/>
      <c r="AP59" s="245"/>
      <c r="AQ59" s="245"/>
      <c r="AR59" s="245"/>
      <c r="AS59" s="245"/>
      <c r="AT59" s="245"/>
      <c r="AU59" s="245"/>
      <c r="AV59" s="245"/>
      <c r="AW59" s="245"/>
      <c r="AX59" s="245"/>
      <c r="AY59" s="245"/>
      <c r="AZ59" s="245"/>
      <c r="BA59" s="245"/>
      <c r="BB59" s="245"/>
      <c r="BC59" s="245"/>
      <c r="BD59" s="245"/>
      <c r="BE59" s="245"/>
      <c r="BF59" s="245"/>
      <c r="BG59" s="245"/>
      <c r="BH59" s="245"/>
      <c r="BI59" s="245"/>
      <c r="BJ59" s="245"/>
      <c r="BK59" s="245"/>
      <c r="BL59" s="245"/>
      <c r="BM59" s="245"/>
      <c r="BN59" s="245"/>
      <c r="BO59" s="245"/>
      <c r="BP59" s="245"/>
      <c r="BQ59" s="245"/>
      <c r="BR59" s="245"/>
      <c r="BS59" s="245"/>
      <c r="BT59" s="245"/>
      <c r="BU59" s="245"/>
      <c r="BV59" s="245"/>
      <c r="BW59" s="245"/>
    </row>
    <row r="60" spans="2:75">
      <c r="B60" s="245"/>
      <c r="C60" s="245"/>
      <c r="D60" s="245"/>
      <c r="E60" s="245"/>
      <c r="F60" s="245"/>
      <c r="G60" s="245"/>
      <c r="H60" s="245"/>
      <c r="I60" s="245"/>
      <c r="J60" s="245"/>
      <c r="K60" s="245"/>
      <c r="L60" s="245"/>
      <c r="M60" s="245"/>
      <c r="N60" s="245"/>
      <c r="O60" s="245"/>
      <c r="P60" s="245"/>
      <c r="Q60" s="245"/>
      <c r="R60" s="245"/>
      <c r="S60" s="245"/>
      <c r="T60" s="245"/>
      <c r="U60" s="245"/>
      <c r="V60" s="245"/>
      <c r="W60" s="245"/>
      <c r="X60" s="245"/>
      <c r="Y60" s="245"/>
      <c r="Z60" s="245"/>
      <c r="AA60" s="245"/>
      <c r="AB60" s="245"/>
      <c r="AC60" s="245"/>
      <c r="AD60" s="245"/>
      <c r="AE60" s="245"/>
      <c r="AF60" s="245"/>
      <c r="AG60" s="245"/>
      <c r="AH60" s="245"/>
      <c r="AI60" s="245"/>
      <c r="AJ60" s="245"/>
      <c r="AK60" s="245"/>
      <c r="AL60" s="245"/>
      <c r="AM60" s="245"/>
      <c r="AN60" s="245"/>
      <c r="AO60" s="245"/>
      <c r="AP60" s="245"/>
      <c r="AQ60" s="245"/>
      <c r="AR60" s="245"/>
      <c r="AS60" s="245"/>
      <c r="AT60" s="245"/>
      <c r="AU60" s="245"/>
      <c r="AV60" s="245"/>
      <c r="AW60" s="245"/>
      <c r="AX60" s="245"/>
      <c r="AY60" s="245"/>
      <c r="AZ60" s="245"/>
      <c r="BA60" s="245"/>
      <c r="BB60" s="245"/>
      <c r="BC60" s="245"/>
      <c r="BD60" s="245"/>
      <c r="BE60" s="245"/>
      <c r="BF60" s="245"/>
      <c r="BG60" s="245"/>
      <c r="BH60" s="245"/>
      <c r="BI60" s="245"/>
      <c r="BJ60" s="245"/>
      <c r="BK60" s="245"/>
      <c r="BL60" s="245"/>
      <c r="BM60" s="245"/>
      <c r="BN60" s="245"/>
      <c r="BO60" s="245"/>
      <c r="BP60" s="245"/>
      <c r="BQ60" s="245"/>
      <c r="BR60" s="245"/>
      <c r="BS60" s="245"/>
      <c r="BT60" s="245"/>
      <c r="BU60" s="245"/>
      <c r="BV60" s="245"/>
      <c r="BW60" s="245"/>
    </row>
    <row r="61" spans="2:75">
      <c r="B61" s="245"/>
      <c r="C61" s="245"/>
      <c r="D61" s="245"/>
      <c r="E61" s="245"/>
      <c r="F61" s="245"/>
      <c r="G61" s="245"/>
      <c r="H61" s="245"/>
      <c r="I61" s="245"/>
      <c r="J61" s="245"/>
      <c r="K61" s="245"/>
      <c r="L61" s="245"/>
      <c r="M61" s="245"/>
      <c r="N61" s="245"/>
      <c r="O61" s="245"/>
      <c r="P61" s="245"/>
      <c r="Q61" s="245"/>
      <c r="R61" s="245"/>
      <c r="S61" s="245"/>
      <c r="T61" s="245"/>
      <c r="U61" s="245"/>
      <c r="V61" s="245"/>
      <c r="W61" s="245"/>
      <c r="X61" s="245"/>
      <c r="Y61" s="245"/>
      <c r="Z61" s="245"/>
      <c r="AA61" s="245"/>
      <c r="AB61" s="245"/>
      <c r="AC61" s="245"/>
      <c r="AD61" s="245"/>
      <c r="AE61" s="245"/>
      <c r="AF61" s="245"/>
      <c r="AG61" s="245"/>
      <c r="AH61" s="245"/>
      <c r="AI61" s="245"/>
      <c r="AJ61" s="245"/>
      <c r="AK61" s="245"/>
      <c r="AL61" s="245"/>
      <c r="AM61" s="245"/>
      <c r="AN61" s="245"/>
      <c r="AO61" s="245"/>
      <c r="AP61" s="245"/>
      <c r="AQ61" s="245"/>
      <c r="AR61" s="245"/>
      <c r="AS61" s="245"/>
      <c r="AT61" s="245"/>
      <c r="AU61" s="245"/>
      <c r="AV61" s="245"/>
      <c r="AW61" s="245"/>
      <c r="AX61" s="245"/>
      <c r="AY61" s="245"/>
      <c r="AZ61" s="245"/>
      <c r="BA61" s="245"/>
      <c r="BB61" s="245"/>
      <c r="BC61" s="245"/>
      <c r="BD61" s="245"/>
      <c r="BE61" s="245"/>
      <c r="BF61" s="245"/>
      <c r="BG61" s="245"/>
      <c r="BH61" s="245"/>
      <c r="BI61" s="245"/>
      <c r="BJ61" s="245"/>
      <c r="BK61" s="245"/>
      <c r="BL61" s="245"/>
      <c r="BM61" s="245"/>
      <c r="BN61" s="245"/>
      <c r="BO61" s="245"/>
      <c r="BP61" s="245"/>
      <c r="BQ61" s="245"/>
      <c r="BR61" s="245"/>
      <c r="BS61" s="245"/>
      <c r="BT61" s="245"/>
      <c r="BU61" s="245"/>
      <c r="BV61" s="245"/>
      <c r="BW61" s="245"/>
    </row>
    <row r="62" spans="2:75">
      <c r="B62" s="245"/>
      <c r="C62" s="245"/>
      <c r="D62" s="245"/>
      <c r="E62" s="245"/>
      <c r="F62" s="245"/>
      <c r="G62" s="245"/>
      <c r="H62" s="245"/>
      <c r="I62" s="245"/>
      <c r="J62" s="245"/>
      <c r="K62" s="245"/>
      <c r="L62" s="245"/>
      <c r="M62" s="245"/>
      <c r="N62" s="245"/>
      <c r="O62" s="245"/>
      <c r="P62" s="245"/>
      <c r="Q62" s="245"/>
      <c r="R62" s="245"/>
      <c r="S62" s="245"/>
      <c r="T62" s="245"/>
      <c r="U62" s="245"/>
      <c r="V62" s="245"/>
      <c r="W62" s="245"/>
      <c r="X62" s="245"/>
      <c r="Y62" s="245"/>
      <c r="Z62" s="245"/>
      <c r="AA62" s="245"/>
      <c r="AB62" s="245"/>
      <c r="AC62" s="245"/>
      <c r="AD62" s="245"/>
      <c r="AE62" s="245"/>
      <c r="AF62" s="245"/>
      <c r="AG62" s="245"/>
      <c r="AH62" s="245"/>
      <c r="AI62" s="245"/>
      <c r="AJ62" s="245"/>
      <c r="AK62" s="245"/>
      <c r="AL62" s="245"/>
      <c r="AM62" s="245"/>
      <c r="AN62" s="245"/>
      <c r="AO62" s="245"/>
      <c r="AP62" s="245"/>
      <c r="AQ62" s="245"/>
      <c r="AR62" s="245"/>
      <c r="AS62" s="245"/>
      <c r="AT62" s="245"/>
      <c r="AU62" s="245"/>
      <c r="AV62" s="245"/>
      <c r="AW62" s="245"/>
      <c r="AX62" s="245"/>
      <c r="AY62" s="245"/>
      <c r="AZ62" s="245"/>
      <c r="BA62" s="245"/>
      <c r="BB62" s="245"/>
      <c r="BC62" s="245"/>
      <c r="BD62" s="245"/>
      <c r="BE62" s="245"/>
      <c r="BF62" s="245"/>
      <c r="BG62" s="245"/>
      <c r="BH62" s="245"/>
      <c r="BI62" s="245"/>
      <c r="BJ62" s="245"/>
      <c r="BK62" s="245"/>
      <c r="BL62" s="245"/>
      <c r="BM62" s="245"/>
      <c r="BN62" s="245"/>
      <c r="BO62" s="245"/>
      <c r="BP62" s="245"/>
      <c r="BQ62" s="245"/>
      <c r="BR62" s="245"/>
      <c r="BS62" s="245"/>
      <c r="BT62" s="245"/>
      <c r="BU62" s="245"/>
      <c r="BV62" s="245"/>
      <c r="BW62" s="245"/>
    </row>
    <row r="63" spans="2:75">
      <c r="B63" s="245"/>
      <c r="C63" s="245"/>
      <c r="D63" s="245"/>
      <c r="E63" s="245"/>
      <c r="F63" s="245"/>
      <c r="G63" s="245"/>
      <c r="H63" s="245"/>
      <c r="I63" s="245"/>
      <c r="J63" s="245"/>
      <c r="K63" s="245"/>
      <c r="L63" s="245"/>
      <c r="M63" s="245"/>
      <c r="N63" s="245"/>
      <c r="O63" s="245"/>
      <c r="P63" s="245"/>
      <c r="Q63" s="245"/>
      <c r="R63" s="245"/>
      <c r="S63" s="245"/>
      <c r="T63" s="245"/>
      <c r="U63" s="245"/>
      <c r="V63" s="245"/>
      <c r="W63" s="245"/>
      <c r="X63" s="245"/>
      <c r="Y63" s="245"/>
      <c r="Z63" s="245"/>
      <c r="AA63" s="245"/>
      <c r="AB63" s="245"/>
      <c r="AC63" s="245"/>
      <c r="AD63" s="245"/>
      <c r="AE63" s="245"/>
      <c r="AF63" s="245"/>
      <c r="AG63" s="245"/>
      <c r="AH63" s="245"/>
      <c r="AI63" s="245"/>
      <c r="AJ63" s="245"/>
      <c r="AK63" s="245"/>
      <c r="AL63" s="245"/>
      <c r="AM63" s="245"/>
      <c r="AN63" s="245"/>
      <c r="AO63" s="245"/>
      <c r="AP63" s="245"/>
      <c r="AQ63" s="245"/>
      <c r="AR63" s="245"/>
      <c r="AS63" s="245"/>
      <c r="AT63" s="245"/>
      <c r="AU63" s="245"/>
      <c r="AV63" s="245"/>
      <c r="AW63" s="245"/>
      <c r="AX63" s="245"/>
      <c r="AY63" s="245"/>
      <c r="AZ63" s="245"/>
      <c r="BA63" s="245"/>
      <c r="BB63" s="245"/>
      <c r="BC63" s="245"/>
      <c r="BD63" s="245"/>
      <c r="BE63" s="245"/>
      <c r="BF63" s="245"/>
      <c r="BG63" s="245"/>
      <c r="BH63" s="245"/>
      <c r="BI63" s="245"/>
      <c r="BJ63" s="245"/>
      <c r="BK63" s="245"/>
      <c r="BL63" s="245"/>
      <c r="BM63" s="245"/>
      <c r="BN63" s="245"/>
      <c r="BO63" s="245"/>
      <c r="BP63" s="245"/>
      <c r="BQ63" s="245"/>
      <c r="BR63" s="245"/>
      <c r="BS63" s="245"/>
      <c r="BT63" s="245"/>
      <c r="BU63" s="245"/>
      <c r="BV63" s="245"/>
      <c r="BW63" s="245"/>
    </row>
    <row r="64" spans="2:75">
      <c r="B64" s="245"/>
      <c r="C64" s="245"/>
      <c r="D64" s="245"/>
      <c r="E64" s="245"/>
      <c r="F64" s="245"/>
      <c r="G64" s="245"/>
      <c r="H64" s="245"/>
      <c r="I64" s="245"/>
      <c r="J64" s="245"/>
      <c r="K64" s="245"/>
      <c r="L64" s="245"/>
      <c r="M64" s="245"/>
      <c r="N64" s="245"/>
      <c r="O64" s="245"/>
      <c r="P64" s="245"/>
      <c r="Q64" s="245"/>
      <c r="R64" s="245"/>
      <c r="S64" s="245"/>
      <c r="T64" s="245"/>
      <c r="U64" s="245"/>
      <c r="V64" s="245"/>
      <c r="W64" s="245"/>
      <c r="X64" s="245"/>
      <c r="Y64" s="245"/>
      <c r="Z64" s="245"/>
      <c r="AA64" s="245"/>
      <c r="AB64" s="245"/>
      <c r="AC64" s="245"/>
      <c r="AD64" s="245"/>
      <c r="AE64" s="245"/>
      <c r="AF64" s="245"/>
      <c r="AG64" s="245"/>
      <c r="AH64" s="245"/>
      <c r="AI64" s="245"/>
      <c r="AJ64" s="245"/>
      <c r="AK64" s="245"/>
      <c r="AL64" s="245"/>
      <c r="AM64" s="245"/>
      <c r="AN64" s="245"/>
      <c r="AO64" s="245"/>
      <c r="AP64" s="245"/>
      <c r="AQ64" s="245"/>
      <c r="AR64" s="245"/>
      <c r="AS64" s="245"/>
      <c r="AT64" s="245"/>
      <c r="AU64" s="245"/>
      <c r="AV64" s="245"/>
      <c r="AW64" s="245"/>
      <c r="AX64" s="245"/>
      <c r="AY64" s="245"/>
      <c r="AZ64" s="245"/>
      <c r="BA64" s="245"/>
      <c r="BB64" s="245"/>
      <c r="BC64" s="245"/>
      <c r="BD64" s="245"/>
      <c r="BE64" s="245"/>
      <c r="BF64" s="245"/>
      <c r="BG64" s="245"/>
      <c r="BH64" s="245"/>
      <c r="BI64" s="245"/>
      <c r="BJ64" s="245"/>
      <c r="BK64" s="245"/>
      <c r="BL64" s="245"/>
      <c r="BM64" s="245"/>
      <c r="BN64" s="245"/>
      <c r="BO64" s="245"/>
      <c r="BP64" s="245"/>
      <c r="BQ64" s="245"/>
      <c r="BR64" s="245"/>
      <c r="BS64" s="245"/>
      <c r="BT64" s="245"/>
      <c r="BU64" s="245"/>
      <c r="BV64" s="245"/>
      <c r="BW64" s="245"/>
    </row>
    <row r="65" spans="2:75">
      <c r="B65" s="245"/>
      <c r="C65" s="245"/>
      <c r="D65" s="245"/>
      <c r="E65" s="245"/>
      <c r="F65" s="245"/>
      <c r="G65" s="245"/>
      <c r="H65" s="245"/>
      <c r="I65" s="245"/>
      <c r="J65" s="245"/>
      <c r="K65" s="245"/>
      <c r="L65" s="245"/>
      <c r="M65" s="245"/>
      <c r="N65" s="245"/>
      <c r="O65" s="245"/>
      <c r="P65" s="245"/>
      <c r="Q65" s="245"/>
      <c r="R65" s="245"/>
      <c r="S65" s="245"/>
      <c r="T65" s="245"/>
      <c r="U65" s="245"/>
      <c r="V65" s="245"/>
      <c r="W65" s="245"/>
      <c r="X65" s="245"/>
      <c r="Y65" s="245"/>
      <c r="Z65" s="245"/>
      <c r="AA65" s="245"/>
      <c r="AB65" s="245"/>
      <c r="AC65" s="245"/>
      <c r="AD65" s="245"/>
      <c r="AE65" s="245"/>
      <c r="AF65" s="245"/>
      <c r="AG65" s="245"/>
      <c r="AH65" s="245"/>
      <c r="AI65" s="245"/>
      <c r="AJ65" s="245"/>
      <c r="AK65" s="245"/>
      <c r="AL65" s="245"/>
      <c r="AM65" s="245"/>
      <c r="AN65" s="245"/>
      <c r="AO65" s="245"/>
      <c r="AP65" s="245"/>
      <c r="AQ65" s="245"/>
      <c r="AR65" s="245"/>
      <c r="AS65" s="245"/>
      <c r="AT65" s="245"/>
      <c r="AU65" s="245"/>
      <c r="AV65" s="245"/>
      <c r="AW65" s="245"/>
      <c r="AX65" s="245"/>
      <c r="AY65" s="245"/>
      <c r="AZ65" s="245"/>
      <c r="BA65" s="245"/>
      <c r="BB65" s="245"/>
      <c r="BC65" s="245"/>
      <c r="BD65" s="245"/>
      <c r="BE65" s="245"/>
      <c r="BF65" s="245"/>
      <c r="BG65" s="245"/>
      <c r="BH65" s="245"/>
      <c r="BI65" s="245"/>
      <c r="BJ65" s="245"/>
      <c r="BK65" s="245"/>
      <c r="BL65" s="245"/>
      <c r="BM65" s="245"/>
      <c r="BN65" s="245"/>
      <c r="BO65" s="245"/>
      <c r="BP65" s="245"/>
      <c r="BQ65" s="245"/>
      <c r="BR65" s="245"/>
      <c r="BS65" s="245"/>
      <c r="BT65" s="245"/>
      <c r="BU65" s="245"/>
      <c r="BV65" s="245"/>
      <c r="BW65" s="245"/>
    </row>
    <row r="66" spans="2:75">
      <c r="B66" s="245"/>
      <c r="C66" s="245"/>
      <c r="D66" s="245"/>
      <c r="E66" s="245"/>
      <c r="F66" s="245"/>
      <c r="G66" s="245"/>
      <c r="H66" s="245"/>
      <c r="I66" s="245"/>
      <c r="J66" s="245"/>
      <c r="K66" s="245"/>
      <c r="L66" s="245"/>
      <c r="M66" s="245"/>
      <c r="N66" s="245"/>
      <c r="O66" s="245"/>
      <c r="P66" s="245"/>
      <c r="Q66" s="245"/>
      <c r="R66" s="245"/>
      <c r="S66" s="245"/>
      <c r="T66" s="245"/>
      <c r="U66" s="245"/>
      <c r="V66" s="245"/>
      <c r="W66" s="245"/>
      <c r="X66" s="245"/>
      <c r="Y66" s="245"/>
      <c r="Z66" s="245"/>
      <c r="AA66" s="245"/>
      <c r="AB66" s="245"/>
      <c r="AC66" s="245"/>
      <c r="AD66" s="245"/>
      <c r="AE66" s="245"/>
      <c r="AF66" s="245"/>
      <c r="AG66" s="245"/>
      <c r="AH66" s="245"/>
      <c r="AI66" s="245"/>
      <c r="AJ66" s="245"/>
      <c r="AK66" s="245"/>
      <c r="AL66" s="245"/>
      <c r="AM66" s="245"/>
      <c r="AN66" s="245"/>
      <c r="AO66" s="245"/>
      <c r="AP66" s="245"/>
      <c r="AQ66" s="245"/>
      <c r="AR66" s="245"/>
      <c r="AS66" s="245"/>
      <c r="AT66" s="245"/>
      <c r="AU66" s="245"/>
      <c r="AV66" s="245"/>
      <c r="AW66" s="245"/>
      <c r="AX66" s="245"/>
      <c r="AY66" s="245"/>
      <c r="AZ66" s="245"/>
      <c r="BA66" s="245"/>
      <c r="BB66" s="245"/>
      <c r="BC66" s="245"/>
      <c r="BD66" s="245"/>
      <c r="BE66" s="245"/>
      <c r="BF66" s="245"/>
      <c r="BG66" s="245"/>
      <c r="BH66" s="245"/>
      <c r="BI66" s="245"/>
      <c r="BJ66" s="245"/>
      <c r="BK66" s="245"/>
      <c r="BL66" s="245"/>
      <c r="BM66" s="245"/>
      <c r="BN66" s="245"/>
      <c r="BO66" s="245"/>
      <c r="BP66" s="245"/>
      <c r="BQ66" s="245"/>
      <c r="BR66" s="245"/>
      <c r="BS66" s="245"/>
      <c r="BT66" s="245"/>
      <c r="BU66" s="245"/>
      <c r="BV66" s="245"/>
      <c r="BW66" s="245"/>
    </row>
    <row r="67" spans="2:75">
      <c r="B67" s="245"/>
      <c r="C67" s="245"/>
      <c r="D67" s="245"/>
      <c r="E67" s="245"/>
      <c r="F67" s="245"/>
      <c r="G67" s="245"/>
      <c r="H67" s="245"/>
      <c r="I67" s="245"/>
      <c r="J67" s="245"/>
      <c r="K67" s="245"/>
      <c r="L67" s="245"/>
      <c r="M67" s="245"/>
      <c r="N67" s="245"/>
      <c r="O67" s="245"/>
      <c r="P67" s="245"/>
      <c r="Q67" s="245"/>
      <c r="R67" s="245"/>
      <c r="S67" s="245"/>
      <c r="T67" s="245"/>
      <c r="U67" s="245"/>
      <c r="V67" s="245"/>
      <c r="W67" s="245"/>
      <c r="X67" s="245"/>
      <c r="Y67" s="245"/>
      <c r="Z67" s="245"/>
      <c r="AA67" s="245"/>
      <c r="AB67" s="245"/>
      <c r="AC67" s="245"/>
      <c r="AD67" s="245"/>
      <c r="AE67" s="245"/>
      <c r="AF67" s="245"/>
      <c r="AG67" s="245"/>
      <c r="AH67" s="245"/>
      <c r="AI67" s="245"/>
      <c r="AJ67" s="245"/>
      <c r="AK67" s="245"/>
      <c r="AL67" s="245"/>
      <c r="AM67" s="245"/>
      <c r="AN67" s="245"/>
      <c r="AO67" s="245"/>
      <c r="AP67" s="245"/>
      <c r="AQ67" s="245"/>
      <c r="AR67" s="245"/>
      <c r="AS67" s="245"/>
      <c r="AT67" s="245"/>
      <c r="AU67" s="245"/>
      <c r="AV67" s="245"/>
      <c r="AW67" s="245"/>
      <c r="AX67" s="245"/>
      <c r="AY67" s="245"/>
      <c r="AZ67" s="245"/>
      <c r="BA67" s="245"/>
      <c r="BB67" s="245"/>
      <c r="BC67" s="245"/>
      <c r="BD67" s="245"/>
      <c r="BE67" s="245"/>
      <c r="BF67" s="245"/>
      <c r="BG67" s="245"/>
      <c r="BH67" s="245"/>
      <c r="BI67" s="245"/>
      <c r="BJ67" s="245"/>
      <c r="BK67" s="245"/>
      <c r="BL67" s="245"/>
      <c r="BM67" s="245"/>
      <c r="BN67" s="245"/>
      <c r="BO67" s="245"/>
      <c r="BP67" s="245"/>
      <c r="BQ67" s="245"/>
      <c r="BR67" s="245"/>
      <c r="BS67" s="245"/>
      <c r="BT67" s="245"/>
      <c r="BU67" s="245"/>
      <c r="BV67" s="245"/>
      <c r="BW67" s="245"/>
    </row>
    <row r="68" spans="2:75">
      <c r="B68" s="245"/>
      <c r="C68" s="245"/>
      <c r="D68" s="245"/>
      <c r="E68" s="245"/>
      <c r="F68" s="245"/>
      <c r="G68" s="245"/>
      <c r="H68" s="245"/>
      <c r="I68" s="245"/>
      <c r="J68" s="245"/>
      <c r="K68" s="245"/>
      <c r="L68" s="245"/>
      <c r="M68" s="245"/>
      <c r="N68" s="245"/>
      <c r="O68" s="245"/>
      <c r="P68" s="245"/>
      <c r="Q68" s="245"/>
      <c r="R68" s="245"/>
      <c r="S68" s="245"/>
      <c r="T68" s="245"/>
      <c r="U68" s="245"/>
      <c r="V68" s="245"/>
      <c r="W68" s="245"/>
      <c r="X68" s="245"/>
      <c r="Y68" s="245"/>
      <c r="Z68" s="245"/>
      <c r="AA68" s="245"/>
      <c r="AB68" s="245"/>
      <c r="AC68" s="245"/>
      <c r="AD68" s="245"/>
      <c r="AE68" s="245"/>
      <c r="AF68" s="245"/>
      <c r="AG68" s="245"/>
      <c r="AH68" s="245"/>
      <c r="AI68" s="245"/>
      <c r="AJ68" s="245"/>
      <c r="AK68" s="245"/>
      <c r="AL68" s="245"/>
      <c r="AM68" s="245"/>
      <c r="AN68" s="245"/>
      <c r="AO68" s="245"/>
      <c r="AP68" s="245"/>
      <c r="AQ68" s="245"/>
      <c r="AR68" s="245"/>
      <c r="AS68" s="245"/>
      <c r="AT68" s="245"/>
      <c r="AU68" s="245"/>
      <c r="AV68" s="245"/>
      <c r="AW68" s="245"/>
      <c r="AX68" s="245"/>
      <c r="AY68" s="245"/>
      <c r="AZ68" s="245"/>
      <c r="BA68" s="245"/>
      <c r="BB68" s="245"/>
      <c r="BC68" s="245"/>
      <c r="BD68" s="245"/>
      <c r="BE68" s="245"/>
      <c r="BF68" s="245"/>
      <c r="BG68" s="245"/>
      <c r="BH68" s="245"/>
      <c r="BI68" s="245"/>
      <c r="BJ68" s="245"/>
      <c r="BK68" s="245"/>
      <c r="BL68" s="245"/>
      <c r="BM68" s="245"/>
      <c r="BN68" s="245"/>
      <c r="BO68" s="245"/>
      <c r="BP68" s="245"/>
      <c r="BQ68" s="245"/>
      <c r="BR68" s="245"/>
      <c r="BS68" s="245"/>
      <c r="BT68" s="245"/>
      <c r="BU68" s="245"/>
      <c r="BV68" s="245"/>
      <c r="BW68" s="245"/>
    </row>
    <row r="69" spans="2:75">
      <c r="B69" s="245"/>
      <c r="C69" s="245"/>
      <c r="D69" s="245"/>
      <c r="E69" s="245"/>
      <c r="F69" s="245"/>
      <c r="G69" s="245"/>
      <c r="H69" s="245"/>
      <c r="I69" s="245"/>
      <c r="J69" s="245"/>
      <c r="K69" s="245"/>
      <c r="L69" s="245"/>
      <c r="M69" s="245"/>
      <c r="N69" s="245"/>
      <c r="O69" s="245"/>
      <c r="P69" s="245"/>
      <c r="Q69" s="245"/>
      <c r="R69" s="245"/>
      <c r="S69" s="245"/>
      <c r="T69" s="245"/>
      <c r="U69" s="245"/>
      <c r="V69" s="245"/>
      <c r="W69" s="245"/>
      <c r="X69" s="245"/>
      <c r="Y69" s="245"/>
      <c r="Z69" s="245"/>
      <c r="AA69" s="245"/>
      <c r="AB69" s="245"/>
      <c r="AC69" s="245"/>
      <c r="AD69" s="245"/>
      <c r="AE69" s="245"/>
      <c r="AF69" s="245"/>
      <c r="AG69" s="245"/>
      <c r="AH69" s="245"/>
      <c r="AI69" s="245"/>
      <c r="AJ69" s="245"/>
      <c r="AK69" s="245"/>
      <c r="AL69" s="245"/>
      <c r="AM69" s="245"/>
      <c r="AN69" s="245"/>
      <c r="AO69" s="245"/>
      <c r="AP69" s="245"/>
      <c r="AQ69" s="245"/>
      <c r="AR69" s="245"/>
      <c r="AS69" s="245"/>
      <c r="AT69" s="245"/>
      <c r="AU69" s="245"/>
      <c r="AV69" s="245"/>
      <c r="AW69" s="245"/>
      <c r="AX69" s="245"/>
      <c r="AY69" s="245"/>
      <c r="AZ69" s="245"/>
      <c r="BA69" s="245"/>
      <c r="BB69" s="245"/>
      <c r="BC69" s="245"/>
      <c r="BD69" s="245"/>
      <c r="BE69" s="245"/>
      <c r="BF69" s="245"/>
      <c r="BG69" s="245"/>
      <c r="BH69" s="245"/>
      <c r="BI69" s="245"/>
      <c r="BJ69" s="245"/>
      <c r="BK69" s="245"/>
      <c r="BL69" s="245"/>
      <c r="BM69" s="245"/>
      <c r="BN69" s="245"/>
      <c r="BO69" s="245"/>
      <c r="BP69" s="245"/>
      <c r="BQ69" s="245"/>
      <c r="BR69" s="245"/>
      <c r="BS69" s="245"/>
      <c r="BT69" s="245"/>
      <c r="BU69" s="245"/>
      <c r="BV69" s="245"/>
      <c r="BW69" s="245"/>
    </row>
    <row r="70" spans="2:75">
      <c r="B70" s="245"/>
      <c r="C70" s="245"/>
      <c r="D70" s="245"/>
      <c r="E70" s="245"/>
      <c r="F70" s="245"/>
      <c r="G70" s="245"/>
      <c r="H70" s="245"/>
      <c r="I70" s="245"/>
      <c r="J70" s="245"/>
      <c r="K70" s="245"/>
      <c r="L70" s="245"/>
      <c r="M70" s="245"/>
      <c r="N70" s="245"/>
      <c r="O70" s="245"/>
      <c r="P70" s="245"/>
      <c r="Q70" s="245"/>
      <c r="R70" s="245"/>
      <c r="S70" s="245"/>
      <c r="T70" s="245"/>
      <c r="U70" s="245"/>
      <c r="V70" s="245"/>
      <c r="W70" s="245"/>
      <c r="X70" s="245"/>
      <c r="Y70" s="245"/>
      <c r="Z70" s="245"/>
      <c r="AA70" s="245"/>
      <c r="AB70" s="245"/>
      <c r="AC70" s="245"/>
      <c r="AD70" s="245"/>
      <c r="AE70" s="245"/>
      <c r="AF70" s="245"/>
      <c r="AG70" s="245"/>
      <c r="AH70" s="245"/>
      <c r="AI70" s="245"/>
      <c r="AJ70" s="245"/>
      <c r="AK70" s="245"/>
      <c r="AL70" s="245"/>
      <c r="AM70" s="245"/>
      <c r="AN70" s="245"/>
      <c r="AO70" s="245"/>
      <c r="AP70" s="245"/>
      <c r="AQ70" s="245"/>
      <c r="AR70" s="245"/>
      <c r="AS70" s="245"/>
      <c r="AT70" s="245"/>
      <c r="AU70" s="245"/>
      <c r="AV70" s="245"/>
      <c r="AW70" s="245"/>
      <c r="AX70" s="245"/>
      <c r="AY70" s="245"/>
      <c r="AZ70" s="245"/>
      <c r="BA70" s="245"/>
      <c r="BB70" s="245"/>
      <c r="BC70" s="245"/>
      <c r="BD70" s="245"/>
      <c r="BE70" s="245"/>
      <c r="BF70" s="245"/>
      <c r="BG70" s="245"/>
      <c r="BH70" s="245"/>
      <c r="BI70" s="245"/>
      <c r="BJ70" s="245"/>
      <c r="BK70" s="245"/>
      <c r="BL70" s="245"/>
      <c r="BM70" s="245"/>
      <c r="BN70" s="245"/>
      <c r="BO70" s="245"/>
      <c r="BP70" s="245"/>
      <c r="BQ70" s="245"/>
      <c r="BR70" s="245"/>
      <c r="BS70" s="245"/>
      <c r="BT70" s="245"/>
      <c r="BU70" s="245"/>
      <c r="BV70" s="245"/>
      <c r="BW70" s="245"/>
    </row>
    <row r="71" spans="2:75">
      <c r="B71" s="245"/>
      <c r="C71" s="245"/>
      <c r="D71" s="245"/>
      <c r="E71" s="245"/>
      <c r="F71" s="245"/>
      <c r="G71" s="245"/>
      <c r="H71" s="245"/>
      <c r="I71" s="245"/>
      <c r="J71" s="245"/>
      <c r="K71" s="245"/>
      <c r="L71" s="245"/>
      <c r="M71" s="245"/>
      <c r="N71" s="245"/>
      <c r="O71" s="245"/>
      <c r="P71" s="245"/>
      <c r="Q71" s="245"/>
      <c r="R71" s="245"/>
      <c r="S71" s="245"/>
      <c r="T71" s="245"/>
      <c r="U71" s="245"/>
      <c r="V71" s="245"/>
      <c r="W71" s="245"/>
      <c r="X71" s="245"/>
      <c r="Y71" s="245"/>
      <c r="Z71" s="245"/>
      <c r="AA71" s="245"/>
      <c r="AB71" s="245"/>
      <c r="AC71" s="245"/>
      <c r="AD71" s="245"/>
      <c r="AE71" s="245"/>
      <c r="AF71" s="245"/>
      <c r="AG71" s="245"/>
      <c r="AH71" s="245"/>
      <c r="AI71" s="245"/>
      <c r="AJ71" s="245"/>
      <c r="AK71" s="245"/>
      <c r="AL71" s="245"/>
      <c r="AM71" s="245"/>
      <c r="AN71" s="245"/>
      <c r="AO71" s="245"/>
      <c r="AP71" s="245"/>
      <c r="AQ71" s="245"/>
      <c r="AR71" s="245"/>
      <c r="AS71" s="245"/>
      <c r="AT71" s="245"/>
      <c r="AU71" s="245"/>
      <c r="AV71" s="245"/>
      <c r="AW71" s="245"/>
      <c r="AX71" s="245"/>
      <c r="AY71" s="245"/>
      <c r="AZ71" s="245"/>
      <c r="BA71" s="245"/>
      <c r="BB71" s="245"/>
      <c r="BC71" s="245"/>
      <c r="BD71" s="245"/>
      <c r="BE71" s="245"/>
      <c r="BF71" s="245"/>
      <c r="BG71" s="245"/>
      <c r="BH71" s="245"/>
      <c r="BI71" s="245"/>
      <c r="BJ71" s="245"/>
      <c r="BK71" s="245"/>
      <c r="BL71" s="245"/>
      <c r="BM71" s="245"/>
      <c r="BN71" s="245"/>
      <c r="BO71" s="245"/>
      <c r="BP71" s="245"/>
      <c r="BQ71" s="245"/>
      <c r="BR71" s="245"/>
      <c r="BS71" s="245"/>
      <c r="BT71" s="245"/>
      <c r="BU71" s="245"/>
      <c r="BV71" s="245"/>
      <c r="BW71" s="245"/>
    </row>
    <row r="72" spans="2:75">
      <c r="B72" s="245"/>
    </row>
  </sheetData>
  <mergeCells count="125">
    <mergeCell ref="AY1:AZ1"/>
    <mergeCell ref="BF1:BH1"/>
    <mergeCell ref="BN1:BO1"/>
    <mergeCell ref="BU1:BW1"/>
    <mergeCell ref="AC2:AD2"/>
    <mergeCell ref="A3:A6"/>
    <mergeCell ref="B3:C3"/>
    <mergeCell ref="D3:E3"/>
    <mergeCell ref="F3:G3"/>
    <mergeCell ref="H3:I3"/>
    <mergeCell ref="F1:G1"/>
    <mergeCell ref="M1:O1"/>
    <mergeCell ref="U1:V1"/>
    <mergeCell ref="AB1:AD1"/>
    <mergeCell ref="AJ1:AK1"/>
    <mergeCell ref="AQ1:AS1"/>
    <mergeCell ref="J3:K3"/>
    <mergeCell ref="L3:M3"/>
    <mergeCell ref="N3:O3"/>
    <mergeCell ref="P3:P6"/>
    <mergeCell ref="Q3:R3"/>
    <mergeCell ref="S3:T3"/>
    <mergeCell ref="M4:M5"/>
    <mergeCell ref="N4:N5"/>
    <mergeCell ref="BT3:BU3"/>
    <mergeCell ref="BV3:BW3"/>
    <mergeCell ref="B4:B5"/>
    <mergeCell ref="C4:C5"/>
    <mergeCell ref="D4:D5"/>
    <mergeCell ref="E4:E5"/>
    <mergeCell ref="F4:F5"/>
    <mergeCell ref="BC3:BD3"/>
    <mergeCell ref="BE3:BF3"/>
    <mergeCell ref="BG3:BH3"/>
    <mergeCell ref="BI3:BI6"/>
    <mergeCell ref="BJ3:BK3"/>
    <mergeCell ref="BL3:BM3"/>
    <mergeCell ref="BF4:BF5"/>
    <mergeCell ref="BG4:BG5"/>
    <mergeCell ref="BH4:BH5"/>
    <mergeCell ref="BJ4:BJ5"/>
    <mergeCell ref="AR3:AS3"/>
    <mergeCell ref="AT3:AT6"/>
    <mergeCell ref="AU3:AV3"/>
    <mergeCell ref="AW3:AX3"/>
    <mergeCell ref="AY3:AZ3"/>
    <mergeCell ref="G4:G5"/>
    <mergeCell ref="H4:H5"/>
    <mergeCell ref="I4:I5"/>
    <mergeCell ref="J4:J5"/>
    <mergeCell ref="K4:K5"/>
    <mergeCell ref="L4:L5"/>
    <mergeCell ref="BN3:BO3"/>
    <mergeCell ref="U3:V3"/>
    <mergeCell ref="W3:X3"/>
    <mergeCell ref="Y3:Z3"/>
    <mergeCell ref="AA3:AB3"/>
    <mergeCell ref="AC3:AD3"/>
    <mergeCell ref="AE3:AE6"/>
    <mergeCell ref="AB4:AB5"/>
    <mergeCell ref="AC4:AC5"/>
    <mergeCell ref="AD4:AD5"/>
    <mergeCell ref="R4:R5"/>
    <mergeCell ref="S4:S5"/>
    <mergeCell ref="T4:T5"/>
    <mergeCell ref="U4:U5"/>
    <mergeCell ref="V4:V5"/>
    <mergeCell ref="W4:W5"/>
    <mergeCell ref="O4:O5"/>
    <mergeCell ref="Q4:Q5"/>
    <mergeCell ref="X4:X5"/>
    <mergeCell ref="Y4:Y5"/>
    <mergeCell ref="BP3:BQ3"/>
    <mergeCell ref="BR3:BS3"/>
    <mergeCell ref="AW4:AW5"/>
    <mergeCell ref="AX4:AX5"/>
    <mergeCell ref="AY4:AY5"/>
    <mergeCell ref="AF3:AG3"/>
    <mergeCell ref="AH3:AI3"/>
    <mergeCell ref="AJ3:AK3"/>
    <mergeCell ref="AL3:AM3"/>
    <mergeCell ref="AN3:AO3"/>
    <mergeCell ref="AP3:AQ3"/>
    <mergeCell ref="AF4:AF5"/>
    <mergeCell ref="AG4:AG5"/>
    <mergeCell ref="AH4:AH5"/>
    <mergeCell ref="BA3:BB3"/>
    <mergeCell ref="AV4:AV5"/>
    <mergeCell ref="Z4:Z5"/>
    <mergeCell ref="AA4:AA5"/>
    <mergeCell ref="AP4:AP5"/>
    <mergeCell ref="AQ4:AQ5"/>
    <mergeCell ref="AR4:AR5"/>
    <mergeCell ref="AS4:AS5"/>
    <mergeCell ref="AU4:AU5"/>
    <mergeCell ref="AI4:AI5"/>
    <mergeCell ref="AJ4:AJ5"/>
    <mergeCell ref="AK4:AK5"/>
    <mergeCell ref="AL4:AL5"/>
    <mergeCell ref="AM4:AM5"/>
    <mergeCell ref="AN4:AN5"/>
    <mergeCell ref="BW4:BW5"/>
    <mergeCell ref="I42:M42"/>
    <mergeCell ref="Q42:V42"/>
    <mergeCell ref="AF42:AK42"/>
    <mergeCell ref="AU42:AZ42"/>
    <mergeCell ref="BQ4:BQ5"/>
    <mergeCell ref="BR4:BR5"/>
    <mergeCell ref="BS4:BS5"/>
    <mergeCell ref="BT4:BT5"/>
    <mergeCell ref="BU4:BU5"/>
    <mergeCell ref="BV4:BV5"/>
    <mergeCell ref="BK4:BK5"/>
    <mergeCell ref="BL4:BL5"/>
    <mergeCell ref="BM4:BM5"/>
    <mergeCell ref="BN4:BN5"/>
    <mergeCell ref="BO4:BO5"/>
    <mergeCell ref="BP4:BP5"/>
    <mergeCell ref="AZ4:AZ5"/>
    <mergeCell ref="BA4:BA5"/>
    <mergeCell ref="BB4:BB5"/>
    <mergeCell ref="BC4:BC5"/>
    <mergeCell ref="BD4:BD5"/>
    <mergeCell ref="BE4:BE5"/>
    <mergeCell ref="AO4:AO5"/>
  </mergeCells>
  <pageMargins left="0.70866141732283505" right="0.70866141732283505" top="0.74803149606299202" bottom="0.74803149606299202" header="0.31496062992126" footer="0.511811023622047"/>
  <pageSetup paperSize="448" firstPageNumber="86" orientation="portrait" useFirstPageNumber="1" r:id="rId1"/>
  <headerFooter>
    <oddFooter>&amp;C&amp;"Times New Roman,Regular"&amp;8&amp;P</oddFooter>
  </headerFooter>
</worksheet>
</file>

<file path=xl/worksheets/sheet34.xml><?xml version="1.0" encoding="utf-8"?>
<worksheet xmlns="http://schemas.openxmlformats.org/spreadsheetml/2006/main" xmlns:r="http://schemas.openxmlformats.org/officeDocument/2006/relationships">
  <sheetPr codeName="Sheet34"/>
  <dimension ref="A1:AJ66"/>
  <sheetViews>
    <sheetView zoomScale="130" zoomScaleNormal="130" workbookViewId="0">
      <pane xSplit="1" ySplit="3" topLeftCell="Y31" activePane="bottomRight" state="frozen"/>
      <selection pane="topRight" activeCell="B1" sqref="B1"/>
      <selection pane="bottomLeft" activeCell="A4" sqref="A4"/>
      <selection pane="bottomRight" activeCell="AH43" sqref="AH43"/>
    </sheetView>
  </sheetViews>
  <sheetFormatPr defaultColWidth="9.140625" defaultRowHeight="11.25"/>
  <cols>
    <col min="1" max="1" width="12.7109375" style="10" customWidth="1"/>
    <col min="2" max="2" width="9.42578125" style="10" customWidth="1"/>
    <col min="3" max="3" width="10.140625" style="10" customWidth="1"/>
    <col min="4" max="4" width="9.140625" style="10" customWidth="1"/>
    <col min="5" max="5" width="8.140625" style="10" customWidth="1"/>
    <col min="6" max="6" width="8.85546875" style="10" customWidth="1"/>
    <col min="7" max="7" width="8.42578125" style="10" customWidth="1"/>
    <col min="8" max="8" width="7.7109375" style="10" customWidth="1"/>
    <col min="9" max="9" width="8.42578125" style="10" customWidth="1"/>
    <col min="10" max="10" width="7.28515625" style="10" customWidth="1"/>
    <col min="11" max="11" width="7.140625" style="10" customWidth="1"/>
    <col min="12" max="12" width="7.7109375" style="10" customWidth="1"/>
    <col min="13" max="13" width="7.85546875" style="10" customWidth="1"/>
    <col min="14" max="14" width="7.5703125" style="10" customWidth="1"/>
    <col min="15" max="15" width="7.42578125" style="10" customWidth="1"/>
    <col min="16" max="17" width="7.28515625" style="10" customWidth="1"/>
    <col min="18" max="18" width="9" style="10" customWidth="1"/>
    <col min="19" max="19" width="9.28515625" style="10" customWidth="1"/>
    <col min="20" max="20" width="8.28515625" style="10" customWidth="1"/>
    <col min="21" max="21" width="8.42578125" style="10" customWidth="1"/>
    <col min="22" max="22" width="8.5703125" style="10" customWidth="1"/>
    <col min="23" max="23" width="8.28515625" style="10" customWidth="1"/>
    <col min="24" max="24" width="8.85546875" style="10" customWidth="1"/>
    <col min="25" max="25" width="8.140625" style="10" customWidth="1"/>
    <col min="26" max="26" width="8.5703125" style="10" customWidth="1"/>
    <col min="27" max="27" width="9" style="10" customWidth="1"/>
    <col min="28" max="28" width="9.140625" style="10" customWidth="1"/>
    <col min="29" max="29" width="8.5703125" style="10" customWidth="1"/>
    <col min="30" max="30" width="9.42578125" style="10" customWidth="1"/>
    <col min="31" max="31" width="9" style="10" customWidth="1"/>
    <col min="32" max="32" width="8.28515625" style="10" customWidth="1"/>
    <col min="33" max="33" width="7.7109375" style="10" customWidth="1"/>
    <col min="34" max="34" width="8.5703125" style="10" customWidth="1"/>
    <col min="35" max="35" width="7.42578125" style="10" customWidth="1"/>
    <col min="36" max="36" width="8.5703125" style="10" customWidth="1"/>
    <col min="37" max="37" width="10" style="10" customWidth="1"/>
    <col min="38" max="38" width="13.28515625" style="10" customWidth="1"/>
    <col min="39" max="39" width="15.42578125" style="10" customWidth="1"/>
    <col min="40" max="40" width="12.7109375" style="10" customWidth="1"/>
    <col min="41" max="42" width="9.140625" style="10"/>
    <col min="43" max="43" width="12.140625" style="10" customWidth="1"/>
    <col min="44" max="16384" width="9.140625" style="10"/>
  </cols>
  <sheetData>
    <row r="1" spans="1:36" s="192" customFormat="1" ht="15" customHeight="1">
      <c r="A1" s="2224" t="s">
        <v>533</v>
      </c>
      <c r="B1" s="2224"/>
      <c r="C1" s="2224"/>
      <c r="D1" s="2224"/>
      <c r="E1" s="2224"/>
      <c r="F1" s="2224"/>
      <c r="G1" s="2224"/>
      <c r="H1" s="2224"/>
      <c r="I1" s="2225" t="s">
        <v>534</v>
      </c>
      <c r="J1" s="2225"/>
      <c r="K1" s="2225"/>
      <c r="L1" s="2225"/>
      <c r="M1" s="2225"/>
      <c r="N1" s="2225"/>
      <c r="O1" s="527"/>
      <c r="P1" s="2223" t="s">
        <v>1823</v>
      </c>
      <c r="Q1" s="2223"/>
      <c r="R1" s="2223"/>
      <c r="S1" s="2224" t="s">
        <v>1359</v>
      </c>
      <c r="T1" s="2224"/>
      <c r="U1" s="2224"/>
      <c r="V1" s="2224"/>
      <c r="W1" s="2224"/>
      <c r="X1" s="2224"/>
      <c r="Y1" s="2224"/>
      <c r="Z1" s="2224"/>
      <c r="AA1" s="2224"/>
      <c r="AB1" s="2225" t="s">
        <v>534</v>
      </c>
      <c r="AC1" s="2225"/>
      <c r="AD1" s="2225"/>
      <c r="AE1" s="2225"/>
      <c r="AF1" s="2225"/>
      <c r="AG1" s="527"/>
      <c r="AH1" s="2223" t="s">
        <v>1824</v>
      </c>
      <c r="AI1" s="2223"/>
      <c r="AJ1" s="2223"/>
    </row>
    <row r="2" spans="1:36" s="23" customFormat="1" ht="10.5" customHeight="1">
      <c r="A2" s="62"/>
      <c r="B2" s="62"/>
      <c r="C2" s="62"/>
      <c r="E2" s="180"/>
      <c r="H2" s="96"/>
      <c r="I2" s="106"/>
      <c r="J2" s="96"/>
      <c r="K2" s="96"/>
      <c r="L2" s="96"/>
      <c r="M2" s="96"/>
      <c r="N2" s="96"/>
      <c r="O2" s="62"/>
      <c r="P2" s="62"/>
      <c r="Q2" s="2200" t="s">
        <v>893</v>
      </c>
      <c r="R2" s="2200"/>
      <c r="W2" s="180"/>
      <c r="AI2" s="2200" t="s">
        <v>893</v>
      </c>
      <c r="AJ2" s="2200"/>
    </row>
    <row r="3" spans="1:36" s="122" customFormat="1" ht="39" customHeight="1">
      <c r="A3" s="27" t="s">
        <v>1497</v>
      </c>
      <c r="B3" s="27" t="s">
        <v>894</v>
      </c>
      <c r="C3" s="27" t="s">
        <v>618</v>
      </c>
      <c r="D3" s="27" t="s">
        <v>774</v>
      </c>
      <c r="E3" s="27" t="s">
        <v>775</v>
      </c>
      <c r="F3" s="27" t="s">
        <v>1341</v>
      </c>
      <c r="G3" s="27" t="s">
        <v>1342</v>
      </c>
      <c r="H3" s="27" t="s">
        <v>513</v>
      </c>
      <c r="I3" s="27" t="s">
        <v>1343</v>
      </c>
      <c r="J3" s="27" t="s">
        <v>777</v>
      </c>
      <c r="K3" s="27" t="s">
        <v>1344</v>
      </c>
      <c r="L3" s="27" t="s">
        <v>294</v>
      </c>
      <c r="M3" s="27" t="s">
        <v>1345</v>
      </c>
      <c r="N3" s="27" t="s">
        <v>1346</v>
      </c>
      <c r="O3" s="27" t="s">
        <v>1347</v>
      </c>
      <c r="P3" s="27" t="s">
        <v>1348</v>
      </c>
      <c r="Q3" s="27" t="s">
        <v>780</v>
      </c>
      <c r="R3" s="27" t="s">
        <v>781</v>
      </c>
      <c r="S3" s="27" t="s">
        <v>1494</v>
      </c>
      <c r="T3" s="1196" t="s">
        <v>782</v>
      </c>
      <c r="U3" s="27" t="s">
        <v>783</v>
      </c>
      <c r="V3" s="27" t="s">
        <v>1349</v>
      </c>
      <c r="W3" s="1196" t="s">
        <v>785</v>
      </c>
      <c r="X3" s="27" t="s">
        <v>1194</v>
      </c>
      <c r="Y3" s="27" t="s">
        <v>1350</v>
      </c>
      <c r="Z3" s="27" t="s">
        <v>1351</v>
      </c>
      <c r="AA3" s="27" t="s">
        <v>619</v>
      </c>
      <c r="AB3" s="27" t="s">
        <v>1352</v>
      </c>
      <c r="AC3" s="27" t="s">
        <v>1353</v>
      </c>
      <c r="AD3" s="125" t="s">
        <v>1354</v>
      </c>
      <c r="AE3" s="27" t="s">
        <v>1195</v>
      </c>
      <c r="AF3" s="27" t="s">
        <v>896</v>
      </c>
      <c r="AG3" s="1103" t="s">
        <v>791</v>
      </c>
      <c r="AH3" s="27" t="s">
        <v>1355</v>
      </c>
      <c r="AI3" s="1103" t="s">
        <v>2194</v>
      </c>
      <c r="AJ3" s="1103" t="s">
        <v>2193</v>
      </c>
    </row>
    <row r="4" spans="1:36" ht="15" customHeight="1">
      <c r="A4" s="12" t="s">
        <v>549</v>
      </c>
      <c r="B4" s="21">
        <v>13.2</v>
      </c>
      <c r="C4" s="21">
        <v>0.42</v>
      </c>
      <c r="D4" s="21">
        <v>0.41</v>
      </c>
      <c r="E4" s="21">
        <v>5.37</v>
      </c>
      <c r="F4" s="21">
        <v>11.03</v>
      </c>
      <c r="G4" s="21">
        <v>16.41</v>
      </c>
      <c r="H4" s="21">
        <v>16.670000000000002</v>
      </c>
      <c r="I4" s="21">
        <v>1.1499999999999999</v>
      </c>
      <c r="J4" s="21">
        <v>-5.29</v>
      </c>
      <c r="K4" s="21">
        <v>-2.06</v>
      </c>
      <c r="L4" s="21">
        <v>0.89</v>
      </c>
      <c r="M4" s="21">
        <v>16.16</v>
      </c>
      <c r="N4" s="21">
        <v>8.73</v>
      </c>
      <c r="O4" s="21">
        <v>5.69</v>
      </c>
      <c r="P4" s="21">
        <v>0</v>
      </c>
      <c r="Q4" s="21">
        <v>-4.0199999999999996</v>
      </c>
      <c r="R4" s="21">
        <v>-1.44</v>
      </c>
      <c r="S4" s="12" t="s">
        <v>549</v>
      </c>
      <c r="T4" s="21">
        <v>16.48</v>
      </c>
      <c r="U4" s="21">
        <v>-0.01</v>
      </c>
      <c r="V4" s="21">
        <v>-11.54</v>
      </c>
      <c r="W4" s="21">
        <v>3.53</v>
      </c>
      <c r="X4" s="242">
        <v>0.06</v>
      </c>
      <c r="Y4" s="242">
        <v>9.7899999999999991</v>
      </c>
      <c r="Z4" s="242">
        <v>0.01</v>
      </c>
      <c r="AA4" s="242">
        <v>-11.04</v>
      </c>
      <c r="AB4" s="242">
        <v>12.34</v>
      </c>
      <c r="AC4" s="242">
        <v>14.38</v>
      </c>
      <c r="AD4" s="242">
        <v>3.29</v>
      </c>
      <c r="AE4" s="242">
        <v>20.059999999999999</v>
      </c>
      <c r="AF4" s="242">
        <v>2.76</v>
      </c>
      <c r="AG4" s="242">
        <v>7.55</v>
      </c>
      <c r="AH4" s="242">
        <v>-5.43</v>
      </c>
      <c r="AI4" s="242">
        <v>-0.9</v>
      </c>
      <c r="AJ4" s="242">
        <v>-0.67</v>
      </c>
    </row>
    <row r="5" spans="1:36" ht="15" customHeight="1">
      <c r="A5" s="446" t="s">
        <v>102</v>
      </c>
      <c r="B5" s="440">
        <v>-15.831</v>
      </c>
      <c r="C5" s="440">
        <v>-0.78800000000000003</v>
      </c>
      <c r="D5" s="440">
        <v>-2.5999999999999999E-2</v>
      </c>
      <c r="E5" s="440">
        <v>-12.601000000000001</v>
      </c>
      <c r="F5" s="440">
        <v>0.39800000000000002</v>
      </c>
      <c r="G5" s="440">
        <v>-10.66</v>
      </c>
      <c r="H5" s="440">
        <v>-10.802</v>
      </c>
      <c r="I5" s="440">
        <v>0.68500000000000005</v>
      </c>
      <c r="J5" s="440">
        <v>-10.9</v>
      </c>
      <c r="K5" s="440">
        <v>-9.6910000000000007</v>
      </c>
      <c r="L5" s="440">
        <v>-7.6079999999999997</v>
      </c>
      <c r="M5" s="440">
        <v>10.449</v>
      </c>
      <c r="N5" s="440">
        <v>-8.2469999999999999</v>
      </c>
      <c r="O5" s="440">
        <v>-7.2830000000000004</v>
      </c>
      <c r="P5" s="440">
        <v>0</v>
      </c>
      <c r="Q5" s="440">
        <v>-12.002000000000001</v>
      </c>
      <c r="R5" s="440">
        <v>-14.455</v>
      </c>
      <c r="S5" s="446" t="s">
        <v>102</v>
      </c>
      <c r="T5" s="440">
        <v>-22.157</v>
      </c>
      <c r="U5" s="440">
        <v>0</v>
      </c>
      <c r="V5" s="440">
        <v>-15.763</v>
      </c>
      <c r="W5" s="440">
        <v>-7.3670999999999998</v>
      </c>
      <c r="X5" s="440">
        <v>-4.1000000000000002E-2</v>
      </c>
      <c r="Y5" s="467">
        <v>-24.79</v>
      </c>
      <c r="Z5" s="467">
        <v>0</v>
      </c>
      <c r="AA5" s="467">
        <v>-19.683</v>
      </c>
      <c r="AB5" s="467">
        <v>-6.07</v>
      </c>
      <c r="AC5" s="467">
        <v>-21.937999999999999</v>
      </c>
      <c r="AD5" s="467">
        <v>-6.3259999999999996</v>
      </c>
      <c r="AE5" s="467">
        <v>-5.9569999999999999</v>
      </c>
      <c r="AF5" s="467">
        <v>10.749000000000001</v>
      </c>
      <c r="AG5" s="467">
        <v>-4.883</v>
      </c>
      <c r="AH5" s="467">
        <v>-1.542</v>
      </c>
      <c r="AI5" s="467">
        <v>-4.0840219448168291E-3</v>
      </c>
      <c r="AJ5" s="467">
        <v>-16.933</v>
      </c>
    </row>
    <row r="6" spans="1:36" ht="15" customHeight="1">
      <c r="A6" s="11" t="s">
        <v>98</v>
      </c>
      <c r="B6" s="21">
        <v>5.01</v>
      </c>
      <c r="C6" s="21">
        <v>-0.55000000000000004</v>
      </c>
      <c r="D6" s="21">
        <v>-0.01</v>
      </c>
      <c r="E6" s="21">
        <v>9.3800000000000008</v>
      </c>
      <c r="F6" s="21">
        <v>0.6</v>
      </c>
      <c r="G6" s="21">
        <v>-13.47</v>
      </c>
      <c r="H6" s="21">
        <v>-13.43</v>
      </c>
      <c r="I6" s="21">
        <v>-0.44</v>
      </c>
      <c r="J6" s="21">
        <v>3.45</v>
      </c>
      <c r="K6" s="21">
        <v>12.64</v>
      </c>
      <c r="L6" s="21">
        <v>-0.55000000000000004</v>
      </c>
      <c r="M6" s="21">
        <v>8.43</v>
      </c>
      <c r="N6" s="21">
        <v>-0.31</v>
      </c>
      <c r="O6" s="21">
        <v>8.1999999999999993</v>
      </c>
      <c r="P6" s="21">
        <v>0</v>
      </c>
      <c r="Q6" s="21">
        <v>4.55</v>
      </c>
      <c r="R6" s="21">
        <v>6.39</v>
      </c>
      <c r="S6" s="11" t="s">
        <v>98</v>
      </c>
      <c r="T6" s="21">
        <v>-0.04</v>
      </c>
      <c r="U6" s="21">
        <v>0.01</v>
      </c>
      <c r="V6" s="21">
        <v>-4.92</v>
      </c>
      <c r="W6" s="21">
        <v>4.01</v>
      </c>
      <c r="X6" s="21">
        <v>-0.01</v>
      </c>
      <c r="Y6" s="242">
        <v>-0.52</v>
      </c>
      <c r="Z6" s="242">
        <v>-0.01</v>
      </c>
      <c r="AA6" s="242">
        <v>5.81</v>
      </c>
      <c r="AB6" s="242">
        <v>3.45</v>
      </c>
      <c r="AC6" s="242">
        <v>-1.58</v>
      </c>
      <c r="AD6" s="242">
        <v>1.3</v>
      </c>
      <c r="AE6" s="242">
        <v>0.06</v>
      </c>
      <c r="AF6" s="242">
        <v>1.92</v>
      </c>
      <c r="AG6" s="242">
        <v>-4.8499999999999996</v>
      </c>
      <c r="AH6" s="242">
        <v>5.0599999999999996</v>
      </c>
      <c r="AI6" s="242">
        <v>0</v>
      </c>
      <c r="AJ6" s="242">
        <v>-9.07</v>
      </c>
    </row>
    <row r="7" spans="1:36" ht="15" customHeight="1">
      <c r="A7" s="446" t="s">
        <v>241</v>
      </c>
      <c r="B7" s="440">
        <v>25.89</v>
      </c>
      <c r="C7" s="440">
        <v>-6.34</v>
      </c>
      <c r="D7" s="440">
        <v>-0.01</v>
      </c>
      <c r="E7" s="440">
        <v>8.98</v>
      </c>
      <c r="F7" s="440">
        <v>4.93</v>
      </c>
      <c r="G7" s="440">
        <v>18.23</v>
      </c>
      <c r="H7" s="440">
        <v>18.39</v>
      </c>
      <c r="I7" s="440">
        <v>0.01</v>
      </c>
      <c r="J7" s="440">
        <v>3.74</v>
      </c>
      <c r="K7" s="440">
        <v>5.5</v>
      </c>
      <c r="L7" s="440">
        <v>-6.22</v>
      </c>
      <c r="M7" s="440">
        <v>9.65</v>
      </c>
      <c r="N7" s="440">
        <v>5.92</v>
      </c>
      <c r="O7" s="440">
        <v>7.84</v>
      </c>
      <c r="P7" s="440">
        <v>0</v>
      </c>
      <c r="Q7" s="440">
        <v>3.05</v>
      </c>
      <c r="R7" s="440">
        <v>19.25</v>
      </c>
      <c r="S7" s="446" t="s">
        <v>241</v>
      </c>
      <c r="T7" s="440">
        <v>20.96</v>
      </c>
      <c r="U7" s="440">
        <v>0</v>
      </c>
      <c r="V7" s="440">
        <v>-0.84</v>
      </c>
      <c r="W7" s="440">
        <v>6.77</v>
      </c>
      <c r="X7" s="440">
        <v>-0.05</v>
      </c>
      <c r="Y7" s="467">
        <v>11.69</v>
      </c>
      <c r="Z7" s="467">
        <v>0.01</v>
      </c>
      <c r="AA7" s="467">
        <v>12.92</v>
      </c>
      <c r="AB7" s="467">
        <v>13.77</v>
      </c>
      <c r="AC7" s="467">
        <v>23.15</v>
      </c>
      <c r="AD7" s="467">
        <v>3.56</v>
      </c>
      <c r="AE7" s="467">
        <v>29.66</v>
      </c>
      <c r="AF7" s="467">
        <v>-1.1399999999999999</v>
      </c>
      <c r="AG7" s="467">
        <v>8.27</v>
      </c>
      <c r="AH7" s="467">
        <v>5.23</v>
      </c>
      <c r="AI7" s="467">
        <v>0</v>
      </c>
      <c r="AJ7" s="467">
        <v>6.65</v>
      </c>
    </row>
    <row r="8" spans="1:36" s="253" customFormat="1" ht="15" customHeight="1">
      <c r="A8" s="251" t="s">
        <v>1142</v>
      </c>
      <c r="B8" s="40">
        <v>-4.16</v>
      </c>
      <c r="C8" s="40">
        <v>-9.3800000000000008</v>
      </c>
      <c r="D8" s="40">
        <v>0.01</v>
      </c>
      <c r="E8" s="40">
        <v>-4.59</v>
      </c>
      <c r="F8" s="40">
        <v>2.3199999999999998</v>
      </c>
      <c r="G8" s="40">
        <v>-12.1</v>
      </c>
      <c r="H8" s="40">
        <v>-12.4</v>
      </c>
      <c r="I8" s="40">
        <v>0.38</v>
      </c>
      <c r="J8" s="40">
        <v>-19.38</v>
      </c>
      <c r="K8" s="40">
        <v>8.4700000000000006</v>
      </c>
      <c r="L8" s="40">
        <v>-13.15</v>
      </c>
      <c r="M8" s="40">
        <v>1.1100000000000001</v>
      </c>
      <c r="N8" s="40">
        <v>-1.96</v>
      </c>
      <c r="O8" s="40">
        <v>-4.7699999999999996</v>
      </c>
      <c r="P8" s="40">
        <v>0</v>
      </c>
      <c r="Q8" s="40">
        <v>-20.63</v>
      </c>
      <c r="R8" s="40">
        <v>-2.97</v>
      </c>
      <c r="S8" s="251" t="s">
        <v>1142</v>
      </c>
      <c r="T8" s="40">
        <v>-9.77</v>
      </c>
      <c r="U8" s="40">
        <v>0</v>
      </c>
      <c r="V8" s="40">
        <v>-8.94</v>
      </c>
      <c r="W8" s="40">
        <v>3.29</v>
      </c>
      <c r="X8" s="40">
        <v>0.02</v>
      </c>
      <c r="Y8" s="750">
        <v>-14.8</v>
      </c>
      <c r="Z8" s="750">
        <v>-0.01</v>
      </c>
      <c r="AA8" s="750">
        <v>-6.01</v>
      </c>
      <c r="AB8" s="750">
        <v>-2.57</v>
      </c>
      <c r="AC8" s="750">
        <v>-8.85</v>
      </c>
      <c r="AD8" s="750">
        <v>-17.760000000000002</v>
      </c>
      <c r="AE8" s="750">
        <v>-12.17</v>
      </c>
      <c r="AF8" s="750">
        <v>-25.91</v>
      </c>
      <c r="AG8" s="750">
        <v>-4.99</v>
      </c>
      <c r="AH8" s="750">
        <v>-2.56</v>
      </c>
      <c r="AI8" s="750">
        <v>0</v>
      </c>
      <c r="AJ8" s="750">
        <v>-2.48</v>
      </c>
    </row>
    <row r="9" spans="1:36" s="253" customFormat="1" ht="15" customHeight="1">
      <c r="A9" s="446" t="s">
        <v>1333</v>
      </c>
      <c r="B9" s="440">
        <v>-10.71</v>
      </c>
      <c r="C9" s="440">
        <v>5.21</v>
      </c>
      <c r="D9" s="440">
        <v>0</v>
      </c>
      <c r="E9" s="440">
        <v>-3.35</v>
      </c>
      <c r="F9" s="440">
        <v>2.37</v>
      </c>
      <c r="G9" s="440">
        <v>2.58</v>
      </c>
      <c r="H9" s="440">
        <v>2.92</v>
      </c>
      <c r="I9" s="440">
        <v>0.02</v>
      </c>
      <c r="J9" s="440">
        <v>-6.75</v>
      </c>
      <c r="K9" s="440">
        <v>-5.37</v>
      </c>
      <c r="L9" s="440">
        <v>0.04</v>
      </c>
      <c r="M9" s="440">
        <v>-19.53</v>
      </c>
      <c r="N9" s="440">
        <v>-1.86</v>
      </c>
      <c r="O9" s="440">
        <v>0.35</v>
      </c>
      <c r="P9" s="440">
        <v>0</v>
      </c>
      <c r="Q9" s="440">
        <v>-4.8600000000000003</v>
      </c>
      <c r="R9" s="440">
        <v>-3.26</v>
      </c>
      <c r="S9" s="446" t="s">
        <v>1333</v>
      </c>
      <c r="T9" s="440">
        <v>-1.79</v>
      </c>
      <c r="U9" s="440">
        <v>0</v>
      </c>
      <c r="V9" s="440">
        <v>-4.99</v>
      </c>
      <c r="W9" s="440">
        <v>-2.56</v>
      </c>
      <c r="X9" s="440">
        <v>0.01</v>
      </c>
      <c r="Y9" s="467">
        <v>-0.22</v>
      </c>
      <c r="Z9" s="467">
        <v>0.01</v>
      </c>
      <c r="AA9" s="467">
        <v>0.3</v>
      </c>
      <c r="AB9" s="467">
        <v>-0.15</v>
      </c>
      <c r="AC9" s="467">
        <v>3.24</v>
      </c>
      <c r="AD9" s="467">
        <v>2.04</v>
      </c>
      <c r="AE9" s="467">
        <v>0.57999999999999996</v>
      </c>
      <c r="AF9" s="467">
        <v>-36.24</v>
      </c>
      <c r="AG9" s="467">
        <v>-0.89</v>
      </c>
      <c r="AH9" s="467">
        <v>1.76</v>
      </c>
      <c r="AI9" s="467">
        <v>0</v>
      </c>
      <c r="AJ9" s="467">
        <v>-2.96</v>
      </c>
    </row>
    <row r="10" spans="1:36" s="388" customFormat="1" ht="15" customHeight="1">
      <c r="A10" s="1162" t="s">
        <v>1664</v>
      </c>
      <c r="B10" s="344">
        <v>3.09</v>
      </c>
      <c r="C10" s="344">
        <v>0.17</v>
      </c>
      <c r="D10" s="344">
        <v>0</v>
      </c>
      <c r="E10" s="344">
        <v>-1.3</v>
      </c>
      <c r="F10" s="344">
        <v>0.42</v>
      </c>
      <c r="G10" s="344">
        <v>4.9400000000000004</v>
      </c>
      <c r="H10" s="344">
        <v>4.9000000000000004</v>
      </c>
      <c r="I10" s="344">
        <v>0.06</v>
      </c>
      <c r="J10" s="344">
        <v>-0.86</v>
      </c>
      <c r="K10" s="344">
        <v>-17.149999999999999</v>
      </c>
      <c r="L10" s="344">
        <v>-52.09</v>
      </c>
      <c r="M10" s="344">
        <v>-2.16</v>
      </c>
      <c r="N10" s="344">
        <v>1.22</v>
      </c>
      <c r="O10" s="344">
        <v>-1.54</v>
      </c>
      <c r="P10" s="344">
        <v>0</v>
      </c>
      <c r="Q10" s="344">
        <v>-0.71</v>
      </c>
      <c r="R10" s="344">
        <v>13.34</v>
      </c>
      <c r="S10" s="1162" t="s">
        <v>1664</v>
      </c>
      <c r="T10" s="344">
        <v>-0.86</v>
      </c>
      <c r="U10" s="344">
        <v>0</v>
      </c>
      <c r="V10" s="344">
        <v>0.86</v>
      </c>
      <c r="W10" s="344">
        <v>-1.28</v>
      </c>
      <c r="X10" s="344">
        <v>-0.02</v>
      </c>
      <c r="Y10" s="344">
        <v>-2.2799999999999998</v>
      </c>
      <c r="Z10" s="344">
        <v>-0.01</v>
      </c>
      <c r="AA10" s="344">
        <v>12.42</v>
      </c>
      <c r="AB10" s="344">
        <v>1.42</v>
      </c>
      <c r="AC10" s="344">
        <v>-0.51</v>
      </c>
      <c r="AD10" s="344">
        <v>0.16</v>
      </c>
      <c r="AE10" s="344">
        <v>6.06</v>
      </c>
      <c r="AF10" s="344">
        <v>-32.82</v>
      </c>
      <c r="AG10" s="344">
        <v>2.67</v>
      </c>
      <c r="AH10" s="344">
        <v>-4.33</v>
      </c>
      <c r="AI10" s="344">
        <v>0.01</v>
      </c>
      <c r="AJ10" s="344">
        <v>12.04</v>
      </c>
    </row>
    <row r="11" spans="1:36" s="388" customFormat="1" ht="15" customHeight="1">
      <c r="A11" s="1429" t="s">
        <v>1754</v>
      </c>
      <c r="B11" s="571">
        <v>-18.440000000000001</v>
      </c>
      <c r="C11" s="571">
        <v>-0.22</v>
      </c>
      <c r="D11" s="571">
        <v>-0.01</v>
      </c>
      <c r="E11" s="571">
        <v>-13.97</v>
      </c>
      <c r="F11" s="571">
        <v>0.64</v>
      </c>
      <c r="G11" s="571">
        <v>-17.73</v>
      </c>
      <c r="H11" s="571">
        <v>-17.670000000000002</v>
      </c>
      <c r="I11" s="571">
        <v>-0.01</v>
      </c>
      <c r="J11" s="571">
        <v>-5.75</v>
      </c>
      <c r="K11" s="571">
        <v>-10.130000000000001</v>
      </c>
      <c r="L11" s="571">
        <v>-12.59</v>
      </c>
      <c r="M11" s="571">
        <v>-17.21</v>
      </c>
      <c r="N11" s="571">
        <v>-6.77</v>
      </c>
      <c r="O11" s="571">
        <v>-15.23</v>
      </c>
      <c r="P11" s="571">
        <v>-99.43</v>
      </c>
      <c r="Q11" s="571">
        <v>-5.44</v>
      </c>
      <c r="R11" s="571">
        <v>-21.92</v>
      </c>
      <c r="S11" s="1429" t="s">
        <v>1754</v>
      </c>
      <c r="T11" s="571">
        <v>-22.06</v>
      </c>
      <c r="U11" s="571">
        <v>0.01</v>
      </c>
      <c r="V11" s="571">
        <v>-3.09</v>
      </c>
      <c r="W11" s="571">
        <v>-3.09</v>
      </c>
      <c r="X11" s="571">
        <v>-0.01</v>
      </c>
      <c r="Y11" s="571">
        <v>-39.450000000000003</v>
      </c>
      <c r="Z11" s="571">
        <v>-0.01</v>
      </c>
      <c r="AA11" s="571">
        <v>-9.57</v>
      </c>
      <c r="AB11" s="571">
        <v>-7.17</v>
      </c>
      <c r="AC11" s="571">
        <v>-18.239999999999998</v>
      </c>
      <c r="AD11" s="571">
        <v>-2.5499999999999998</v>
      </c>
      <c r="AE11" s="571">
        <v>-3.8</v>
      </c>
      <c r="AF11" s="571">
        <v>-31.24</v>
      </c>
      <c r="AG11" s="571">
        <v>-9.1199999999999992</v>
      </c>
      <c r="AH11" s="571">
        <v>-3.91</v>
      </c>
      <c r="AI11" s="571">
        <v>0</v>
      </c>
      <c r="AJ11" s="571">
        <v>-7.63</v>
      </c>
    </row>
    <row r="12" spans="1:36" s="388" customFormat="1" ht="15" customHeight="1">
      <c r="A12" s="1677" t="s">
        <v>1954</v>
      </c>
      <c r="B12" s="555">
        <v>-3.89</v>
      </c>
      <c r="C12" s="555">
        <v>-0.76</v>
      </c>
      <c r="D12" s="555">
        <v>-0.08</v>
      </c>
      <c r="E12" s="555">
        <v>-4.84</v>
      </c>
      <c r="F12" s="555">
        <v>-7.82</v>
      </c>
      <c r="G12" s="555">
        <v>-1.31</v>
      </c>
      <c r="H12" s="555">
        <v>-1.52</v>
      </c>
      <c r="I12" s="555">
        <v>-0.08</v>
      </c>
      <c r="J12" s="555">
        <v>-5.91</v>
      </c>
      <c r="K12" s="555">
        <v>1.28</v>
      </c>
      <c r="L12" s="555">
        <v>-2.61</v>
      </c>
      <c r="M12" s="555">
        <v>19.25</v>
      </c>
      <c r="N12" s="555">
        <v>0.05</v>
      </c>
      <c r="O12" s="555">
        <v>-6.68</v>
      </c>
      <c r="P12" s="555">
        <v>-5.53</v>
      </c>
      <c r="Q12" s="555">
        <v>-6.41</v>
      </c>
      <c r="R12" s="555">
        <v>2.8</v>
      </c>
      <c r="S12" s="1677" t="s">
        <v>1954</v>
      </c>
      <c r="T12" s="555">
        <v>-7.3</v>
      </c>
      <c r="U12" s="555">
        <v>-0.01</v>
      </c>
      <c r="V12" s="555">
        <v>-2.68</v>
      </c>
      <c r="W12" s="555">
        <v>-3.89</v>
      </c>
      <c r="X12" s="555">
        <v>0</v>
      </c>
      <c r="Y12" s="555">
        <v>-13.36</v>
      </c>
      <c r="Z12" s="555">
        <v>0.01</v>
      </c>
      <c r="AA12" s="555">
        <v>-3.69</v>
      </c>
      <c r="AB12" s="555">
        <v>-0.55000000000000004</v>
      </c>
      <c r="AC12" s="555">
        <v>-3.04</v>
      </c>
      <c r="AD12" s="555">
        <v>-9.5299999999999994</v>
      </c>
      <c r="AE12" s="555">
        <v>-5.73</v>
      </c>
      <c r="AF12" s="555">
        <v>0.35</v>
      </c>
      <c r="AG12" s="555">
        <v>-0.56999999999999995</v>
      </c>
      <c r="AH12" s="555">
        <v>-4.17</v>
      </c>
      <c r="AI12" s="555">
        <v>0</v>
      </c>
      <c r="AJ12" s="555">
        <v>-15.21</v>
      </c>
    </row>
    <row r="13" spans="1:36" s="388" customFormat="1" ht="15" customHeight="1">
      <c r="A13" s="1026" t="s">
        <v>2046</v>
      </c>
      <c r="B13" s="917">
        <v>4.01</v>
      </c>
      <c r="C13" s="917">
        <v>-2.72</v>
      </c>
      <c r="D13" s="917">
        <v>0.03</v>
      </c>
      <c r="E13" s="917">
        <v>0.15</v>
      </c>
      <c r="F13" s="917">
        <v>-2.1</v>
      </c>
      <c r="G13" s="917">
        <v>3.51</v>
      </c>
      <c r="H13" s="917">
        <v>3.38</v>
      </c>
      <c r="I13" s="917">
        <v>-0.6</v>
      </c>
      <c r="J13" s="917">
        <v>4.72</v>
      </c>
      <c r="K13" s="917">
        <v>-1.24</v>
      </c>
      <c r="L13" s="917">
        <v>-7.34</v>
      </c>
      <c r="M13" s="917">
        <v>-8.4</v>
      </c>
      <c r="N13" s="917">
        <v>-0.4</v>
      </c>
      <c r="O13" s="917">
        <v>-5.53</v>
      </c>
      <c r="P13" s="917">
        <v>-13.2</v>
      </c>
      <c r="Q13" s="917">
        <v>5.32</v>
      </c>
      <c r="R13" s="917">
        <v>3.58</v>
      </c>
      <c r="S13" s="1026" t="s">
        <v>2046</v>
      </c>
      <c r="T13" s="917">
        <v>1.07</v>
      </c>
      <c r="U13" s="917">
        <v>-0.05</v>
      </c>
      <c r="V13" s="917">
        <v>-0.2</v>
      </c>
      <c r="W13" s="917">
        <v>-6.8</v>
      </c>
      <c r="X13" s="917">
        <v>-2.5099999999999998</v>
      </c>
      <c r="Y13" s="917">
        <v>8.65</v>
      </c>
      <c r="Z13" s="917">
        <v>0.01</v>
      </c>
      <c r="AA13" s="917">
        <v>1.68</v>
      </c>
      <c r="AB13" s="917">
        <v>-1.86</v>
      </c>
      <c r="AC13" s="917">
        <v>0.46</v>
      </c>
      <c r="AD13" s="917">
        <v>-3.74</v>
      </c>
      <c r="AE13" s="917">
        <v>2.76</v>
      </c>
      <c r="AF13" s="917">
        <v>-57.91</v>
      </c>
      <c r="AG13" s="917">
        <v>-0.33</v>
      </c>
      <c r="AH13" s="917">
        <v>3.75</v>
      </c>
      <c r="AI13" s="917">
        <v>-0.01</v>
      </c>
      <c r="AJ13" s="917">
        <v>-2.52</v>
      </c>
    </row>
    <row r="14" spans="1:36" s="388" customFormat="1" ht="15" customHeight="1">
      <c r="A14" s="1161" t="s">
        <v>2268</v>
      </c>
      <c r="B14" s="1029">
        <v>-4.29</v>
      </c>
      <c r="C14" s="1029">
        <v>-3.74</v>
      </c>
      <c r="D14" s="1029">
        <v>-0.21</v>
      </c>
      <c r="E14" s="1029">
        <v>-1.83</v>
      </c>
      <c r="F14" s="1029">
        <v>2.38</v>
      </c>
      <c r="G14" s="1029">
        <v>0.88</v>
      </c>
      <c r="H14" s="1029">
        <v>1.1200000000000001</v>
      </c>
      <c r="I14" s="1029">
        <v>-0.54</v>
      </c>
      <c r="J14" s="1029">
        <v>-6.07</v>
      </c>
      <c r="K14" s="1029">
        <v>-7.22</v>
      </c>
      <c r="L14" s="1029">
        <v>-23.72</v>
      </c>
      <c r="M14" s="1029">
        <v>1.52</v>
      </c>
      <c r="N14" s="1029">
        <v>0.28000000000000003</v>
      </c>
      <c r="O14" s="1029">
        <v>6.39</v>
      </c>
      <c r="P14" s="1029">
        <v>-3.88</v>
      </c>
      <c r="Q14" s="1029">
        <v>-5.28</v>
      </c>
      <c r="R14" s="1029">
        <v>-7.46</v>
      </c>
      <c r="S14" s="1161" t="s">
        <v>2268</v>
      </c>
      <c r="T14" s="1029">
        <v>2.41</v>
      </c>
      <c r="U14" s="1029">
        <v>0.05</v>
      </c>
      <c r="V14" s="1029">
        <v>-13.86</v>
      </c>
      <c r="W14" s="1029">
        <v>-5.49</v>
      </c>
      <c r="X14" s="1029">
        <v>2.58</v>
      </c>
      <c r="Y14" s="1029">
        <v>-6.27</v>
      </c>
      <c r="Z14" s="1029">
        <v>-0.01</v>
      </c>
      <c r="AA14" s="1029">
        <v>2.57</v>
      </c>
      <c r="AB14" s="1029">
        <v>0.84</v>
      </c>
      <c r="AC14" s="1029">
        <v>-5.58</v>
      </c>
      <c r="AD14" s="1029">
        <v>-3.02</v>
      </c>
      <c r="AE14" s="1029">
        <v>-4.18</v>
      </c>
      <c r="AF14" s="1029">
        <v>0</v>
      </c>
      <c r="AG14" s="1029">
        <v>1.03</v>
      </c>
      <c r="AH14" s="1029">
        <v>2.52</v>
      </c>
      <c r="AI14" s="1029">
        <v>-0.01</v>
      </c>
      <c r="AJ14" s="1029">
        <v>0.55000000000000004</v>
      </c>
    </row>
    <row r="15" spans="1:36" s="388" customFormat="1" ht="15" customHeight="1">
      <c r="A15" s="1040" t="s">
        <v>818</v>
      </c>
      <c r="B15" s="571">
        <v>3.94</v>
      </c>
      <c r="C15" s="571">
        <v>-0.08</v>
      </c>
      <c r="D15" s="571">
        <v>0.04</v>
      </c>
      <c r="E15" s="571">
        <v>4.58</v>
      </c>
      <c r="F15" s="571">
        <v>0.69</v>
      </c>
      <c r="G15" s="571">
        <v>2.7</v>
      </c>
      <c r="H15" s="571">
        <v>2.72</v>
      </c>
      <c r="I15" s="571">
        <v>-0.05</v>
      </c>
      <c r="J15" s="571">
        <v>0.85</v>
      </c>
      <c r="K15" s="571">
        <v>0.02</v>
      </c>
      <c r="L15" s="571">
        <v>-0.69</v>
      </c>
      <c r="M15" s="571">
        <v>1.37</v>
      </c>
      <c r="N15" s="571">
        <v>0.41</v>
      </c>
      <c r="O15" s="571">
        <v>0.35</v>
      </c>
      <c r="P15" s="571">
        <v>-0.51</v>
      </c>
      <c r="Q15" s="571">
        <v>0.62</v>
      </c>
      <c r="R15" s="571">
        <v>2.91</v>
      </c>
      <c r="S15" s="1040" t="s">
        <v>818</v>
      </c>
      <c r="T15" s="571">
        <v>5.98</v>
      </c>
      <c r="U15" s="571">
        <v>0.05</v>
      </c>
      <c r="V15" s="571">
        <v>-0.47</v>
      </c>
      <c r="W15" s="571">
        <v>-0.24</v>
      </c>
      <c r="X15" s="571">
        <v>2.5499999999999998</v>
      </c>
      <c r="Y15" s="571">
        <v>-0.64</v>
      </c>
      <c r="Z15" s="571">
        <v>0</v>
      </c>
      <c r="AA15" s="571">
        <v>1.87</v>
      </c>
      <c r="AB15" s="571">
        <v>1.67</v>
      </c>
      <c r="AC15" s="571">
        <v>4.18</v>
      </c>
      <c r="AD15" s="571">
        <v>-0.08</v>
      </c>
      <c r="AE15" s="571">
        <v>-1.34</v>
      </c>
      <c r="AF15" s="571">
        <v>0</v>
      </c>
      <c r="AG15" s="571">
        <v>1.07</v>
      </c>
      <c r="AH15" s="571">
        <v>1.97</v>
      </c>
      <c r="AI15" s="571">
        <v>0</v>
      </c>
      <c r="AJ15" s="571">
        <v>0.99</v>
      </c>
    </row>
    <row r="16" spans="1:36" s="388" customFormat="1" ht="15" customHeight="1">
      <c r="A16" s="1041" t="s">
        <v>819</v>
      </c>
      <c r="B16" s="555">
        <v>-1.03</v>
      </c>
      <c r="C16" s="555">
        <v>-0.05</v>
      </c>
      <c r="D16" s="555">
        <v>0.01</v>
      </c>
      <c r="E16" s="555">
        <v>-1.48</v>
      </c>
      <c r="F16" s="555">
        <v>1.93</v>
      </c>
      <c r="G16" s="555">
        <v>1.1000000000000001</v>
      </c>
      <c r="H16" s="555">
        <v>1.1100000000000001</v>
      </c>
      <c r="I16" s="555">
        <v>-0.2</v>
      </c>
      <c r="J16" s="555">
        <v>0.2</v>
      </c>
      <c r="K16" s="555">
        <v>-0.17</v>
      </c>
      <c r="L16" s="555">
        <v>-1.37</v>
      </c>
      <c r="M16" s="555">
        <v>0.39</v>
      </c>
      <c r="N16" s="555">
        <v>0.2</v>
      </c>
      <c r="O16" s="555">
        <v>0.2</v>
      </c>
      <c r="P16" s="555">
        <v>0.62</v>
      </c>
      <c r="Q16" s="555">
        <v>0.34</v>
      </c>
      <c r="R16" s="555">
        <v>-4.13</v>
      </c>
      <c r="S16" s="1041" t="s">
        <v>819</v>
      </c>
      <c r="T16" s="555">
        <v>1.3</v>
      </c>
      <c r="U16" s="555">
        <v>0</v>
      </c>
      <c r="V16" s="555">
        <v>0.13</v>
      </c>
      <c r="W16" s="555">
        <v>-1.29</v>
      </c>
      <c r="X16" s="555">
        <v>-0.99</v>
      </c>
      <c r="Y16" s="555">
        <v>1.78</v>
      </c>
      <c r="Z16" s="555">
        <v>0</v>
      </c>
      <c r="AA16" s="555">
        <v>-0.3</v>
      </c>
      <c r="AB16" s="555">
        <v>-0.14000000000000001</v>
      </c>
      <c r="AC16" s="555">
        <v>1.7</v>
      </c>
      <c r="AD16" s="555">
        <v>0.56999999999999995</v>
      </c>
      <c r="AE16" s="555">
        <v>0.54</v>
      </c>
      <c r="AF16" s="555">
        <v>0</v>
      </c>
      <c r="AG16" s="555">
        <v>0.91</v>
      </c>
      <c r="AH16" s="555">
        <v>0.3</v>
      </c>
      <c r="AI16" s="555">
        <v>0</v>
      </c>
      <c r="AJ16" s="555">
        <v>-1.59</v>
      </c>
    </row>
    <row r="17" spans="1:36" s="388" customFormat="1" ht="15" customHeight="1">
      <c r="A17" s="1040" t="s">
        <v>813</v>
      </c>
      <c r="B17" s="571">
        <v>-0.71</v>
      </c>
      <c r="C17" s="571">
        <v>-0.12</v>
      </c>
      <c r="D17" s="571">
        <v>-0.03</v>
      </c>
      <c r="E17" s="571">
        <v>1.18</v>
      </c>
      <c r="F17" s="571">
        <v>-0.41</v>
      </c>
      <c r="G17" s="571">
        <v>-1.22</v>
      </c>
      <c r="H17" s="571">
        <v>-1.17</v>
      </c>
      <c r="I17" s="571">
        <v>0.2</v>
      </c>
      <c r="J17" s="571">
        <v>-2.62</v>
      </c>
      <c r="K17" s="571">
        <v>-1.45</v>
      </c>
      <c r="L17" s="571">
        <v>-1.74</v>
      </c>
      <c r="M17" s="571">
        <v>-2.2999999999999998</v>
      </c>
      <c r="N17" s="571">
        <v>0.03</v>
      </c>
      <c r="O17" s="571">
        <v>0.92</v>
      </c>
      <c r="P17" s="571">
        <v>0.18</v>
      </c>
      <c r="Q17" s="571">
        <v>-1.84</v>
      </c>
      <c r="R17" s="571">
        <v>-0.03</v>
      </c>
      <c r="S17" s="1040" t="s">
        <v>813</v>
      </c>
      <c r="T17" s="571">
        <v>-1.8</v>
      </c>
      <c r="U17" s="571">
        <v>0</v>
      </c>
      <c r="V17" s="571">
        <v>-0.2</v>
      </c>
      <c r="W17" s="571">
        <v>0.11</v>
      </c>
      <c r="X17" s="571">
        <v>-0.99</v>
      </c>
      <c r="Y17" s="571">
        <v>0.6</v>
      </c>
      <c r="Z17" s="571">
        <v>0</v>
      </c>
      <c r="AA17" s="571">
        <v>-1.96</v>
      </c>
      <c r="AB17" s="571">
        <v>-0.08</v>
      </c>
      <c r="AC17" s="571">
        <v>-2.19</v>
      </c>
      <c r="AD17" s="571">
        <v>-0.15</v>
      </c>
      <c r="AE17" s="571">
        <v>-0.88</v>
      </c>
      <c r="AF17" s="571">
        <v>0</v>
      </c>
      <c r="AG17" s="571">
        <v>-0.47</v>
      </c>
      <c r="AH17" s="571">
        <v>-0.73</v>
      </c>
      <c r="AI17" s="571">
        <v>0</v>
      </c>
      <c r="AJ17" s="571">
        <v>3.57</v>
      </c>
    </row>
    <row r="18" spans="1:36" s="388" customFormat="1" ht="15" customHeight="1">
      <c r="A18" s="1041" t="s">
        <v>820</v>
      </c>
      <c r="B18" s="555">
        <v>-2.0499999999999998</v>
      </c>
      <c r="C18" s="555">
        <v>-7.0000000000000007E-2</v>
      </c>
      <c r="D18" s="555">
        <v>-0.03</v>
      </c>
      <c r="E18" s="555">
        <v>-2.77</v>
      </c>
      <c r="F18" s="555">
        <v>-0.17</v>
      </c>
      <c r="G18" s="555">
        <v>-0.79</v>
      </c>
      <c r="H18" s="555">
        <v>-0.8</v>
      </c>
      <c r="I18" s="555">
        <v>0.13</v>
      </c>
      <c r="J18" s="555">
        <v>1.32</v>
      </c>
      <c r="K18" s="555">
        <v>-0.16</v>
      </c>
      <c r="L18" s="555">
        <v>-3.22</v>
      </c>
      <c r="M18" s="555">
        <v>-0.31</v>
      </c>
      <c r="N18" s="555">
        <v>-0.3</v>
      </c>
      <c r="O18" s="555">
        <v>0.02</v>
      </c>
      <c r="P18" s="555">
        <v>-0.62</v>
      </c>
      <c r="Q18" s="555">
        <v>0.43</v>
      </c>
      <c r="R18" s="555">
        <v>-4.5</v>
      </c>
      <c r="S18" s="1041" t="s">
        <v>820</v>
      </c>
      <c r="T18" s="555">
        <v>-2.42</v>
      </c>
      <c r="U18" s="555">
        <v>0</v>
      </c>
      <c r="V18" s="555">
        <v>0.1</v>
      </c>
      <c r="W18" s="555">
        <v>-0.96</v>
      </c>
      <c r="X18" s="555">
        <v>-3.26</v>
      </c>
      <c r="Y18" s="555">
        <v>0.35</v>
      </c>
      <c r="Z18" s="555">
        <v>0</v>
      </c>
      <c r="AA18" s="555">
        <v>2.4300000000000002</v>
      </c>
      <c r="AB18" s="555">
        <v>-0.08</v>
      </c>
      <c r="AC18" s="555">
        <v>-2.3199999999999998</v>
      </c>
      <c r="AD18" s="555">
        <v>-0.36</v>
      </c>
      <c r="AE18" s="555">
        <v>-2.2400000000000002</v>
      </c>
      <c r="AF18" s="555">
        <v>0</v>
      </c>
      <c r="AG18" s="555">
        <v>-0.57999999999999996</v>
      </c>
      <c r="AH18" s="555">
        <v>0.71</v>
      </c>
      <c r="AI18" s="555">
        <v>-0.01</v>
      </c>
      <c r="AJ18" s="555">
        <v>-1.34</v>
      </c>
    </row>
    <row r="19" spans="1:36" s="388" customFormat="1" ht="15" customHeight="1">
      <c r="A19" s="1040" t="s">
        <v>821</v>
      </c>
      <c r="B19" s="571">
        <v>-1.52</v>
      </c>
      <c r="C19" s="571">
        <v>-1.75</v>
      </c>
      <c r="D19" s="571">
        <v>0</v>
      </c>
      <c r="E19" s="571">
        <v>-0.27</v>
      </c>
      <c r="F19" s="571">
        <v>0.55000000000000004</v>
      </c>
      <c r="G19" s="571">
        <v>1.67</v>
      </c>
      <c r="H19" s="571">
        <v>1.69</v>
      </c>
      <c r="I19" s="571">
        <v>-0.12</v>
      </c>
      <c r="J19" s="571">
        <v>0.78</v>
      </c>
      <c r="K19" s="571">
        <v>0.36</v>
      </c>
      <c r="L19" s="571">
        <v>-1.06</v>
      </c>
      <c r="M19" s="571">
        <v>1.1200000000000001</v>
      </c>
      <c r="N19" s="571">
        <v>0.18</v>
      </c>
      <c r="O19" s="571">
        <v>3.51</v>
      </c>
      <c r="P19" s="571">
        <v>0.85</v>
      </c>
      <c r="Q19" s="571">
        <v>0.5</v>
      </c>
      <c r="R19" s="571">
        <v>0.06</v>
      </c>
      <c r="S19" s="1040" t="s">
        <v>821</v>
      </c>
      <c r="T19" s="571">
        <v>-1.28</v>
      </c>
      <c r="U19" s="571">
        <v>0</v>
      </c>
      <c r="V19" s="571">
        <v>-0.09</v>
      </c>
      <c r="W19" s="571">
        <v>2.5099999999999998</v>
      </c>
      <c r="X19" s="571">
        <v>5.47</v>
      </c>
      <c r="Y19" s="571">
        <v>-0.95</v>
      </c>
      <c r="Z19" s="571">
        <v>0</v>
      </c>
      <c r="AA19" s="571">
        <v>3.11</v>
      </c>
      <c r="AB19" s="571">
        <v>1.02</v>
      </c>
      <c r="AC19" s="571">
        <v>-0.08</v>
      </c>
      <c r="AD19" s="571">
        <v>-0.13</v>
      </c>
      <c r="AE19" s="571">
        <v>1</v>
      </c>
      <c r="AF19" s="571">
        <v>0</v>
      </c>
      <c r="AG19" s="571">
        <v>0.92</v>
      </c>
      <c r="AH19" s="571">
        <v>1.78</v>
      </c>
      <c r="AI19" s="571">
        <v>0.01</v>
      </c>
      <c r="AJ19" s="571">
        <v>1.52</v>
      </c>
    </row>
    <row r="20" spans="1:36" s="388" customFormat="1" ht="15" customHeight="1">
      <c r="A20" s="1041" t="s">
        <v>814</v>
      </c>
      <c r="B20" s="555">
        <v>3.04</v>
      </c>
      <c r="C20" s="555">
        <v>-0.48</v>
      </c>
      <c r="D20" s="555">
        <v>0.04</v>
      </c>
      <c r="E20" s="555">
        <v>2.27</v>
      </c>
      <c r="F20" s="555">
        <v>1.06</v>
      </c>
      <c r="G20" s="555">
        <v>1.25</v>
      </c>
      <c r="H20" s="555">
        <v>1.27</v>
      </c>
      <c r="I20" s="555">
        <v>-0.05</v>
      </c>
      <c r="J20" s="555">
        <v>0.81</v>
      </c>
      <c r="K20" s="555">
        <v>-0.37</v>
      </c>
      <c r="L20" s="555">
        <v>-2.2799999999999998</v>
      </c>
      <c r="M20" s="555">
        <v>-0.67</v>
      </c>
      <c r="N20" s="555">
        <v>7.0000000000000007E-2</v>
      </c>
      <c r="O20" s="555">
        <v>0.99</v>
      </c>
      <c r="P20" s="555">
        <v>-0.77</v>
      </c>
      <c r="Q20" s="555">
        <v>0.71</v>
      </c>
      <c r="R20" s="555">
        <v>2.99</v>
      </c>
      <c r="S20" s="1041" t="s">
        <v>814</v>
      </c>
      <c r="T20" s="555">
        <v>0.56000000000000005</v>
      </c>
      <c r="U20" s="555">
        <v>-0.01</v>
      </c>
      <c r="V20" s="555">
        <v>-4.7699999999999996</v>
      </c>
      <c r="W20" s="555">
        <v>0.65</v>
      </c>
      <c r="X20" s="555">
        <v>-0.03</v>
      </c>
      <c r="Y20" s="555">
        <v>1.46</v>
      </c>
      <c r="Z20" s="555">
        <v>0</v>
      </c>
      <c r="AA20" s="555">
        <v>1.82</v>
      </c>
      <c r="AB20" s="555">
        <v>0.72</v>
      </c>
      <c r="AC20" s="555">
        <v>1.97</v>
      </c>
      <c r="AD20" s="555">
        <v>0.2</v>
      </c>
      <c r="AE20" s="555">
        <v>1.05</v>
      </c>
      <c r="AF20" s="555">
        <v>0</v>
      </c>
      <c r="AG20" s="555">
        <v>0.54</v>
      </c>
      <c r="AH20" s="555">
        <v>0.28000000000000003</v>
      </c>
      <c r="AI20" s="555">
        <v>0</v>
      </c>
      <c r="AJ20" s="555">
        <v>0.79</v>
      </c>
    </row>
    <row r="21" spans="1:36" s="388" customFormat="1" ht="15" customHeight="1">
      <c r="A21" s="1040" t="s">
        <v>822</v>
      </c>
      <c r="B21" s="571">
        <v>3.6</v>
      </c>
      <c r="C21" s="571">
        <v>-0.24</v>
      </c>
      <c r="D21" s="571">
        <v>0.03</v>
      </c>
      <c r="E21" s="571">
        <v>1.99</v>
      </c>
      <c r="F21" s="571">
        <v>3.16</v>
      </c>
      <c r="G21" s="571">
        <v>3.4</v>
      </c>
      <c r="H21" s="571">
        <v>3.37</v>
      </c>
      <c r="I21" s="571">
        <v>-0.1</v>
      </c>
      <c r="J21" s="571">
        <v>0.24</v>
      </c>
      <c r="K21" s="571">
        <v>1.32</v>
      </c>
      <c r="L21" s="571">
        <v>-2.25</v>
      </c>
      <c r="M21" s="571">
        <v>3.59</v>
      </c>
      <c r="N21" s="571">
        <v>0.62</v>
      </c>
      <c r="O21" s="571">
        <v>3.74</v>
      </c>
      <c r="P21" s="571">
        <v>2.78</v>
      </c>
      <c r="Q21" s="571">
        <v>0.79</v>
      </c>
      <c r="R21" s="571">
        <v>3.44</v>
      </c>
      <c r="S21" s="1040" t="s">
        <v>822</v>
      </c>
      <c r="T21" s="571">
        <v>6.31</v>
      </c>
      <c r="U21" s="571">
        <v>0.01</v>
      </c>
      <c r="V21" s="571">
        <v>-0.05</v>
      </c>
      <c r="W21" s="571">
        <v>-2.5</v>
      </c>
      <c r="X21" s="571">
        <v>0.03</v>
      </c>
      <c r="Y21" s="571">
        <v>2.48</v>
      </c>
      <c r="Z21" s="571">
        <v>0</v>
      </c>
      <c r="AA21" s="571">
        <v>-0.23</v>
      </c>
      <c r="AB21" s="571">
        <v>1.98</v>
      </c>
      <c r="AC21" s="571">
        <v>4.1500000000000004</v>
      </c>
      <c r="AD21" s="571">
        <v>-0.31</v>
      </c>
      <c r="AE21" s="571">
        <v>4.29</v>
      </c>
      <c r="AF21" s="571">
        <v>0</v>
      </c>
      <c r="AG21" s="571">
        <v>2.1800000000000002</v>
      </c>
      <c r="AH21" s="571">
        <v>3.83</v>
      </c>
      <c r="AI21" s="571">
        <v>0</v>
      </c>
      <c r="AJ21" s="571">
        <v>4.68</v>
      </c>
    </row>
    <row r="22" spans="1:36" s="388" customFormat="1" ht="15" customHeight="1">
      <c r="A22" s="1041" t="s">
        <v>823</v>
      </c>
      <c r="B22" s="555">
        <v>-3.63</v>
      </c>
      <c r="C22" s="555">
        <v>-7.0000000000000007E-2</v>
      </c>
      <c r="D22" s="555">
        <v>0</v>
      </c>
      <c r="E22" s="555">
        <v>-3.46</v>
      </c>
      <c r="F22" s="555">
        <v>7.0000000000000007E-2</v>
      </c>
      <c r="G22" s="555">
        <v>-1.41</v>
      </c>
      <c r="H22" s="555">
        <v>-1.37</v>
      </c>
      <c r="I22" s="555">
        <v>-0.08</v>
      </c>
      <c r="J22" s="555">
        <v>-1.89</v>
      </c>
      <c r="K22" s="555">
        <v>-2.36</v>
      </c>
      <c r="L22" s="555">
        <v>-0.96</v>
      </c>
      <c r="M22" s="555">
        <v>1.35</v>
      </c>
      <c r="N22" s="555">
        <v>0</v>
      </c>
      <c r="O22" s="555">
        <v>-0.62</v>
      </c>
      <c r="P22" s="555">
        <v>-0.78</v>
      </c>
      <c r="Q22" s="555">
        <v>-1.84</v>
      </c>
      <c r="R22" s="555">
        <v>-1.3</v>
      </c>
      <c r="S22" s="1041" t="s">
        <v>823</v>
      </c>
      <c r="T22" s="555">
        <v>-1.86</v>
      </c>
      <c r="U22" s="555">
        <v>0</v>
      </c>
      <c r="V22" s="555">
        <v>0</v>
      </c>
      <c r="W22" s="555">
        <v>-1.43</v>
      </c>
      <c r="X22" s="555">
        <v>0</v>
      </c>
      <c r="Y22" s="555">
        <v>-0.05</v>
      </c>
      <c r="Z22" s="555">
        <v>0</v>
      </c>
      <c r="AA22" s="555">
        <v>-1.26</v>
      </c>
      <c r="AB22" s="555">
        <v>-0.97</v>
      </c>
      <c r="AC22" s="555">
        <v>-4.3099999999999996</v>
      </c>
      <c r="AD22" s="555">
        <v>-0.6</v>
      </c>
      <c r="AE22" s="555">
        <v>-0.51</v>
      </c>
      <c r="AF22" s="555">
        <v>0</v>
      </c>
      <c r="AG22" s="555">
        <v>-0.26</v>
      </c>
      <c r="AH22" s="555">
        <v>-0.35</v>
      </c>
      <c r="AI22" s="555">
        <v>0</v>
      </c>
      <c r="AJ22" s="555">
        <v>-1.68</v>
      </c>
    </row>
    <row r="23" spans="1:36" s="388" customFormat="1" ht="15" customHeight="1">
      <c r="A23" s="1040" t="s">
        <v>815</v>
      </c>
      <c r="B23" s="571">
        <v>-1.64</v>
      </c>
      <c r="C23" s="571">
        <v>0</v>
      </c>
      <c r="D23" s="571">
        <v>-0.03</v>
      </c>
      <c r="E23" s="571">
        <v>-1.1399999999999999</v>
      </c>
      <c r="F23" s="571">
        <v>0.39</v>
      </c>
      <c r="G23" s="571">
        <v>0.54</v>
      </c>
      <c r="H23" s="571">
        <v>0.62</v>
      </c>
      <c r="I23" s="571">
        <v>-0.25</v>
      </c>
      <c r="J23" s="571">
        <v>-0.37</v>
      </c>
      <c r="K23" s="571">
        <v>-0.27</v>
      </c>
      <c r="L23" s="571">
        <v>-1.1399999999999999</v>
      </c>
      <c r="M23" s="571">
        <v>0.44</v>
      </c>
      <c r="N23" s="571">
        <v>0.1</v>
      </c>
      <c r="O23" s="571">
        <v>1.49</v>
      </c>
      <c r="P23" s="571">
        <v>0.45</v>
      </c>
      <c r="Q23" s="571">
        <v>-0.2</v>
      </c>
      <c r="R23" s="571">
        <v>-0.32</v>
      </c>
      <c r="S23" s="1040" t="s">
        <v>815</v>
      </c>
      <c r="T23" s="571">
        <v>0.08</v>
      </c>
      <c r="U23" s="571">
        <v>0</v>
      </c>
      <c r="V23" s="571">
        <v>-4.2699999999999996</v>
      </c>
      <c r="W23" s="571">
        <v>-0.48</v>
      </c>
      <c r="X23" s="571">
        <v>0</v>
      </c>
      <c r="Y23" s="571">
        <v>-2.44</v>
      </c>
      <c r="Z23" s="571">
        <v>0.01</v>
      </c>
      <c r="AA23" s="571">
        <v>1.52</v>
      </c>
      <c r="AB23" s="571">
        <v>0.95</v>
      </c>
      <c r="AC23" s="571">
        <v>-1.33</v>
      </c>
      <c r="AD23" s="571">
        <v>-0.5</v>
      </c>
      <c r="AE23" s="571">
        <v>-1.85</v>
      </c>
      <c r="AF23" s="571">
        <v>0</v>
      </c>
      <c r="AG23" s="571">
        <v>0.16</v>
      </c>
      <c r="AH23" s="571">
        <v>0.7</v>
      </c>
      <c r="AI23" s="571">
        <v>0</v>
      </c>
      <c r="AJ23" s="571">
        <v>1.21</v>
      </c>
    </row>
    <row r="24" spans="1:36" s="388" customFormat="1" ht="15" customHeight="1">
      <c r="A24" s="1041" t="s">
        <v>824</v>
      </c>
      <c r="B24" s="555">
        <v>-1.04</v>
      </c>
      <c r="C24" s="555">
        <v>-0.02</v>
      </c>
      <c r="D24" s="555">
        <v>0.01</v>
      </c>
      <c r="E24" s="555">
        <v>0.74</v>
      </c>
      <c r="F24" s="555">
        <v>-0.55000000000000004</v>
      </c>
      <c r="G24" s="555">
        <v>-1.43</v>
      </c>
      <c r="H24" s="555">
        <v>-1.45</v>
      </c>
      <c r="I24" s="555">
        <v>0</v>
      </c>
      <c r="J24" s="555">
        <v>-2.19</v>
      </c>
      <c r="K24" s="555">
        <v>-0.88</v>
      </c>
      <c r="L24" s="555">
        <v>-10.25</v>
      </c>
      <c r="M24" s="555">
        <v>-2.0099999999999998</v>
      </c>
      <c r="N24" s="555">
        <v>-0.55000000000000004</v>
      </c>
      <c r="O24" s="555">
        <v>-1.31</v>
      </c>
      <c r="P24" s="555">
        <v>0</v>
      </c>
      <c r="Q24" s="555">
        <v>-2.4300000000000002</v>
      </c>
      <c r="R24" s="555">
        <v>-1.76</v>
      </c>
      <c r="S24" s="1041" t="s">
        <v>824</v>
      </c>
      <c r="T24" s="555">
        <v>-1.22</v>
      </c>
      <c r="U24" s="555">
        <v>0</v>
      </c>
      <c r="V24" s="555">
        <v>-0.06</v>
      </c>
      <c r="W24" s="555">
        <v>1.07</v>
      </c>
      <c r="X24" s="555">
        <v>0</v>
      </c>
      <c r="Y24" s="555">
        <v>-7.26</v>
      </c>
      <c r="Z24" s="555">
        <v>-0.01</v>
      </c>
      <c r="AA24" s="555">
        <v>0.11</v>
      </c>
      <c r="AB24" s="555">
        <v>-0.9</v>
      </c>
      <c r="AC24" s="555">
        <v>-3.77</v>
      </c>
      <c r="AD24" s="555">
        <v>-1.28</v>
      </c>
      <c r="AE24" s="555">
        <v>-3.16</v>
      </c>
      <c r="AF24" s="555">
        <v>0</v>
      </c>
      <c r="AG24" s="555">
        <v>-1.0900000000000001</v>
      </c>
      <c r="AH24" s="555">
        <v>-0.83</v>
      </c>
      <c r="AI24" s="555">
        <v>-0.01</v>
      </c>
      <c r="AJ24" s="555">
        <v>-2.11</v>
      </c>
    </row>
    <row r="25" spans="1:36" s="388" customFormat="1" ht="15" customHeight="1">
      <c r="A25" s="1040" t="s">
        <v>825</v>
      </c>
      <c r="B25" s="571">
        <v>-0.06</v>
      </c>
      <c r="C25" s="571">
        <v>-0.86</v>
      </c>
      <c r="D25" s="571">
        <v>-0.15</v>
      </c>
      <c r="E25" s="571">
        <v>-0.35</v>
      </c>
      <c r="F25" s="571">
        <v>-1.17</v>
      </c>
      <c r="G25" s="571">
        <v>-3.74</v>
      </c>
      <c r="H25" s="571">
        <v>-3.85</v>
      </c>
      <c r="I25" s="571">
        <v>0</v>
      </c>
      <c r="J25" s="571">
        <v>-1.22</v>
      </c>
      <c r="K25" s="571">
        <v>-0.17</v>
      </c>
      <c r="L25" s="571">
        <v>-0.34</v>
      </c>
      <c r="M25" s="571">
        <v>0.13</v>
      </c>
      <c r="N25" s="571">
        <v>-0.48</v>
      </c>
      <c r="O25" s="571">
        <v>-1.48</v>
      </c>
      <c r="P25" s="571">
        <v>-1.48</v>
      </c>
      <c r="Q25" s="571">
        <v>-1.42</v>
      </c>
      <c r="R25" s="571">
        <v>-1.36</v>
      </c>
      <c r="S25" s="1040" t="s">
        <v>825</v>
      </c>
      <c r="T25" s="571">
        <v>-2.72</v>
      </c>
      <c r="U25" s="571">
        <v>0</v>
      </c>
      <c r="V25" s="571">
        <v>0</v>
      </c>
      <c r="W25" s="571">
        <v>-1.49</v>
      </c>
      <c r="X25" s="571">
        <v>0</v>
      </c>
      <c r="Y25" s="571">
        <v>0.11</v>
      </c>
      <c r="Z25" s="571">
        <v>0</v>
      </c>
      <c r="AA25" s="571">
        <v>-0.75</v>
      </c>
      <c r="AB25" s="571">
        <v>-1.1499999999999999</v>
      </c>
      <c r="AC25" s="571">
        <v>-1.64</v>
      </c>
      <c r="AD25" s="571">
        <v>-0.35</v>
      </c>
      <c r="AE25" s="571">
        <v>-0.13</v>
      </c>
      <c r="AF25" s="571">
        <v>0</v>
      </c>
      <c r="AG25" s="571">
        <v>-1.64</v>
      </c>
      <c r="AH25" s="571">
        <v>-1.47</v>
      </c>
      <c r="AI25" s="571">
        <v>0</v>
      </c>
      <c r="AJ25" s="571">
        <v>-3.54</v>
      </c>
    </row>
    <row r="26" spans="1:36" s="388" customFormat="1" ht="15" customHeight="1">
      <c r="A26" s="1041" t="s">
        <v>816</v>
      </c>
      <c r="B26" s="555">
        <v>-2.94</v>
      </c>
      <c r="C26" s="555">
        <v>-0.03</v>
      </c>
      <c r="D26" s="555">
        <v>-0.12</v>
      </c>
      <c r="E26" s="555">
        <v>-2.81</v>
      </c>
      <c r="F26" s="555">
        <v>-3.06</v>
      </c>
      <c r="G26" s="555">
        <v>-0.96</v>
      </c>
      <c r="H26" s="555">
        <v>-0.81</v>
      </c>
      <c r="I26" s="555">
        <v>-0.01</v>
      </c>
      <c r="J26" s="555">
        <v>-2.0299999999999998</v>
      </c>
      <c r="K26" s="555">
        <v>-3.25</v>
      </c>
      <c r="L26" s="555">
        <v>-1.05</v>
      </c>
      <c r="M26" s="555">
        <v>-1.44</v>
      </c>
      <c r="N26" s="555">
        <v>0</v>
      </c>
      <c r="O26" s="555">
        <v>-1.42</v>
      </c>
      <c r="P26" s="555">
        <v>-4.51</v>
      </c>
      <c r="Q26" s="555">
        <v>-1.01</v>
      </c>
      <c r="R26" s="555">
        <v>-3.33</v>
      </c>
      <c r="S26" s="1041" t="s">
        <v>816</v>
      </c>
      <c r="T26" s="555">
        <v>-7.0000000000000007E-2</v>
      </c>
      <c r="U26" s="555">
        <v>0</v>
      </c>
      <c r="V26" s="555">
        <v>-4.9000000000000004</v>
      </c>
      <c r="W26" s="555">
        <v>-1.49</v>
      </c>
      <c r="X26" s="555">
        <v>0</v>
      </c>
      <c r="Y26" s="555">
        <v>-1.55</v>
      </c>
      <c r="Z26" s="555">
        <v>0</v>
      </c>
      <c r="AA26" s="555">
        <v>-3.6</v>
      </c>
      <c r="AB26" s="555">
        <v>-2.09</v>
      </c>
      <c r="AC26" s="555">
        <v>-1.66</v>
      </c>
      <c r="AD26" s="555">
        <v>-0.06</v>
      </c>
      <c r="AE26" s="555">
        <v>-0.83</v>
      </c>
      <c r="AF26" s="555">
        <v>0</v>
      </c>
      <c r="AG26" s="555">
        <v>-0.66</v>
      </c>
      <c r="AH26" s="555">
        <v>-3.5</v>
      </c>
      <c r="AI26" s="555">
        <v>0</v>
      </c>
      <c r="AJ26" s="555">
        <v>-1.61</v>
      </c>
    </row>
    <row r="27" spans="1:36" s="388" customFormat="1" ht="15" customHeight="1">
      <c r="A27" s="835" t="s">
        <v>2524</v>
      </c>
      <c r="B27" s="571"/>
      <c r="C27" s="571"/>
      <c r="D27" s="571"/>
      <c r="E27" s="571"/>
      <c r="F27" s="571"/>
      <c r="G27" s="571"/>
      <c r="H27" s="571"/>
      <c r="I27" s="571"/>
      <c r="J27" s="571"/>
      <c r="K27" s="571"/>
      <c r="L27" s="571"/>
      <c r="M27" s="571"/>
      <c r="N27" s="571"/>
      <c r="O27" s="571"/>
      <c r="P27" s="571"/>
      <c r="Q27" s="571"/>
      <c r="R27" s="571"/>
      <c r="S27" s="835" t="s">
        <v>2524</v>
      </c>
      <c r="T27" s="571"/>
      <c r="U27" s="571"/>
      <c r="V27" s="571"/>
      <c r="W27" s="571"/>
      <c r="X27" s="571"/>
      <c r="Y27" s="571"/>
      <c r="Z27" s="571"/>
      <c r="AA27" s="571"/>
      <c r="AB27" s="571"/>
      <c r="AC27" s="571"/>
      <c r="AD27" s="571"/>
      <c r="AE27" s="571"/>
      <c r="AF27" s="571"/>
      <c r="AG27" s="571"/>
      <c r="AH27" s="571"/>
      <c r="AI27" s="571"/>
      <c r="AJ27" s="571"/>
    </row>
    <row r="28" spans="1:36" s="388" customFormat="1" ht="15" customHeight="1">
      <c r="A28" s="829" t="s">
        <v>818</v>
      </c>
      <c r="B28" s="555">
        <v>0.71</v>
      </c>
      <c r="C28" s="555">
        <v>-0.03</v>
      </c>
      <c r="D28" s="555">
        <v>0.03</v>
      </c>
      <c r="E28" s="555">
        <v>1.61</v>
      </c>
      <c r="F28" s="555">
        <v>-2.93</v>
      </c>
      <c r="G28" s="555">
        <v>1.25</v>
      </c>
      <c r="H28" s="555">
        <v>1.18</v>
      </c>
      <c r="I28" s="555">
        <v>-0.01</v>
      </c>
      <c r="J28" s="555">
        <v>0.34</v>
      </c>
      <c r="K28" s="555">
        <v>-0.4</v>
      </c>
      <c r="L28" s="555">
        <v>-3.31</v>
      </c>
      <c r="M28" s="555">
        <v>-0.52</v>
      </c>
      <c r="N28" s="555">
        <v>-0.08</v>
      </c>
      <c r="O28" s="555">
        <v>-0.6</v>
      </c>
      <c r="P28" s="555">
        <v>-2.4700000000000002</v>
      </c>
      <c r="Q28" s="555">
        <v>-0.79</v>
      </c>
      <c r="R28" s="555">
        <v>0.99</v>
      </c>
      <c r="S28" s="829" t="s">
        <v>818</v>
      </c>
      <c r="T28" s="555">
        <v>0.66</v>
      </c>
      <c r="U28" s="555">
        <v>0.01</v>
      </c>
      <c r="V28" s="555">
        <v>0.1</v>
      </c>
      <c r="W28" s="555">
        <v>0.26</v>
      </c>
      <c r="X28" s="555">
        <v>0</v>
      </c>
      <c r="Y28" s="555">
        <v>1.4</v>
      </c>
      <c r="Z28" s="555">
        <v>0</v>
      </c>
      <c r="AA28" s="555">
        <v>-0.45</v>
      </c>
      <c r="AB28" s="555">
        <v>0.5</v>
      </c>
      <c r="AC28" s="555">
        <v>2.2999999999999998</v>
      </c>
      <c r="AD28" s="555">
        <v>-0.85</v>
      </c>
      <c r="AE28" s="555">
        <v>0.93</v>
      </c>
      <c r="AF28" s="555">
        <v>0</v>
      </c>
      <c r="AG28" s="555">
        <v>-0.11</v>
      </c>
      <c r="AH28" s="555">
        <v>-0.53</v>
      </c>
      <c r="AI28" s="555">
        <v>0</v>
      </c>
      <c r="AJ28" s="555">
        <v>0.42</v>
      </c>
    </row>
    <row r="29" spans="1:36" s="388" customFormat="1" ht="15" customHeight="1">
      <c r="A29" s="834" t="s">
        <v>819</v>
      </c>
      <c r="B29" s="571">
        <v>-1.3</v>
      </c>
      <c r="C29" s="571">
        <v>0</v>
      </c>
      <c r="D29" s="571">
        <v>0.2</v>
      </c>
      <c r="E29" s="571">
        <v>1.02</v>
      </c>
      <c r="F29" s="571">
        <v>0.08</v>
      </c>
      <c r="G29" s="571">
        <v>-0.11</v>
      </c>
      <c r="H29" s="571">
        <v>0.02</v>
      </c>
      <c r="I29" s="571">
        <v>0</v>
      </c>
      <c r="J29" s="571">
        <v>-2.74</v>
      </c>
      <c r="K29" s="571">
        <v>-1.6</v>
      </c>
      <c r="L29" s="571">
        <v>4.88</v>
      </c>
      <c r="M29" s="571">
        <v>-0.54</v>
      </c>
      <c r="N29" s="571">
        <v>0.02</v>
      </c>
      <c r="O29" s="571">
        <v>-1.1399999999999999</v>
      </c>
      <c r="P29" s="571">
        <v>-5.37</v>
      </c>
      <c r="Q29" s="571">
        <v>-2.13</v>
      </c>
      <c r="R29" s="571">
        <v>-1.55</v>
      </c>
      <c r="S29" s="834" t="s">
        <v>819</v>
      </c>
      <c r="T29" s="571">
        <v>-2.36</v>
      </c>
      <c r="U29" s="571">
        <v>-0.01</v>
      </c>
      <c r="V29" s="571">
        <v>-1.1399999999999999</v>
      </c>
      <c r="W29" s="571">
        <v>-0.51</v>
      </c>
      <c r="X29" s="571">
        <v>0</v>
      </c>
      <c r="Y29" s="571">
        <v>-8.5299999999999994</v>
      </c>
      <c r="Z29" s="571">
        <v>-0.01</v>
      </c>
      <c r="AA29" s="571">
        <v>0.91</v>
      </c>
      <c r="AB29" s="571">
        <v>-0.26</v>
      </c>
      <c r="AC29" s="571">
        <v>-4.22</v>
      </c>
      <c r="AD29" s="571">
        <v>-1.1100000000000001</v>
      </c>
      <c r="AE29" s="571">
        <v>1.83</v>
      </c>
      <c r="AF29" s="571">
        <v>0</v>
      </c>
      <c r="AG29" s="571">
        <v>-7.0000000000000007E-2</v>
      </c>
      <c r="AH29" s="571">
        <v>1.79</v>
      </c>
      <c r="AI29" s="571">
        <v>0</v>
      </c>
      <c r="AJ29" s="571">
        <v>-0.81</v>
      </c>
    </row>
    <row r="30" spans="1:36" s="18" customFormat="1" ht="15" customHeight="1">
      <c r="A30" s="829" t="s">
        <v>813</v>
      </c>
      <c r="B30" s="555">
        <v>-1.0900000000000001</v>
      </c>
      <c r="C30" s="555">
        <v>0</v>
      </c>
      <c r="D30" s="555">
        <v>0.05</v>
      </c>
      <c r="E30" s="555">
        <v>-0.02</v>
      </c>
      <c r="F30" s="555">
        <v>-0.99</v>
      </c>
      <c r="G30" s="555">
        <v>-0.89</v>
      </c>
      <c r="H30" s="555">
        <v>-0.85</v>
      </c>
      <c r="I30" s="555">
        <v>0.27</v>
      </c>
      <c r="J30" s="555">
        <v>-2.72</v>
      </c>
      <c r="K30" s="555">
        <v>-1.64</v>
      </c>
      <c r="L30" s="555">
        <v>0</v>
      </c>
      <c r="M30" s="555">
        <v>-1.78</v>
      </c>
      <c r="N30" s="555">
        <v>-0.2</v>
      </c>
      <c r="O30" s="555">
        <v>-0.75</v>
      </c>
      <c r="P30" s="555">
        <v>-1.1299999999999999</v>
      </c>
      <c r="Q30" s="555">
        <v>-3.35</v>
      </c>
      <c r="R30" s="555">
        <v>-1.47</v>
      </c>
      <c r="S30" s="829" t="s">
        <v>813</v>
      </c>
      <c r="T30" s="555">
        <v>2.25</v>
      </c>
      <c r="U30" s="555">
        <v>0</v>
      </c>
      <c r="V30" s="555">
        <v>-0.46</v>
      </c>
      <c r="W30" s="555">
        <v>-0.98</v>
      </c>
      <c r="X30" s="555">
        <v>-0.02</v>
      </c>
      <c r="Y30" s="555">
        <v>3.78</v>
      </c>
      <c r="Z30" s="555">
        <v>0.01</v>
      </c>
      <c r="AA30" s="555">
        <v>-0.08</v>
      </c>
      <c r="AB30" s="555">
        <v>-0.15</v>
      </c>
      <c r="AC30" s="555">
        <v>2.9</v>
      </c>
      <c r="AD30" s="555">
        <v>-4.5199999999999996</v>
      </c>
      <c r="AE30" s="555">
        <v>-1.18</v>
      </c>
      <c r="AF30" s="555">
        <v>0</v>
      </c>
      <c r="AG30" s="555">
        <v>-0.5</v>
      </c>
      <c r="AH30" s="555">
        <v>1.24</v>
      </c>
      <c r="AI30" s="555">
        <v>0</v>
      </c>
      <c r="AJ30" s="555">
        <v>0.03</v>
      </c>
    </row>
    <row r="31" spans="1:36" s="18" customFormat="1" ht="15" customHeight="1">
      <c r="A31" s="834" t="s">
        <v>820</v>
      </c>
      <c r="B31" s="571">
        <v>-1.72</v>
      </c>
      <c r="C31" s="571">
        <v>-0.12</v>
      </c>
      <c r="D31" s="571">
        <v>0.01</v>
      </c>
      <c r="E31" s="571">
        <v>-1.53</v>
      </c>
      <c r="F31" s="571">
        <v>-1.23</v>
      </c>
      <c r="G31" s="571">
        <v>-2.29</v>
      </c>
      <c r="H31" s="571">
        <v>-2.2799999999999998</v>
      </c>
      <c r="I31" s="571">
        <v>-0.2</v>
      </c>
      <c r="J31" s="571">
        <v>-1.59</v>
      </c>
      <c r="K31" s="571">
        <v>-2.09</v>
      </c>
      <c r="L31" s="571">
        <v>0</v>
      </c>
      <c r="M31" s="571">
        <v>0.53</v>
      </c>
      <c r="N31" s="571">
        <v>-0.2</v>
      </c>
      <c r="O31" s="571">
        <v>-1.05</v>
      </c>
      <c r="P31" s="571">
        <v>-3.15</v>
      </c>
      <c r="Q31" s="571">
        <v>-1.18</v>
      </c>
      <c r="R31" s="571">
        <v>-0.97</v>
      </c>
      <c r="S31" s="834" t="s">
        <v>820</v>
      </c>
      <c r="T31" s="571">
        <v>-3.17</v>
      </c>
      <c r="U31" s="571">
        <v>0.03</v>
      </c>
      <c r="V31" s="571">
        <v>-7.55</v>
      </c>
      <c r="W31" s="571">
        <v>0.85</v>
      </c>
      <c r="X31" s="571">
        <v>0.03</v>
      </c>
      <c r="Y31" s="571">
        <v>-0.02</v>
      </c>
      <c r="Z31" s="571">
        <v>-0.02</v>
      </c>
      <c r="AA31" s="571">
        <v>-2.6</v>
      </c>
      <c r="AB31" s="571">
        <v>-1.33</v>
      </c>
      <c r="AC31" s="571">
        <v>-3.15</v>
      </c>
      <c r="AD31" s="571">
        <v>-3.04</v>
      </c>
      <c r="AE31" s="571">
        <v>-2.29</v>
      </c>
      <c r="AF31" s="571">
        <v>0</v>
      </c>
      <c r="AG31" s="571">
        <v>-0.94</v>
      </c>
      <c r="AH31" s="571">
        <v>-2.8</v>
      </c>
      <c r="AI31" s="571">
        <v>0</v>
      </c>
      <c r="AJ31" s="571">
        <v>-2.4900000000000002</v>
      </c>
    </row>
    <row r="32" spans="1:36" s="18" customFormat="1" ht="15" customHeight="1">
      <c r="A32" s="829" t="s">
        <v>821</v>
      </c>
      <c r="B32" s="555">
        <v>3</v>
      </c>
      <c r="C32" s="555">
        <v>-0.06</v>
      </c>
      <c r="D32" s="555">
        <v>0</v>
      </c>
      <c r="E32" s="555">
        <v>-1.33</v>
      </c>
      <c r="F32" s="555">
        <v>0.42</v>
      </c>
      <c r="G32" s="555">
        <v>0.41</v>
      </c>
      <c r="H32" s="555">
        <v>0.43</v>
      </c>
      <c r="I32" s="555">
        <v>0.28000000000000003</v>
      </c>
      <c r="J32" s="555">
        <v>5.59</v>
      </c>
      <c r="K32" s="555">
        <v>6.03</v>
      </c>
      <c r="L32" s="555">
        <v>0</v>
      </c>
      <c r="M32" s="555">
        <v>-0.34</v>
      </c>
      <c r="N32" s="555">
        <v>-0.16</v>
      </c>
      <c r="O32" s="555">
        <v>-0.18</v>
      </c>
      <c r="P32" s="555">
        <v>1.1299999999999999</v>
      </c>
      <c r="Q32" s="555">
        <v>3.65</v>
      </c>
      <c r="R32" s="555">
        <v>4.6399999999999997</v>
      </c>
      <c r="S32" s="829" t="s">
        <v>821</v>
      </c>
      <c r="T32" s="555">
        <v>-1.43</v>
      </c>
      <c r="U32" s="555">
        <v>-0.03</v>
      </c>
      <c r="V32" s="555">
        <v>-0.59</v>
      </c>
      <c r="W32" s="555">
        <v>2.2200000000000002</v>
      </c>
      <c r="X32" s="555">
        <v>-0.02</v>
      </c>
      <c r="Y32" s="555">
        <v>-2.13</v>
      </c>
      <c r="Z32" s="555">
        <v>-0.03</v>
      </c>
      <c r="AA32" s="555">
        <v>1.78</v>
      </c>
      <c r="AB32" s="555">
        <v>1.08</v>
      </c>
      <c r="AC32" s="555">
        <v>1.63</v>
      </c>
      <c r="AD32" s="555">
        <v>-2.89</v>
      </c>
      <c r="AE32" s="555">
        <v>0.93</v>
      </c>
      <c r="AF32" s="555">
        <v>0</v>
      </c>
      <c r="AG32" s="555">
        <v>-0.18</v>
      </c>
      <c r="AH32" s="555">
        <v>1.1200000000000001</v>
      </c>
      <c r="AI32" s="555">
        <v>0</v>
      </c>
      <c r="AJ32" s="555">
        <v>0.69</v>
      </c>
    </row>
    <row r="33" spans="1:36" s="18" customFormat="1" ht="15" customHeight="1">
      <c r="A33" s="834" t="s">
        <v>814</v>
      </c>
      <c r="B33" s="571">
        <v>-3.76</v>
      </c>
      <c r="C33" s="571">
        <v>0</v>
      </c>
      <c r="D33" s="571">
        <v>-0.01</v>
      </c>
      <c r="E33" s="571">
        <v>-2.61</v>
      </c>
      <c r="F33" s="571">
        <v>1.05</v>
      </c>
      <c r="G33" s="571">
        <v>0.37</v>
      </c>
      <c r="H33" s="571">
        <v>0.39</v>
      </c>
      <c r="I33" s="571">
        <v>-0.11</v>
      </c>
      <c r="J33" s="571">
        <v>-0.22</v>
      </c>
      <c r="K33" s="571">
        <v>-0.78</v>
      </c>
      <c r="L33" s="571">
        <v>0</v>
      </c>
      <c r="M33" s="571">
        <v>2.91</v>
      </c>
      <c r="N33" s="571">
        <v>0.15</v>
      </c>
      <c r="O33" s="571">
        <v>1.24</v>
      </c>
      <c r="P33" s="571">
        <v>2.75</v>
      </c>
      <c r="Q33" s="571">
        <v>1.68</v>
      </c>
      <c r="R33" s="571">
        <v>-2.09</v>
      </c>
      <c r="S33" s="834" t="s">
        <v>814</v>
      </c>
      <c r="T33" s="571">
        <v>-2.0499999999999998</v>
      </c>
      <c r="U33" s="571">
        <v>0</v>
      </c>
      <c r="V33" s="571">
        <v>-3.88</v>
      </c>
      <c r="W33" s="571">
        <v>-0.38</v>
      </c>
      <c r="X33" s="571">
        <v>0</v>
      </c>
      <c r="Y33" s="571">
        <v>-2.76</v>
      </c>
      <c r="Z33" s="571">
        <v>0</v>
      </c>
      <c r="AA33" s="571">
        <v>0.77</v>
      </c>
      <c r="AB33" s="571">
        <v>0.27</v>
      </c>
      <c r="AC33" s="571">
        <v>0.73</v>
      </c>
      <c r="AD33" s="571">
        <v>-1.83</v>
      </c>
      <c r="AE33" s="571">
        <v>1.18</v>
      </c>
      <c r="AF33" s="571">
        <v>0</v>
      </c>
      <c r="AG33" s="571">
        <v>0.81</v>
      </c>
      <c r="AH33" s="571">
        <v>1.22</v>
      </c>
      <c r="AI33" s="571">
        <v>0</v>
      </c>
      <c r="AJ33" s="571">
        <v>-0.68</v>
      </c>
    </row>
    <row r="34" spans="1:36" s="18" customFormat="1" ht="15" customHeight="1">
      <c r="A34" s="829" t="s">
        <v>822</v>
      </c>
      <c r="B34" s="555">
        <v>2.89</v>
      </c>
      <c r="C34" s="555">
        <v>-0.06</v>
      </c>
      <c r="D34" s="555">
        <v>0</v>
      </c>
      <c r="E34" s="555">
        <v>3.73</v>
      </c>
      <c r="F34" s="555">
        <v>2.4</v>
      </c>
      <c r="G34" s="555">
        <v>0.35</v>
      </c>
      <c r="H34" s="555">
        <v>0.35</v>
      </c>
      <c r="I34" s="555">
        <v>-0.16</v>
      </c>
      <c r="J34" s="555">
        <v>-1.83</v>
      </c>
      <c r="K34" s="555">
        <v>3.1</v>
      </c>
      <c r="L34" s="555">
        <v>0</v>
      </c>
      <c r="M34" s="555">
        <v>1.1399999999999999</v>
      </c>
      <c r="N34" s="555">
        <v>0.26</v>
      </c>
      <c r="O34" s="555">
        <v>1.24</v>
      </c>
      <c r="P34" s="555">
        <v>1.68</v>
      </c>
      <c r="Q34" s="555">
        <v>-1.61</v>
      </c>
      <c r="R34" s="555">
        <v>2.67</v>
      </c>
      <c r="S34" s="829" t="s">
        <v>822</v>
      </c>
      <c r="T34" s="555">
        <v>3.42</v>
      </c>
      <c r="U34" s="555">
        <v>0</v>
      </c>
      <c r="V34" s="555">
        <v>0.12</v>
      </c>
      <c r="W34" s="555">
        <v>0.8</v>
      </c>
      <c r="X34" s="555">
        <v>0.02</v>
      </c>
      <c r="Y34" s="555">
        <v>5.31</v>
      </c>
      <c r="Z34" s="555">
        <v>0.05</v>
      </c>
      <c r="AA34" s="555">
        <v>0.01</v>
      </c>
      <c r="AB34" s="555">
        <v>1.43</v>
      </c>
      <c r="AC34" s="555">
        <v>-0.56999999999999995</v>
      </c>
      <c r="AD34" s="555">
        <v>1.98</v>
      </c>
      <c r="AE34" s="555">
        <v>-1.01</v>
      </c>
      <c r="AF34" s="555">
        <v>0</v>
      </c>
      <c r="AG34" s="555">
        <v>0.46</v>
      </c>
      <c r="AH34" s="555">
        <v>4.05</v>
      </c>
      <c r="AI34" s="555">
        <v>0</v>
      </c>
      <c r="AJ34" s="555">
        <v>3.22</v>
      </c>
    </row>
    <row r="35" spans="1:36" s="18" customFormat="1" ht="15" customHeight="1">
      <c r="A35" s="834" t="s">
        <v>823</v>
      </c>
      <c r="B35" s="571">
        <v>-0.81</v>
      </c>
      <c r="C35" s="571">
        <v>-0.24</v>
      </c>
      <c r="D35" s="571">
        <v>0</v>
      </c>
      <c r="E35" s="571">
        <v>-0.15</v>
      </c>
      <c r="F35" s="571">
        <v>0.25</v>
      </c>
      <c r="G35" s="571">
        <v>-0.74</v>
      </c>
      <c r="H35" s="571">
        <v>-0.79</v>
      </c>
      <c r="I35" s="571">
        <v>-0.08</v>
      </c>
      <c r="J35" s="571">
        <v>0.39</v>
      </c>
      <c r="K35" s="571">
        <v>0.15</v>
      </c>
      <c r="L35" s="571">
        <v>0</v>
      </c>
      <c r="M35" s="571">
        <v>-1.4</v>
      </c>
      <c r="N35" s="571">
        <v>-7.0000000000000007E-2</v>
      </c>
      <c r="O35" s="571">
        <v>0.54</v>
      </c>
      <c r="P35" s="571">
        <v>-7.0000000000000007E-2</v>
      </c>
      <c r="Q35" s="571">
        <v>-0.21</v>
      </c>
      <c r="R35" s="571">
        <v>-0.08</v>
      </c>
      <c r="S35" s="834" t="s">
        <v>823</v>
      </c>
      <c r="T35" s="571">
        <v>-1.6</v>
      </c>
      <c r="U35" s="571">
        <v>0</v>
      </c>
      <c r="V35" s="571">
        <v>-0.06</v>
      </c>
      <c r="W35" s="571">
        <v>0.3</v>
      </c>
      <c r="X35" s="571">
        <v>0</v>
      </c>
      <c r="Y35" s="571">
        <v>-0.38</v>
      </c>
      <c r="Z35" s="571">
        <v>0</v>
      </c>
      <c r="AA35" s="571">
        <v>-0.6</v>
      </c>
      <c r="AB35" s="571">
        <v>0</v>
      </c>
      <c r="AC35" s="571">
        <v>-2.94</v>
      </c>
      <c r="AD35" s="571">
        <v>-0.22</v>
      </c>
      <c r="AE35" s="571">
        <v>-0.55000000000000004</v>
      </c>
      <c r="AF35" s="571">
        <v>0</v>
      </c>
      <c r="AG35" s="571">
        <v>-0.17</v>
      </c>
      <c r="AH35" s="571">
        <v>-0.54</v>
      </c>
      <c r="AI35" s="571">
        <v>0.01</v>
      </c>
      <c r="AJ35" s="571">
        <v>1.03</v>
      </c>
    </row>
    <row r="36" spans="1:36" s="420" customFormat="1" ht="15" customHeight="1">
      <c r="A36" s="829" t="s">
        <v>815</v>
      </c>
      <c r="B36" s="555">
        <v>-1.28</v>
      </c>
      <c r="C36" s="555">
        <v>-0.12</v>
      </c>
      <c r="D36" s="555">
        <v>0</v>
      </c>
      <c r="E36" s="555">
        <v>-1.33</v>
      </c>
      <c r="F36" s="555">
        <v>-0.71</v>
      </c>
      <c r="G36" s="555">
        <v>-1.55</v>
      </c>
      <c r="H36" s="555">
        <v>-1.49</v>
      </c>
      <c r="I36" s="555">
        <v>-0.01</v>
      </c>
      <c r="J36" s="555">
        <v>2.57</v>
      </c>
      <c r="K36" s="555">
        <v>-1.6</v>
      </c>
      <c r="L36" s="555">
        <v>0</v>
      </c>
      <c r="M36" s="555">
        <v>-0.24</v>
      </c>
      <c r="N36" s="555">
        <v>-0.31</v>
      </c>
      <c r="O36" s="555">
        <v>-0.4</v>
      </c>
      <c r="P36" s="555">
        <v>0.46</v>
      </c>
      <c r="Q36" s="555">
        <v>-0.42</v>
      </c>
      <c r="R36" s="555">
        <v>-1.22</v>
      </c>
      <c r="S36" s="829" t="s">
        <v>815</v>
      </c>
      <c r="T36" s="555">
        <v>-0.71</v>
      </c>
      <c r="U36" s="555">
        <v>0</v>
      </c>
      <c r="V36" s="555">
        <v>-0.69</v>
      </c>
      <c r="W36" s="555">
        <v>-1.31</v>
      </c>
      <c r="X36" s="555">
        <v>0.01</v>
      </c>
      <c r="Y36" s="555">
        <v>7.0000000000000007E-2</v>
      </c>
      <c r="Z36" s="555">
        <v>0</v>
      </c>
      <c r="AA36" s="555">
        <v>-1.72</v>
      </c>
      <c r="AB36" s="555">
        <v>-0.62</v>
      </c>
      <c r="AC36" s="555">
        <v>-0.06</v>
      </c>
      <c r="AD36" s="555">
        <v>2.4900000000000002</v>
      </c>
      <c r="AE36" s="555">
        <v>0.45</v>
      </c>
      <c r="AF36" s="555">
        <v>0</v>
      </c>
      <c r="AG36" s="555">
        <v>-0.47</v>
      </c>
      <c r="AH36" s="555">
        <v>-1.04</v>
      </c>
      <c r="AI36" s="555">
        <v>-0.01</v>
      </c>
      <c r="AJ36" s="555">
        <v>-1.65</v>
      </c>
    </row>
    <row r="37" spans="1:36" s="420" customFormat="1" ht="15" customHeight="1">
      <c r="A37" s="834" t="s">
        <v>824</v>
      </c>
      <c r="B37" s="571">
        <v>-0.55000000000000004</v>
      </c>
      <c r="C37" s="571">
        <v>-0.24</v>
      </c>
      <c r="D37" s="571">
        <v>0</v>
      </c>
      <c r="E37" s="571">
        <v>-0.83</v>
      </c>
      <c r="F37" s="571">
        <v>7.0000000000000007E-2</v>
      </c>
      <c r="G37" s="571">
        <v>-0.28999999999999998</v>
      </c>
      <c r="H37" s="571">
        <v>-0.28999999999999998</v>
      </c>
      <c r="I37" s="571">
        <v>0.08</v>
      </c>
      <c r="J37" s="571">
        <v>-0.91</v>
      </c>
      <c r="K37" s="571">
        <v>0.09</v>
      </c>
      <c r="L37" s="571">
        <v>0</v>
      </c>
      <c r="M37" s="571">
        <v>-0.71</v>
      </c>
      <c r="N37" s="571">
        <v>-7.0000000000000007E-2</v>
      </c>
      <c r="O37" s="571">
        <v>-1.28</v>
      </c>
      <c r="P37" s="571">
        <v>-0.66</v>
      </c>
      <c r="Q37" s="571">
        <v>-0.48</v>
      </c>
      <c r="R37" s="571">
        <v>-1.98</v>
      </c>
      <c r="S37" s="834" t="s">
        <v>824</v>
      </c>
      <c r="T37" s="571">
        <v>-0.39</v>
      </c>
      <c r="U37" s="571">
        <v>0</v>
      </c>
      <c r="V37" s="571">
        <v>-0.57999999999999996</v>
      </c>
      <c r="W37" s="571">
        <v>1.31</v>
      </c>
      <c r="X37" s="571">
        <v>-0.01</v>
      </c>
      <c r="Y37" s="571">
        <v>1.82</v>
      </c>
      <c r="Z37" s="571">
        <v>0</v>
      </c>
      <c r="AA37" s="571">
        <v>-2.25</v>
      </c>
      <c r="AB37" s="571">
        <v>-0.43</v>
      </c>
      <c r="AC37" s="571">
        <v>-2.25</v>
      </c>
      <c r="AD37" s="571">
        <v>0.01</v>
      </c>
      <c r="AE37" s="571">
        <v>-2.38</v>
      </c>
      <c r="AF37" s="571">
        <v>0</v>
      </c>
      <c r="AG37" s="571">
        <v>-0.43</v>
      </c>
      <c r="AH37" s="571">
        <v>-0.6</v>
      </c>
      <c r="AI37" s="571">
        <v>0</v>
      </c>
      <c r="AJ37" s="571">
        <v>-0.73</v>
      </c>
    </row>
    <row r="38" spans="1:36" s="420" customFormat="1" ht="15" customHeight="1" thickBot="1">
      <c r="A38" s="1669" t="s">
        <v>825</v>
      </c>
      <c r="B38" s="1698">
        <v>-1.98</v>
      </c>
      <c r="C38" s="1698">
        <v>-0.06</v>
      </c>
      <c r="D38" s="1698">
        <v>0</v>
      </c>
      <c r="E38" s="1698">
        <v>-0.47</v>
      </c>
      <c r="F38" s="1698">
        <v>-2.4700000000000002</v>
      </c>
      <c r="G38" s="1698">
        <v>-0.5</v>
      </c>
      <c r="H38" s="1698">
        <v>-0.49</v>
      </c>
      <c r="I38" s="1698">
        <v>-7.0000000000000007E-2</v>
      </c>
      <c r="J38" s="1698">
        <v>-0.04</v>
      </c>
      <c r="K38" s="1698">
        <v>-1.2</v>
      </c>
      <c r="L38" s="1698">
        <v>0</v>
      </c>
      <c r="M38" s="1698">
        <v>1.87</v>
      </c>
      <c r="N38" s="1698">
        <v>0.03</v>
      </c>
      <c r="O38" s="1698">
        <v>-1.45</v>
      </c>
      <c r="P38" s="1698">
        <v>-0.72</v>
      </c>
      <c r="Q38" s="1698">
        <v>-0.13</v>
      </c>
      <c r="R38" s="1698">
        <v>-2.37</v>
      </c>
      <c r="S38" s="1669" t="s">
        <v>825</v>
      </c>
      <c r="T38" s="1698">
        <v>-1.08</v>
      </c>
      <c r="U38" s="1698">
        <v>0</v>
      </c>
      <c r="V38" s="1698">
        <v>-6.05</v>
      </c>
      <c r="W38" s="1698">
        <v>-0.44</v>
      </c>
      <c r="X38" s="1698">
        <v>0.01</v>
      </c>
      <c r="Y38" s="1698">
        <v>-0.65</v>
      </c>
      <c r="Z38" s="1698">
        <v>0</v>
      </c>
      <c r="AA38" s="1698">
        <v>-2.2400000000000002</v>
      </c>
      <c r="AB38" s="1698">
        <v>-1.42</v>
      </c>
      <c r="AC38" s="1698">
        <v>-0.41</v>
      </c>
      <c r="AD38" s="1698">
        <v>-0.48</v>
      </c>
      <c r="AE38" s="1698">
        <v>1.19</v>
      </c>
      <c r="AF38" s="1698">
        <v>0</v>
      </c>
      <c r="AG38" s="1698">
        <v>-0.28999999999999998</v>
      </c>
      <c r="AH38" s="1698">
        <v>0.41</v>
      </c>
      <c r="AI38" s="1698">
        <v>0</v>
      </c>
      <c r="AJ38" s="1698">
        <v>-2.4</v>
      </c>
    </row>
    <row r="39" spans="1:36" s="18" customFormat="1" ht="12" customHeight="1">
      <c r="A39" s="311" t="s">
        <v>872</v>
      </c>
      <c r="B39" s="2222" t="s">
        <v>2252</v>
      </c>
      <c r="C39" s="2222"/>
      <c r="D39" s="2222"/>
      <c r="E39" s="2222"/>
      <c r="F39" s="2222"/>
      <c r="G39" s="2222"/>
      <c r="H39" s="312"/>
      <c r="I39" s="314" t="s">
        <v>441</v>
      </c>
      <c r="J39" s="312" t="s">
        <v>2138</v>
      </c>
      <c r="S39" s="314" t="s">
        <v>441</v>
      </c>
      <c r="T39" s="312" t="s">
        <v>2138</v>
      </c>
    </row>
    <row r="40" spans="1:36">
      <c r="A40" s="18"/>
      <c r="B40" s="1104"/>
      <c r="C40" s="1104"/>
      <c r="D40" s="1104"/>
      <c r="E40" s="1104"/>
      <c r="F40" s="1104"/>
      <c r="G40" s="1104"/>
      <c r="H40" s="1104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</row>
    <row r="43" spans="1:36">
      <c r="K43" s="836"/>
    </row>
    <row r="46" spans="1:36" ht="10.9" customHeight="1">
      <c r="B46" s="119"/>
      <c r="C46" s="119"/>
      <c r="D46" s="119"/>
      <c r="E46" s="119"/>
      <c r="F46" s="119"/>
      <c r="G46" s="119"/>
      <c r="H46" s="119"/>
      <c r="I46" s="119"/>
      <c r="J46" s="119"/>
      <c r="K46" s="119"/>
      <c r="L46" s="119"/>
      <c r="M46" s="119"/>
      <c r="N46" s="119"/>
      <c r="O46" s="119"/>
      <c r="P46" s="119"/>
      <c r="Q46" s="119"/>
      <c r="R46" s="119"/>
      <c r="Y46" s="119"/>
      <c r="Z46" s="119"/>
      <c r="AA46" s="119"/>
      <c r="AB46" s="119"/>
      <c r="AC46" s="119"/>
      <c r="AD46" s="119"/>
      <c r="AE46" s="119"/>
      <c r="AF46" s="119"/>
      <c r="AG46" s="119"/>
      <c r="AH46" s="119"/>
      <c r="AI46" s="119"/>
      <c r="AJ46" s="119"/>
    </row>
    <row r="47" spans="1:36">
      <c r="B47" s="119"/>
      <c r="C47" s="119"/>
      <c r="D47" s="119"/>
      <c r="E47" s="119"/>
      <c r="F47" s="119"/>
      <c r="G47" s="119"/>
      <c r="H47" s="119"/>
      <c r="I47" s="119"/>
      <c r="J47" s="119"/>
      <c r="K47" s="119"/>
      <c r="L47" s="119"/>
      <c r="M47" s="119"/>
      <c r="N47" s="119"/>
      <c r="O47" s="119"/>
      <c r="P47" s="119"/>
      <c r="Q47" s="119"/>
      <c r="R47" s="119"/>
      <c r="Y47" s="119"/>
      <c r="Z47" s="119"/>
      <c r="AA47" s="119"/>
      <c r="AB47" s="119"/>
      <c r="AC47" s="119"/>
      <c r="AD47" s="119"/>
      <c r="AE47" s="119"/>
      <c r="AF47" s="119"/>
      <c r="AG47" s="119"/>
      <c r="AH47" s="119"/>
      <c r="AI47" s="119"/>
      <c r="AJ47" s="119"/>
    </row>
    <row r="48" spans="1:36">
      <c r="B48" s="119"/>
      <c r="C48" s="119"/>
      <c r="D48" s="119"/>
      <c r="E48" s="119"/>
      <c r="F48" s="119"/>
      <c r="G48" s="119"/>
      <c r="H48" s="119"/>
      <c r="I48" s="119"/>
      <c r="J48" s="119"/>
      <c r="K48" s="119"/>
      <c r="L48" s="119"/>
      <c r="M48" s="119"/>
      <c r="N48" s="119"/>
      <c r="O48" s="119"/>
      <c r="P48" s="119"/>
      <c r="Q48" s="119"/>
      <c r="R48" s="119"/>
      <c r="W48" s="119"/>
      <c r="X48" s="119"/>
      <c r="Y48" s="119"/>
      <c r="Z48" s="119"/>
      <c r="AA48" s="119"/>
      <c r="AB48" s="119"/>
      <c r="AC48" s="119"/>
      <c r="AD48" s="119"/>
      <c r="AE48" s="119"/>
      <c r="AF48" s="119"/>
      <c r="AG48" s="119"/>
      <c r="AH48" s="119"/>
      <c r="AI48" s="119"/>
      <c r="AJ48" s="119"/>
    </row>
    <row r="49" spans="2:36">
      <c r="B49" s="119"/>
      <c r="C49" s="119"/>
      <c r="D49" s="119"/>
      <c r="E49" s="119"/>
      <c r="F49" s="119"/>
      <c r="G49" s="119"/>
      <c r="H49" s="119"/>
      <c r="I49" s="119"/>
      <c r="J49" s="119"/>
      <c r="K49" s="119"/>
      <c r="L49" s="119"/>
      <c r="M49" s="119"/>
      <c r="N49" s="119"/>
      <c r="O49" s="119"/>
      <c r="P49" s="119"/>
      <c r="Q49" s="119"/>
      <c r="R49" s="119"/>
      <c r="W49" s="119"/>
      <c r="X49" s="119"/>
      <c r="Y49" s="119"/>
      <c r="Z49" s="119"/>
      <c r="AA49" s="119"/>
      <c r="AB49" s="119"/>
      <c r="AC49" s="119"/>
      <c r="AD49" s="119"/>
      <c r="AE49" s="119"/>
      <c r="AF49" s="119"/>
      <c r="AG49" s="119"/>
      <c r="AH49" s="119"/>
      <c r="AI49" s="119"/>
      <c r="AJ49" s="119"/>
    </row>
    <row r="50" spans="2:36">
      <c r="B50" s="119"/>
      <c r="C50" s="119"/>
      <c r="D50" s="119"/>
      <c r="E50" s="119"/>
      <c r="F50" s="119"/>
      <c r="G50" s="119"/>
      <c r="H50" s="119"/>
      <c r="I50" s="119"/>
      <c r="J50" s="119"/>
      <c r="K50" s="119"/>
      <c r="L50" s="119"/>
      <c r="M50" s="119"/>
      <c r="N50" s="119"/>
      <c r="O50" s="119"/>
      <c r="P50" s="119"/>
      <c r="Q50" s="119"/>
      <c r="R50" s="119"/>
      <c r="W50" s="119"/>
      <c r="X50" s="119"/>
      <c r="Y50" s="119"/>
      <c r="Z50" s="119"/>
      <c r="AA50" s="119"/>
      <c r="AB50" s="119"/>
      <c r="AC50" s="119"/>
      <c r="AD50" s="119"/>
      <c r="AE50" s="119"/>
      <c r="AF50" s="119"/>
      <c r="AG50" s="119"/>
      <c r="AH50" s="119"/>
      <c r="AI50" s="119"/>
      <c r="AJ50" s="119"/>
    </row>
    <row r="51" spans="2:36">
      <c r="B51" s="119"/>
      <c r="C51" s="119"/>
      <c r="D51" s="119"/>
      <c r="E51" s="119"/>
      <c r="F51" s="119"/>
      <c r="G51" s="119"/>
      <c r="H51" s="119"/>
      <c r="I51" s="119"/>
      <c r="J51" s="119"/>
      <c r="K51" s="119"/>
      <c r="L51" s="119"/>
      <c r="M51" s="119"/>
      <c r="N51" s="119"/>
      <c r="O51" s="119"/>
      <c r="P51" s="119"/>
      <c r="Q51" s="119"/>
      <c r="R51" s="119"/>
      <c r="U51" s="119"/>
      <c r="V51" s="119"/>
      <c r="W51" s="119"/>
      <c r="X51" s="119"/>
      <c r="Y51" s="119"/>
      <c r="Z51" s="119"/>
      <c r="AA51" s="119"/>
      <c r="AB51" s="119"/>
      <c r="AC51" s="119"/>
      <c r="AD51" s="119"/>
      <c r="AE51" s="119"/>
      <c r="AF51" s="119"/>
      <c r="AG51" s="119"/>
      <c r="AH51" s="119"/>
      <c r="AI51" s="119"/>
      <c r="AJ51" s="119"/>
    </row>
    <row r="52" spans="2:36">
      <c r="B52" s="119"/>
      <c r="C52" s="119"/>
      <c r="D52" s="119"/>
      <c r="E52" s="119"/>
      <c r="F52" s="119"/>
      <c r="G52" s="119"/>
      <c r="H52" s="119"/>
      <c r="I52" s="119"/>
      <c r="J52" s="119"/>
      <c r="K52" s="119"/>
      <c r="L52" s="119"/>
      <c r="M52" s="119"/>
      <c r="N52" s="119"/>
      <c r="O52" s="119"/>
      <c r="P52" s="119"/>
      <c r="Q52" s="119"/>
      <c r="R52" s="119"/>
      <c r="T52" s="119"/>
      <c r="U52" s="119"/>
      <c r="V52" s="119"/>
      <c r="W52" s="119"/>
      <c r="X52" s="119"/>
      <c r="Y52" s="119"/>
      <c r="Z52" s="119"/>
      <c r="AA52" s="119"/>
      <c r="AB52" s="119"/>
      <c r="AC52" s="119"/>
      <c r="AD52" s="119"/>
      <c r="AE52" s="119"/>
      <c r="AF52" s="119"/>
      <c r="AG52" s="119"/>
      <c r="AH52" s="119"/>
      <c r="AI52" s="119"/>
      <c r="AJ52" s="119"/>
    </row>
    <row r="53" spans="2:36">
      <c r="B53" s="119"/>
      <c r="C53" s="119"/>
      <c r="D53" s="119"/>
      <c r="E53" s="119"/>
      <c r="F53" s="119"/>
      <c r="G53" s="119"/>
      <c r="H53" s="119"/>
      <c r="I53" s="119"/>
      <c r="J53" s="119"/>
      <c r="K53" s="119"/>
      <c r="L53" s="119"/>
      <c r="M53" s="119"/>
      <c r="N53" s="119"/>
      <c r="O53" s="119"/>
      <c r="P53" s="119"/>
      <c r="Q53" s="119"/>
      <c r="R53" s="119"/>
      <c r="S53" s="119"/>
      <c r="T53" s="119"/>
      <c r="U53" s="119"/>
      <c r="V53" s="119"/>
      <c r="W53" s="119"/>
      <c r="X53" s="119"/>
      <c r="Y53" s="119"/>
      <c r="Z53" s="119"/>
      <c r="AA53" s="119"/>
      <c r="AB53" s="119"/>
      <c r="AC53" s="119"/>
      <c r="AD53" s="119"/>
      <c r="AE53" s="119"/>
      <c r="AF53" s="119"/>
      <c r="AG53" s="119"/>
      <c r="AH53" s="119"/>
      <c r="AI53" s="119"/>
      <c r="AJ53" s="119"/>
    </row>
    <row r="54" spans="2:36">
      <c r="B54" s="119"/>
      <c r="C54" s="119"/>
      <c r="D54" s="119"/>
      <c r="E54" s="119"/>
      <c r="F54" s="119"/>
      <c r="G54" s="119"/>
      <c r="H54" s="119"/>
      <c r="I54" s="119"/>
      <c r="J54" s="119"/>
      <c r="K54" s="119"/>
      <c r="L54" s="119"/>
      <c r="M54" s="119"/>
      <c r="N54" s="119"/>
      <c r="O54" s="119"/>
      <c r="P54" s="119"/>
      <c r="Q54" s="119"/>
      <c r="R54" s="119"/>
      <c r="S54" s="119"/>
      <c r="T54" s="119"/>
      <c r="U54" s="119"/>
      <c r="V54" s="119"/>
      <c r="W54" s="119"/>
      <c r="X54" s="119"/>
      <c r="Y54" s="119"/>
      <c r="Z54" s="119"/>
      <c r="AA54" s="119"/>
      <c r="AB54" s="119"/>
      <c r="AC54" s="119"/>
      <c r="AD54" s="119"/>
      <c r="AE54" s="119"/>
      <c r="AF54" s="119"/>
      <c r="AG54" s="119"/>
      <c r="AH54" s="119"/>
      <c r="AI54" s="119"/>
      <c r="AJ54" s="119"/>
    </row>
    <row r="55" spans="2:36">
      <c r="B55" s="119"/>
      <c r="C55" s="119"/>
      <c r="D55" s="119"/>
      <c r="E55" s="119"/>
      <c r="F55" s="119"/>
      <c r="G55" s="119"/>
      <c r="H55" s="119"/>
      <c r="I55" s="119"/>
      <c r="J55" s="119"/>
      <c r="K55" s="119"/>
      <c r="L55" s="119"/>
      <c r="M55" s="119"/>
      <c r="N55" s="119"/>
      <c r="O55" s="119"/>
      <c r="P55" s="119"/>
      <c r="Q55" s="119"/>
      <c r="R55" s="119"/>
      <c r="S55" s="119"/>
      <c r="T55" s="119"/>
      <c r="U55" s="119"/>
      <c r="V55" s="119"/>
      <c r="W55" s="119"/>
      <c r="X55" s="119"/>
      <c r="Y55" s="119"/>
      <c r="Z55" s="119"/>
      <c r="AA55" s="119"/>
      <c r="AB55" s="119"/>
      <c r="AC55" s="119"/>
      <c r="AD55" s="119"/>
      <c r="AE55" s="119"/>
      <c r="AF55" s="119"/>
      <c r="AG55" s="119"/>
      <c r="AH55" s="119"/>
      <c r="AI55" s="119"/>
      <c r="AJ55" s="119"/>
    </row>
    <row r="56" spans="2:36">
      <c r="B56" s="119"/>
      <c r="C56" s="119"/>
      <c r="D56" s="119"/>
      <c r="E56" s="119"/>
      <c r="F56" s="119"/>
      <c r="G56" s="119"/>
      <c r="H56" s="119"/>
      <c r="I56" s="119"/>
      <c r="J56" s="119"/>
      <c r="K56" s="119"/>
      <c r="L56" s="119"/>
      <c r="M56" s="119"/>
      <c r="N56" s="119"/>
      <c r="O56" s="119"/>
      <c r="P56" s="119"/>
      <c r="Q56" s="119"/>
      <c r="R56" s="119"/>
      <c r="S56" s="119"/>
      <c r="T56" s="119"/>
      <c r="U56" s="119"/>
      <c r="V56" s="119"/>
      <c r="W56" s="119"/>
      <c r="X56" s="119"/>
      <c r="Y56" s="119"/>
      <c r="Z56" s="119"/>
      <c r="AA56" s="119"/>
      <c r="AB56" s="119"/>
      <c r="AC56" s="119"/>
      <c r="AD56" s="119"/>
      <c r="AE56" s="119"/>
      <c r="AF56" s="119"/>
      <c r="AG56" s="119"/>
      <c r="AH56" s="119"/>
      <c r="AI56" s="119"/>
      <c r="AJ56" s="119"/>
    </row>
    <row r="57" spans="2:36">
      <c r="B57" s="119"/>
      <c r="C57" s="119"/>
      <c r="D57" s="119"/>
      <c r="E57" s="119"/>
      <c r="F57" s="119"/>
      <c r="G57" s="119"/>
      <c r="H57" s="119"/>
      <c r="I57" s="119"/>
      <c r="J57" s="119"/>
      <c r="K57" s="119"/>
      <c r="L57" s="119"/>
      <c r="M57" s="119"/>
      <c r="N57" s="119"/>
      <c r="O57" s="119"/>
      <c r="P57" s="119"/>
      <c r="Q57" s="119"/>
      <c r="R57" s="119"/>
      <c r="S57" s="119"/>
      <c r="T57" s="119"/>
      <c r="U57" s="119"/>
      <c r="V57" s="119"/>
      <c r="W57" s="119"/>
      <c r="X57" s="119"/>
      <c r="Y57" s="119"/>
      <c r="Z57" s="119"/>
      <c r="AA57" s="119"/>
      <c r="AB57" s="119"/>
      <c r="AC57" s="119"/>
      <c r="AD57" s="119"/>
      <c r="AE57" s="119"/>
      <c r="AF57" s="119"/>
      <c r="AG57" s="119"/>
      <c r="AH57" s="119"/>
      <c r="AI57" s="119"/>
      <c r="AJ57" s="119"/>
    </row>
    <row r="58" spans="2:36">
      <c r="B58" s="119"/>
      <c r="C58" s="119"/>
      <c r="D58" s="119"/>
      <c r="E58" s="119"/>
      <c r="F58" s="119"/>
      <c r="G58" s="119"/>
      <c r="H58" s="119"/>
      <c r="I58" s="119"/>
      <c r="J58" s="119"/>
      <c r="K58" s="119"/>
      <c r="L58" s="119"/>
      <c r="M58" s="119"/>
      <c r="N58" s="119"/>
      <c r="O58" s="119"/>
      <c r="P58" s="119"/>
      <c r="Q58" s="119"/>
      <c r="R58" s="119"/>
      <c r="S58" s="119"/>
      <c r="T58" s="119"/>
      <c r="U58" s="119"/>
      <c r="V58" s="119"/>
      <c r="W58" s="119"/>
      <c r="X58" s="119"/>
      <c r="Y58" s="119"/>
      <c r="Z58" s="119"/>
      <c r="AA58" s="119"/>
      <c r="AB58" s="119"/>
      <c r="AC58" s="119"/>
      <c r="AD58" s="119"/>
      <c r="AE58" s="119"/>
      <c r="AF58" s="119"/>
      <c r="AG58" s="119"/>
      <c r="AH58" s="119"/>
      <c r="AI58" s="119"/>
      <c r="AJ58" s="119"/>
    </row>
    <row r="59" spans="2:36">
      <c r="B59" s="119"/>
      <c r="C59" s="119"/>
      <c r="D59" s="119"/>
      <c r="E59" s="119"/>
      <c r="F59" s="119"/>
      <c r="G59" s="119"/>
      <c r="H59" s="119"/>
      <c r="I59" s="119"/>
      <c r="J59" s="119"/>
      <c r="K59" s="119"/>
      <c r="L59" s="119"/>
      <c r="M59" s="119"/>
      <c r="N59" s="119"/>
      <c r="O59" s="119"/>
      <c r="P59" s="119"/>
      <c r="Q59" s="119"/>
      <c r="R59" s="119"/>
      <c r="S59" s="119"/>
      <c r="T59" s="119"/>
      <c r="U59" s="119"/>
      <c r="V59" s="119"/>
      <c r="W59" s="119"/>
      <c r="X59" s="119"/>
      <c r="Y59" s="119"/>
      <c r="Z59" s="119"/>
      <c r="AA59" s="119"/>
      <c r="AB59" s="119"/>
      <c r="AC59" s="119"/>
      <c r="AD59" s="119"/>
      <c r="AE59" s="119"/>
      <c r="AF59" s="119"/>
      <c r="AG59" s="119"/>
      <c r="AH59" s="119"/>
      <c r="AI59" s="119"/>
      <c r="AJ59" s="119"/>
    </row>
    <row r="60" spans="2:36">
      <c r="B60" s="119"/>
      <c r="C60" s="119"/>
      <c r="D60" s="119"/>
      <c r="E60" s="119"/>
      <c r="F60" s="119"/>
      <c r="G60" s="119"/>
      <c r="H60" s="119"/>
      <c r="I60" s="119"/>
      <c r="J60" s="119"/>
      <c r="K60" s="119"/>
      <c r="L60" s="119"/>
      <c r="M60" s="119"/>
      <c r="N60" s="119"/>
      <c r="O60" s="119"/>
      <c r="P60" s="119"/>
      <c r="Q60" s="119"/>
      <c r="R60" s="119"/>
      <c r="S60" s="119"/>
      <c r="T60" s="119"/>
      <c r="U60" s="119"/>
      <c r="V60" s="119"/>
      <c r="W60" s="119"/>
      <c r="X60" s="119"/>
      <c r="Y60" s="119"/>
      <c r="Z60" s="119"/>
      <c r="AA60" s="119"/>
      <c r="AB60" s="119"/>
      <c r="AC60" s="119"/>
      <c r="AD60" s="119"/>
      <c r="AE60" s="119"/>
      <c r="AF60" s="119"/>
      <c r="AG60" s="119"/>
      <c r="AH60" s="119"/>
      <c r="AI60" s="119"/>
      <c r="AJ60" s="119"/>
    </row>
    <row r="61" spans="2:36">
      <c r="B61" s="119"/>
      <c r="C61" s="119"/>
      <c r="D61" s="119"/>
      <c r="E61" s="119"/>
      <c r="F61" s="119"/>
      <c r="G61" s="119"/>
      <c r="H61" s="119"/>
      <c r="I61" s="119"/>
      <c r="J61" s="119"/>
      <c r="K61" s="119"/>
      <c r="L61" s="119"/>
      <c r="M61" s="119"/>
      <c r="N61" s="119"/>
      <c r="O61" s="119"/>
      <c r="P61" s="119"/>
      <c r="Q61" s="119"/>
      <c r="R61" s="119"/>
      <c r="S61" s="119"/>
      <c r="T61" s="119"/>
      <c r="U61" s="119"/>
      <c r="V61" s="119"/>
      <c r="W61" s="119"/>
      <c r="X61" s="119"/>
      <c r="Y61" s="119"/>
      <c r="Z61" s="119"/>
      <c r="AA61" s="119"/>
      <c r="AB61" s="119"/>
      <c r="AC61" s="119"/>
      <c r="AD61" s="119"/>
      <c r="AE61" s="119"/>
      <c r="AF61" s="119"/>
      <c r="AG61" s="119"/>
      <c r="AH61" s="119"/>
      <c r="AI61" s="119"/>
      <c r="AJ61" s="119"/>
    </row>
    <row r="62" spans="2:36">
      <c r="B62" s="119"/>
      <c r="C62" s="119"/>
      <c r="D62" s="119"/>
      <c r="E62" s="119"/>
      <c r="F62" s="119"/>
      <c r="G62" s="119"/>
      <c r="H62" s="119"/>
      <c r="I62" s="119"/>
      <c r="J62" s="119"/>
      <c r="K62" s="119"/>
      <c r="L62" s="119"/>
      <c r="M62" s="119"/>
      <c r="N62" s="119"/>
      <c r="O62" s="119"/>
      <c r="P62" s="119"/>
      <c r="Q62" s="119"/>
      <c r="R62" s="119"/>
      <c r="S62" s="119"/>
      <c r="T62" s="119"/>
      <c r="U62" s="119"/>
      <c r="V62" s="119"/>
      <c r="W62" s="119"/>
      <c r="X62" s="119"/>
      <c r="Y62" s="119"/>
      <c r="Z62" s="119"/>
      <c r="AA62" s="119"/>
      <c r="AB62" s="119"/>
      <c r="AC62" s="119"/>
      <c r="AD62" s="119"/>
      <c r="AE62" s="119"/>
      <c r="AF62" s="119"/>
      <c r="AG62" s="119"/>
      <c r="AH62" s="119"/>
      <c r="AI62" s="119"/>
      <c r="AJ62" s="119"/>
    </row>
    <row r="63" spans="2:36">
      <c r="B63" s="119"/>
      <c r="C63" s="119"/>
      <c r="D63" s="119"/>
      <c r="E63" s="119"/>
      <c r="F63" s="119"/>
      <c r="G63" s="119"/>
      <c r="H63" s="119"/>
      <c r="I63" s="119"/>
      <c r="J63" s="119"/>
      <c r="K63" s="119"/>
      <c r="L63" s="119"/>
      <c r="M63" s="119"/>
      <c r="N63" s="119"/>
      <c r="O63" s="119"/>
      <c r="P63" s="119"/>
      <c r="Q63" s="119"/>
      <c r="R63" s="119"/>
      <c r="S63" s="119"/>
      <c r="T63" s="119"/>
      <c r="U63" s="119"/>
      <c r="V63" s="119"/>
      <c r="W63" s="119"/>
      <c r="X63" s="119"/>
      <c r="Y63" s="119"/>
      <c r="Z63" s="119"/>
      <c r="AA63" s="119"/>
      <c r="AB63" s="119"/>
      <c r="AC63" s="119"/>
      <c r="AD63" s="119"/>
      <c r="AE63" s="119"/>
      <c r="AF63" s="119"/>
      <c r="AG63" s="119"/>
      <c r="AH63" s="119"/>
      <c r="AI63" s="119"/>
      <c r="AJ63" s="119"/>
    </row>
    <row r="64" spans="2:36">
      <c r="B64" s="119"/>
      <c r="C64" s="119"/>
      <c r="D64" s="119"/>
      <c r="E64" s="119"/>
      <c r="F64" s="119"/>
      <c r="G64" s="119"/>
      <c r="H64" s="119"/>
      <c r="I64" s="119"/>
      <c r="J64" s="119"/>
      <c r="K64" s="119"/>
      <c r="L64" s="119"/>
      <c r="M64" s="119"/>
      <c r="N64" s="119"/>
      <c r="O64" s="119"/>
      <c r="P64" s="119"/>
      <c r="Q64" s="119"/>
      <c r="R64" s="119"/>
      <c r="S64" s="119"/>
      <c r="T64" s="119"/>
      <c r="U64" s="119"/>
      <c r="V64" s="119"/>
      <c r="W64" s="119"/>
      <c r="X64" s="119"/>
      <c r="Y64" s="119"/>
      <c r="Z64" s="119"/>
      <c r="AA64" s="119"/>
      <c r="AB64" s="119"/>
      <c r="AC64" s="119"/>
      <c r="AD64" s="119"/>
      <c r="AE64" s="119"/>
      <c r="AF64" s="119"/>
      <c r="AG64" s="119"/>
      <c r="AH64" s="119"/>
      <c r="AI64" s="119"/>
      <c r="AJ64" s="119"/>
    </row>
    <row r="65" spans="2:36">
      <c r="B65" s="119"/>
      <c r="C65" s="119"/>
      <c r="D65" s="119"/>
      <c r="E65" s="119"/>
      <c r="F65" s="119"/>
      <c r="G65" s="119"/>
      <c r="H65" s="119"/>
      <c r="I65" s="119"/>
      <c r="J65" s="119"/>
      <c r="K65" s="119"/>
      <c r="L65" s="119"/>
      <c r="M65" s="119"/>
      <c r="N65" s="119"/>
      <c r="O65" s="119"/>
      <c r="P65" s="119"/>
      <c r="Q65" s="119"/>
      <c r="R65" s="119"/>
      <c r="S65" s="119"/>
      <c r="T65" s="119"/>
      <c r="U65" s="119"/>
      <c r="V65" s="119"/>
      <c r="W65" s="119"/>
      <c r="X65" s="119"/>
      <c r="Y65" s="119"/>
      <c r="Z65" s="119"/>
      <c r="AA65" s="119"/>
      <c r="AB65" s="119"/>
      <c r="AC65" s="119"/>
      <c r="AD65" s="119"/>
      <c r="AE65" s="119"/>
      <c r="AF65" s="119"/>
      <c r="AG65" s="119"/>
      <c r="AH65" s="119"/>
      <c r="AI65" s="119"/>
      <c r="AJ65" s="119"/>
    </row>
    <row r="66" spans="2:36">
      <c r="B66" s="119"/>
      <c r="C66" s="119"/>
      <c r="D66" s="119"/>
      <c r="E66" s="119"/>
      <c r="F66" s="119"/>
      <c r="G66" s="119"/>
      <c r="H66" s="119"/>
      <c r="I66" s="119"/>
      <c r="J66" s="119"/>
      <c r="K66" s="119"/>
      <c r="L66" s="119"/>
      <c r="M66" s="119"/>
      <c r="N66" s="119"/>
      <c r="O66" s="119"/>
      <c r="P66" s="119"/>
      <c r="Q66" s="119"/>
      <c r="R66" s="119"/>
      <c r="S66" s="119"/>
      <c r="T66" s="119"/>
      <c r="U66" s="119"/>
      <c r="V66" s="119"/>
      <c r="W66" s="119"/>
      <c r="X66" s="119"/>
      <c r="Y66" s="119"/>
      <c r="Z66" s="119"/>
      <c r="AA66" s="119"/>
      <c r="AB66" s="119"/>
      <c r="AC66" s="119"/>
      <c r="AD66" s="119"/>
      <c r="AE66" s="119"/>
      <c r="AF66" s="119"/>
      <c r="AG66" s="119"/>
      <c r="AH66" s="119"/>
      <c r="AI66" s="119"/>
      <c r="AJ66" s="119"/>
    </row>
  </sheetData>
  <mergeCells count="9">
    <mergeCell ref="B39:G39"/>
    <mergeCell ref="AI2:AJ2"/>
    <mergeCell ref="AH1:AJ1"/>
    <mergeCell ref="A1:H1"/>
    <mergeCell ref="I1:N1"/>
    <mergeCell ref="P1:R1"/>
    <mergeCell ref="Q2:R2"/>
    <mergeCell ref="AB1:AF1"/>
    <mergeCell ref="S1:AA1"/>
  </mergeCells>
  <phoneticPr fontId="46" type="noConversion"/>
  <pageMargins left="0.62992125984252001" right="0.511811023622047" top="0.511811023622047" bottom="0.511811023622047" header="0" footer="0.143700787"/>
  <pageSetup paperSize="448" firstPageNumber="96" orientation="portrait" useFirstPageNumber="1" r:id="rId1"/>
  <headerFooter>
    <oddFooter>&amp;C&amp;"Times New Roman,Regular"&amp;8&amp;P</oddFooter>
  </headerFooter>
</worksheet>
</file>

<file path=xl/worksheets/sheet35.xml><?xml version="1.0" encoding="utf-8"?>
<worksheet xmlns="http://schemas.openxmlformats.org/spreadsheetml/2006/main" xmlns:r="http://schemas.openxmlformats.org/officeDocument/2006/relationships">
  <sheetPr codeName="Sheet35"/>
  <dimension ref="A1:X76"/>
  <sheetViews>
    <sheetView zoomScale="150" zoomScaleNormal="150" workbookViewId="0">
      <pane xSplit="1" ySplit="4" topLeftCell="B47" activePane="bottomRight" state="frozen"/>
      <selection pane="topRight" activeCell="B1" sqref="B1"/>
      <selection pane="bottomLeft" activeCell="A6" sqref="A6"/>
      <selection pane="bottomRight" activeCell="G54" sqref="G54"/>
    </sheetView>
  </sheetViews>
  <sheetFormatPr defaultColWidth="9.140625" defaultRowHeight="11.25"/>
  <cols>
    <col min="1" max="1" width="7.85546875" style="23" customWidth="1"/>
    <col min="2" max="2" width="8.5703125" style="10" customWidth="1"/>
    <col min="3" max="3" width="7.7109375" style="10" customWidth="1"/>
    <col min="4" max="4" width="7" style="10" customWidth="1"/>
    <col min="5" max="5" width="7.42578125" style="10" customWidth="1"/>
    <col min="6" max="6" width="5.85546875" style="10" customWidth="1"/>
    <col min="7" max="7" width="8.5703125" style="10" customWidth="1"/>
    <col min="8" max="8" width="9.28515625" style="10" customWidth="1"/>
    <col min="9" max="9" width="7.42578125" style="10" customWidth="1"/>
    <col min="10" max="10" width="8.7109375" style="10" customWidth="1"/>
    <col min="11" max="11" width="6.85546875" style="10" customWidth="1"/>
    <col min="12" max="12" width="6.42578125" style="10" customWidth="1"/>
    <col min="13" max="13" width="8.5703125" style="10" customWidth="1"/>
    <col min="14" max="14" width="7" style="10" customWidth="1"/>
    <col min="15" max="15" width="7.140625" style="10" customWidth="1"/>
    <col min="16" max="16" width="6.5703125" style="10" customWidth="1"/>
    <col min="17" max="17" width="7.42578125" style="10" customWidth="1"/>
    <col min="18" max="18" width="9" style="10" customWidth="1"/>
    <col min="19" max="19" width="6.140625" style="10" customWidth="1"/>
    <col min="20" max="21" width="6.7109375" style="10" customWidth="1"/>
    <col min="22" max="16384" width="9.140625" style="10"/>
  </cols>
  <sheetData>
    <row r="1" spans="1:22" s="32" customFormat="1" ht="20.45" customHeight="1">
      <c r="A1" s="2227" t="s">
        <v>873</v>
      </c>
      <c r="B1" s="2227"/>
      <c r="C1" s="2227"/>
      <c r="D1" s="2227"/>
      <c r="E1" s="2227"/>
      <c r="F1" s="2227"/>
      <c r="G1" s="2227"/>
      <c r="H1" s="2227"/>
      <c r="I1" s="2227"/>
      <c r="J1" s="2227"/>
      <c r="K1" s="2036" t="s">
        <v>529</v>
      </c>
      <c r="L1" s="2228"/>
      <c r="M1" s="2228"/>
      <c r="N1" s="2228"/>
      <c r="O1" s="2228"/>
      <c r="P1" s="2228"/>
      <c r="Q1" s="2228"/>
      <c r="R1" s="2228"/>
      <c r="S1" s="2035" t="s">
        <v>1825</v>
      </c>
      <c r="T1" s="2035"/>
      <c r="U1" s="2035"/>
    </row>
    <row r="2" spans="1:22" s="160" customFormat="1" ht="30" customHeight="1">
      <c r="A2" s="82" t="s">
        <v>862</v>
      </c>
      <c r="B2" s="82" t="s">
        <v>532</v>
      </c>
      <c r="C2" s="296" t="s">
        <v>1233</v>
      </c>
      <c r="D2" s="82" t="s">
        <v>1794</v>
      </c>
      <c r="E2" s="2230" t="s">
        <v>1671</v>
      </c>
      <c r="F2" s="2231"/>
      <c r="G2" s="82" t="s">
        <v>531</v>
      </c>
      <c r="H2" s="82" t="s">
        <v>1685</v>
      </c>
      <c r="I2" s="89" t="s">
        <v>1668</v>
      </c>
      <c r="J2" s="82" t="s">
        <v>1684</v>
      </c>
      <c r="K2" s="82" t="s">
        <v>1670</v>
      </c>
      <c r="L2" s="2233" t="s">
        <v>2103</v>
      </c>
      <c r="M2" s="2234"/>
      <c r="N2" s="2235"/>
      <c r="O2" s="2230" t="s">
        <v>2102</v>
      </c>
      <c r="P2" s="2231"/>
      <c r="Q2" s="82" t="s">
        <v>1204</v>
      </c>
      <c r="R2" s="82" t="s">
        <v>298</v>
      </c>
      <c r="S2" s="2229" t="s">
        <v>1669</v>
      </c>
      <c r="T2" s="2229"/>
      <c r="U2" s="2229"/>
      <c r="V2" s="187"/>
    </row>
    <row r="3" spans="1:22" s="1064" customFormat="1" ht="35.1" customHeight="1">
      <c r="A3" s="1061" t="s">
        <v>863</v>
      </c>
      <c r="B3" s="1061" t="s">
        <v>864</v>
      </c>
      <c r="C3" s="1061" t="s">
        <v>794</v>
      </c>
      <c r="D3" s="1070" t="s">
        <v>1795</v>
      </c>
      <c r="E3" s="1061" t="s">
        <v>874</v>
      </c>
      <c r="F3" s="1061" t="s">
        <v>875</v>
      </c>
      <c r="G3" s="1061" t="s">
        <v>552</v>
      </c>
      <c r="H3" s="1061" t="s">
        <v>876</v>
      </c>
      <c r="I3" s="1071" t="s">
        <v>795</v>
      </c>
      <c r="J3" s="1062" t="s">
        <v>887</v>
      </c>
      <c r="K3" s="1062" t="s">
        <v>888</v>
      </c>
      <c r="L3" s="1062" t="s">
        <v>889</v>
      </c>
      <c r="M3" s="1062" t="s">
        <v>2101</v>
      </c>
      <c r="N3" s="1062" t="s">
        <v>796</v>
      </c>
      <c r="O3" s="1062" t="s">
        <v>877</v>
      </c>
      <c r="P3" s="1062" t="s">
        <v>772</v>
      </c>
      <c r="Q3" s="1062" t="s">
        <v>53</v>
      </c>
      <c r="R3" s="1062" t="s">
        <v>878</v>
      </c>
      <c r="S3" s="1062" t="s">
        <v>890</v>
      </c>
      <c r="T3" s="1062" t="s">
        <v>891</v>
      </c>
      <c r="U3" s="1062" t="s">
        <v>892</v>
      </c>
      <c r="V3" s="1063"/>
    </row>
    <row r="4" spans="1:22" s="160" customFormat="1" ht="11.1" customHeight="1">
      <c r="A4" s="188" t="s">
        <v>739</v>
      </c>
      <c r="B4" s="188">
        <v>1</v>
      </c>
      <c r="C4" s="188">
        <v>2</v>
      </c>
      <c r="D4" s="188">
        <v>3</v>
      </c>
      <c r="E4" s="188">
        <v>4</v>
      </c>
      <c r="F4" s="188">
        <v>5</v>
      </c>
      <c r="G4" s="188">
        <v>6</v>
      </c>
      <c r="H4" s="188">
        <v>7</v>
      </c>
      <c r="I4" s="188">
        <v>8</v>
      </c>
      <c r="J4" s="188">
        <v>9</v>
      </c>
      <c r="K4" s="188">
        <v>10</v>
      </c>
      <c r="L4" s="188">
        <v>11</v>
      </c>
      <c r="M4" s="188">
        <v>12</v>
      </c>
      <c r="N4" s="188">
        <v>13</v>
      </c>
      <c r="O4" s="188">
        <v>14</v>
      </c>
      <c r="P4" s="188">
        <v>15</v>
      </c>
      <c r="Q4" s="188">
        <v>16</v>
      </c>
      <c r="R4" s="188">
        <v>17</v>
      </c>
      <c r="S4" s="188">
        <v>18</v>
      </c>
      <c r="T4" s="188">
        <v>19</v>
      </c>
      <c r="U4" s="188">
        <v>20</v>
      </c>
      <c r="V4" s="189"/>
    </row>
    <row r="5" spans="1:22" s="253" customFormat="1" ht="11.45" customHeight="1">
      <c r="A5" s="357">
        <v>2002</v>
      </c>
      <c r="B5" s="20">
        <v>310.03500000000003</v>
      </c>
      <c r="C5" s="20">
        <v>27.06</v>
      </c>
      <c r="D5" s="20">
        <v>12.68</v>
      </c>
      <c r="E5" s="20">
        <v>23.734200000000001</v>
      </c>
      <c r="F5" s="20">
        <v>24.9983</v>
      </c>
      <c r="G5" s="20">
        <v>46.260800000000003</v>
      </c>
      <c r="H5" s="20">
        <v>133.06700000000001</v>
      </c>
      <c r="I5" s="20">
        <v>94.361699999999999</v>
      </c>
      <c r="J5" s="20">
        <v>191.827</v>
      </c>
      <c r="K5" s="20">
        <v>222.398</v>
      </c>
      <c r="L5" s="20">
        <v>152.78299999999999</v>
      </c>
      <c r="M5" s="20">
        <v>132.167</v>
      </c>
      <c r="N5" s="20">
        <v>121.22</v>
      </c>
      <c r="O5" s="20">
        <v>356.745</v>
      </c>
      <c r="P5" s="20">
        <v>359.661</v>
      </c>
      <c r="Q5" s="20">
        <v>183.917</v>
      </c>
      <c r="R5" s="20">
        <v>409.84199999999998</v>
      </c>
      <c r="S5" s="20">
        <v>24.978300000000001</v>
      </c>
      <c r="T5" s="20">
        <v>6.2366700000000002</v>
      </c>
      <c r="U5" s="20">
        <v>20.940799999999999</v>
      </c>
      <c r="V5" s="716"/>
    </row>
    <row r="6" spans="1:22" ht="11.45" customHeight="1">
      <c r="A6" s="454">
        <v>2003</v>
      </c>
      <c r="B6" s="474">
        <v>363.50900000000001</v>
      </c>
      <c r="C6" s="474">
        <v>27.9542</v>
      </c>
      <c r="D6" s="474">
        <v>13.82</v>
      </c>
      <c r="E6" s="474">
        <v>26.7333</v>
      </c>
      <c r="F6" s="474">
        <v>28.852499999999999</v>
      </c>
      <c r="G6" s="474">
        <v>63.4437</v>
      </c>
      <c r="H6" s="474">
        <v>149.333</v>
      </c>
      <c r="I6" s="474">
        <v>138.89599999999999</v>
      </c>
      <c r="J6" s="474">
        <v>199.46100000000001</v>
      </c>
      <c r="K6" s="474">
        <v>248.75399999999999</v>
      </c>
      <c r="L6" s="474">
        <v>165.548</v>
      </c>
      <c r="M6" s="474">
        <v>131.571</v>
      </c>
      <c r="N6" s="474">
        <v>152.44999999999999</v>
      </c>
      <c r="O6" s="474">
        <v>410.37299999999999</v>
      </c>
      <c r="P6" s="474">
        <v>425.53800000000001</v>
      </c>
      <c r="Q6" s="474">
        <v>214.65600000000001</v>
      </c>
      <c r="R6" s="474">
        <v>500.28300000000002</v>
      </c>
      <c r="S6" s="474">
        <v>27.1768</v>
      </c>
      <c r="T6" s="474">
        <v>6.9257099999999996</v>
      </c>
      <c r="U6" s="474">
        <v>21.4998</v>
      </c>
      <c r="V6" s="119"/>
    </row>
    <row r="7" spans="1:22" s="253" customFormat="1" ht="11.45" customHeight="1">
      <c r="A7" s="357">
        <v>2004</v>
      </c>
      <c r="B7" s="20">
        <v>409.21199999999999</v>
      </c>
      <c r="C7" s="20">
        <v>56.729900000000001</v>
      </c>
      <c r="D7" s="20">
        <v>16.39</v>
      </c>
      <c r="E7" s="20">
        <v>33.455800000000004</v>
      </c>
      <c r="F7" s="20">
        <v>38.297499999999999</v>
      </c>
      <c r="G7" s="20">
        <v>62.006</v>
      </c>
      <c r="H7" s="20">
        <v>186.31200000000001</v>
      </c>
      <c r="I7" s="20">
        <v>175.292</v>
      </c>
      <c r="J7" s="20">
        <v>245.78299999999999</v>
      </c>
      <c r="K7" s="20">
        <v>269.95499999999998</v>
      </c>
      <c r="L7" s="20">
        <v>167.05</v>
      </c>
      <c r="M7" s="20">
        <v>133.45599999999999</v>
      </c>
      <c r="N7" s="20">
        <v>139.5</v>
      </c>
      <c r="O7" s="20">
        <v>434.72300000000001</v>
      </c>
      <c r="P7" s="20">
        <v>448.73899999999998</v>
      </c>
      <c r="Q7" s="20">
        <v>257.20499999999998</v>
      </c>
      <c r="R7" s="20">
        <v>590.452</v>
      </c>
      <c r="S7" s="20">
        <v>30.459700000000002</v>
      </c>
      <c r="T7" s="20">
        <v>7.5450999999999997</v>
      </c>
      <c r="U7" s="20">
        <v>20.571100000000001</v>
      </c>
      <c r="V7" s="716"/>
    </row>
    <row r="8" spans="1:22" ht="11.45" customHeight="1">
      <c r="A8" s="454">
        <v>2005</v>
      </c>
      <c r="B8" s="474">
        <v>444.84300000000002</v>
      </c>
      <c r="C8" s="474">
        <v>51.022399999999998</v>
      </c>
      <c r="D8" s="474">
        <v>28.11</v>
      </c>
      <c r="E8" s="474">
        <v>49.201700000000002</v>
      </c>
      <c r="F8" s="474">
        <v>54.434199999999997</v>
      </c>
      <c r="G8" s="474">
        <v>55.168300000000002</v>
      </c>
      <c r="H8" s="474">
        <v>201.47900000000001</v>
      </c>
      <c r="I8" s="474">
        <v>219.01900000000001</v>
      </c>
      <c r="J8" s="474">
        <v>287.81099999999998</v>
      </c>
      <c r="K8" s="474">
        <v>308.45100000000002</v>
      </c>
      <c r="L8" s="474">
        <v>163.43100000000001</v>
      </c>
      <c r="M8" s="474">
        <v>129.886</v>
      </c>
      <c r="N8" s="474">
        <v>121.4</v>
      </c>
      <c r="O8" s="474">
        <v>367.68700000000001</v>
      </c>
      <c r="P8" s="474">
        <v>390.75200000000001</v>
      </c>
      <c r="Q8" s="474">
        <v>205.762</v>
      </c>
      <c r="R8" s="474">
        <v>495.74700000000001</v>
      </c>
      <c r="S8" s="474">
        <v>30.2624</v>
      </c>
      <c r="T8" s="474">
        <v>10.0702</v>
      </c>
      <c r="U8" s="474">
        <v>21.0684</v>
      </c>
      <c r="V8" s="119"/>
    </row>
    <row r="9" spans="1:22" s="253" customFormat="1" ht="11.45" customHeight="1">
      <c r="A9" s="357">
        <v>2006</v>
      </c>
      <c r="B9" s="20">
        <v>604.33600000000001</v>
      </c>
      <c r="C9" s="20">
        <v>52.595999999999997</v>
      </c>
      <c r="D9" s="20">
        <v>33.450000000000003</v>
      </c>
      <c r="E9" s="20">
        <v>61.431699999999999</v>
      </c>
      <c r="F9" s="20">
        <v>65.39</v>
      </c>
      <c r="G9" s="20">
        <v>58.052500000000002</v>
      </c>
      <c r="H9" s="20">
        <v>201.63300000000001</v>
      </c>
      <c r="I9" s="20">
        <v>222.95400000000001</v>
      </c>
      <c r="J9" s="20">
        <v>303.51499999999999</v>
      </c>
      <c r="K9" s="20">
        <v>345.83100000000002</v>
      </c>
      <c r="L9" s="20">
        <v>169.399</v>
      </c>
      <c r="M9" s="20">
        <v>168.566</v>
      </c>
      <c r="N9" s="20">
        <v>153.30000000000001</v>
      </c>
      <c r="O9" s="20">
        <v>416.81400000000002</v>
      </c>
      <c r="P9" s="20">
        <v>425.46100000000001</v>
      </c>
      <c r="Q9" s="20">
        <v>193.97499999999999</v>
      </c>
      <c r="R9" s="20">
        <v>551.49599999999998</v>
      </c>
      <c r="S9" s="20">
        <v>30.639700000000001</v>
      </c>
      <c r="T9" s="20">
        <v>14.788500000000001</v>
      </c>
      <c r="U9" s="20">
        <v>22.119499999999999</v>
      </c>
      <c r="V9" s="716"/>
    </row>
    <row r="10" spans="1:22" ht="11.45" customHeight="1">
      <c r="A10" s="454">
        <v>2007</v>
      </c>
      <c r="B10" s="474">
        <v>696.72</v>
      </c>
      <c r="C10" s="474">
        <v>70.428299999999993</v>
      </c>
      <c r="D10" s="474">
        <v>36.630000000000003</v>
      </c>
      <c r="E10" s="474">
        <v>68.368300000000005</v>
      </c>
      <c r="F10" s="474">
        <v>72.712500000000006</v>
      </c>
      <c r="G10" s="474">
        <v>63.283700000000003</v>
      </c>
      <c r="H10" s="474">
        <v>339.05399999999997</v>
      </c>
      <c r="I10" s="474">
        <v>309.39999999999998</v>
      </c>
      <c r="J10" s="474">
        <v>332.39299999999997</v>
      </c>
      <c r="K10" s="474">
        <v>375.70800000000003</v>
      </c>
      <c r="L10" s="474">
        <v>243.411</v>
      </c>
      <c r="M10" s="474">
        <v>226.88499999999999</v>
      </c>
      <c r="N10" s="474">
        <v>209.6</v>
      </c>
      <c r="O10" s="474">
        <v>719.12199999999996</v>
      </c>
      <c r="P10" s="474">
        <v>694.65099999999995</v>
      </c>
      <c r="Q10" s="474">
        <v>263.673</v>
      </c>
      <c r="R10" s="474">
        <v>799.74199999999996</v>
      </c>
      <c r="S10" s="474">
        <v>33.284399999999998</v>
      </c>
      <c r="T10" s="474">
        <v>9.9566400000000002</v>
      </c>
      <c r="U10" s="474">
        <v>20.763200000000001</v>
      </c>
      <c r="V10" s="119"/>
    </row>
    <row r="11" spans="1:22" s="253" customFormat="1" ht="11.45" customHeight="1">
      <c r="A11" s="357">
        <v>2008</v>
      </c>
      <c r="B11" s="20">
        <v>871.70699999999999</v>
      </c>
      <c r="C11" s="20">
        <v>136.18299999999999</v>
      </c>
      <c r="D11" s="20">
        <v>61.565199999999997</v>
      </c>
      <c r="E11" s="20">
        <v>93.776700000000005</v>
      </c>
      <c r="F11" s="20">
        <v>97.66</v>
      </c>
      <c r="G11" s="20">
        <v>71.399900000000002</v>
      </c>
      <c r="H11" s="20">
        <v>879.38099999999997</v>
      </c>
      <c r="I11" s="20">
        <v>492.72500000000002</v>
      </c>
      <c r="J11" s="20">
        <v>700.2</v>
      </c>
      <c r="K11" s="20">
        <v>597.11800000000005</v>
      </c>
      <c r="L11" s="20">
        <v>383.31099999999998</v>
      </c>
      <c r="M11" s="20">
        <v>286.952</v>
      </c>
      <c r="N11" s="20">
        <v>289.39999999999998</v>
      </c>
      <c r="O11" s="20">
        <v>862.91800000000001</v>
      </c>
      <c r="P11" s="20">
        <v>924.9</v>
      </c>
      <c r="Q11" s="20">
        <v>367.93799999999999</v>
      </c>
      <c r="R11" s="20">
        <v>1133.79</v>
      </c>
      <c r="S11" s="20">
        <v>30.816099999999999</v>
      </c>
      <c r="T11" s="20">
        <v>12.452199999999999</v>
      </c>
      <c r="U11" s="20">
        <v>21.323399999999999</v>
      </c>
      <c r="V11" s="716"/>
    </row>
    <row r="12" spans="1:22" s="24" customFormat="1" ht="11.45" customHeight="1">
      <c r="A12" s="1125">
        <v>2009</v>
      </c>
      <c r="B12" s="473">
        <v>972.96600000000001</v>
      </c>
      <c r="C12" s="473">
        <v>76.975899999999996</v>
      </c>
      <c r="D12" s="473">
        <v>79.993899999999996</v>
      </c>
      <c r="E12" s="473">
        <v>61.754899999999999</v>
      </c>
      <c r="F12" s="473">
        <v>61.860599999999998</v>
      </c>
      <c r="G12" s="473">
        <v>62.752000000000002</v>
      </c>
      <c r="H12" s="473">
        <v>257.41699999999997</v>
      </c>
      <c r="I12" s="473">
        <v>249.57400000000001</v>
      </c>
      <c r="J12" s="473">
        <v>589.37599999999998</v>
      </c>
      <c r="K12" s="473">
        <v>582.69000000000005</v>
      </c>
      <c r="L12" s="473">
        <v>246.96899999999999</v>
      </c>
      <c r="M12" s="473">
        <v>190.11199999999999</v>
      </c>
      <c r="N12" s="473">
        <v>200.2</v>
      </c>
      <c r="O12" s="473">
        <v>644.06799999999998</v>
      </c>
      <c r="P12" s="473">
        <v>634.09199999999998</v>
      </c>
      <c r="Q12" s="473">
        <v>359.27</v>
      </c>
      <c r="R12" s="473">
        <v>787.02</v>
      </c>
      <c r="S12" s="473">
        <v>26.014600000000002</v>
      </c>
      <c r="T12" s="473">
        <v>18.150400000000001</v>
      </c>
      <c r="U12" s="473">
        <v>24.335699999999999</v>
      </c>
      <c r="V12" s="330"/>
    </row>
    <row r="13" spans="1:22" s="253" customFormat="1" ht="11.45" customHeight="1">
      <c r="A13" s="357">
        <v>2010</v>
      </c>
      <c r="B13" s="40">
        <v>1224.6600000000001</v>
      </c>
      <c r="C13" s="40">
        <v>106.035</v>
      </c>
      <c r="D13" s="40">
        <v>146.72</v>
      </c>
      <c r="E13" s="40">
        <v>78.057900000000004</v>
      </c>
      <c r="F13" s="40">
        <v>79.631500000000003</v>
      </c>
      <c r="G13" s="40">
        <v>103.545</v>
      </c>
      <c r="H13" s="40">
        <v>381.89</v>
      </c>
      <c r="I13" s="40">
        <v>288.59199999999998</v>
      </c>
      <c r="J13" s="40">
        <v>520.55600000000004</v>
      </c>
      <c r="K13" s="40">
        <v>593.779</v>
      </c>
      <c r="L13" s="40">
        <v>241.82900000000001</v>
      </c>
      <c r="M13" s="40">
        <v>194.5</v>
      </c>
      <c r="N13" s="40">
        <v>233.5</v>
      </c>
      <c r="O13" s="40">
        <v>859.94200000000001</v>
      </c>
      <c r="P13" s="40">
        <v>819.53099999999995</v>
      </c>
      <c r="Q13" s="40">
        <v>331.31700000000001</v>
      </c>
      <c r="R13" s="40">
        <v>924.82799999999997</v>
      </c>
      <c r="S13" s="40">
        <v>25.712800000000001</v>
      </c>
      <c r="T13" s="40">
        <v>20.890899999999998</v>
      </c>
      <c r="U13" s="40">
        <v>31.051200000000001</v>
      </c>
      <c r="V13" s="376"/>
    </row>
    <row r="14" spans="1:22" s="253" customFormat="1" ht="11.45" customHeight="1">
      <c r="A14" s="454">
        <v>2011</v>
      </c>
      <c r="B14" s="440">
        <v>1569.21</v>
      </c>
      <c r="C14" s="440">
        <v>130.12299999999999</v>
      </c>
      <c r="D14" s="440">
        <v>167.79</v>
      </c>
      <c r="E14" s="440">
        <v>106.027</v>
      </c>
      <c r="F14" s="440">
        <v>110.952</v>
      </c>
      <c r="G14" s="440">
        <v>154.608</v>
      </c>
      <c r="H14" s="440">
        <v>538.26</v>
      </c>
      <c r="I14" s="440">
        <v>420.96</v>
      </c>
      <c r="J14" s="440">
        <v>551.71100000000001</v>
      </c>
      <c r="K14" s="440">
        <v>593.49199999999996</v>
      </c>
      <c r="L14" s="440">
        <v>317.43599999999998</v>
      </c>
      <c r="M14" s="440">
        <v>279.98899999999998</v>
      </c>
      <c r="N14" s="440">
        <v>304.8</v>
      </c>
      <c r="O14" s="440">
        <v>1076.5</v>
      </c>
      <c r="P14" s="440">
        <v>1068.3699999999999</v>
      </c>
      <c r="Q14" s="440">
        <v>378.86099999999999</v>
      </c>
      <c r="R14" s="440">
        <v>1215.82</v>
      </c>
      <c r="S14" s="440">
        <v>26.665199999999999</v>
      </c>
      <c r="T14" s="440">
        <v>26.235600000000002</v>
      </c>
      <c r="U14" s="440">
        <v>37.572499999999998</v>
      </c>
      <c r="V14" s="376"/>
    </row>
    <row r="15" spans="1:22" s="253" customFormat="1" ht="11.45" customHeight="1">
      <c r="A15" s="357">
        <v>2012</v>
      </c>
      <c r="B15" s="40">
        <v>1669.52</v>
      </c>
      <c r="C15" s="40">
        <v>103.247</v>
      </c>
      <c r="D15" s="40">
        <v>128.52600000000001</v>
      </c>
      <c r="E15" s="40">
        <v>108.919</v>
      </c>
      <c r="F15" s="40">
        <v>111.96</v>
      </c>
      <c r="G15" s="40">
        <v>89.241</v>
      </c>
      <c r="H15" s="40">
        <v>462</v>
      </c>
      <c r="I15" s="40">
        <v>405.40199999999999</v>
      </c>
      <c r="J15" s="40">
        <v>580.23599999999999</v>
      </c>
      <c r="K15" s="40">
        <v>683.029</v>
      </c>
      <c r="L15" s="40">
        <v>287.19799999999998</v>
      </c>
      <c r="M15" s="40">
        <v>276.12200000000001</v>
      </c>
      <c r="N15" s="40">
        <v>248.5</v>
      </c>
      <c r="O15" s="40">
        <v>939.83399999999995</v>
      </c>
      <c r="P15" s="40">
        <v>960.327</v>
      </c>
      <c r="Q15" s="40">
        <v>473.28399999999999</v>
      </c>
      <c r="R15" s="40">
        <v>1151.75</v>
      </c>
      <c r="S15" s="40">
        <v>26.360900000000001</v>
      </c>
      <c r="T15" s="40">
        <v>21.374500000000001</v>
      </c>
      <c r="U15" s="40">
        <v>28.895399999999999</v>
      </c>
      <c r="V15" s="376"/>
    </row>
    <row r="16" spans="1:22" s="251" customFormat="1" ht="11.45" customHeight="1">
      <c r="A16" s="454">
        <v>2013</v>
      </c>
      <c r="B16" s="440">
        <v>1411.46</v>
      </c>
      <c r="C16" s="440">
        <v>90.6023</v>
      </c>
      <c r="D16" s="440">
        <v>135.36099999999999</v>
      </c>
      <c r="E16" s="440">
        <v>105.43</v>
      </c>
      <c r="F16" s="440">
        <v>108.84399999999999</v>
      </c>
      <c r="G16" s="440">
        <v>90.400599999999997</v>
      </c>
      <c r="H16" s="440">
        <v>382.06299999999999</v>
      </c>
      <c r="I16" s="440">
        <v>340.12299999999999</v>
      </c>
      <c r="J16" s="440">
        <v>518.81200000000001</v>
      </c>
      <c r="K16" s="440">
        <v>658.726</v>
      </c>
      <c r="L16" s="440">
        <v>326.16699999999997</v>
      </c>
      <c r="M16" s="440">
        <v>265.75099999999998</v>
      </c>
      <c r="N16" s="440">
        <v>314</v>
      </c>
      <c r="O16" s="440">
        <v>764.197</v>
      </c>
      <c r="P16" s="440">
        <v>743.37900000000002</v>
      </c>
      <c r="Q16" s="440">
        <v>477.29899999999998</v>
      </c>
      <c r="R16" s="440">
        <v>1011.11</v>
      </c>
      <c r="S16" s="440">
        <v>26.011800000000001</v>
      </c>
      <c r="T16" s="440">
        <v>17.708500000000001</v>
      </c>
      <c r="U16" s="440">
        <v>21.214500000000001</v>
      </c>
      <c r="V16" s="376"/>
    </row>
    <row r="17" spans="1:24" s="288" customFormat="1" ht="11.45" customHeight="1">
      <c r="A17" s="1126">
        <v>2014</v>
      </c>
      <c r="B17" s="213">
        <v>1265.58</v>
      </c>
      <c r="C17" s="213">
        <v>75.139300000000006</v>
      </c>
      <c r="D17" s="213">
        <v>96.841499999999996</v>
      </c>
      <c r="E17" s="213">
        <v>96.664100000000005</v>
      </c>
      <c r="F17" s="213">
        <v>98.943299999999994</v>
      </c>
      <c r="G17" s="213">
        <v>83.096699999999998</v>
      </c>
      <c r="H17" s="213">
        <v>388.34399999999999</v>
      </c>
      <c r="I17" s="213">
        <v>316.20999999999998</v>
      </c>
      <c r="J17" s="213" t="s">
        <v>481</v>
      </c>
      <c r="K17" s="213">
        <v>490.76400000000001</v>
      </c>
      <c r="L17" s="213">
        <v>291.87299999999999</v>
      </c>
      <c r="M17" s="213">
        <v>242.49600000000001</v>
      </c>
      <c r="N17" s="213">
        <v>324.02499999999998</v>
      </c>
      <c r="O17" s="213">
        <v>739.40800000000002</v>
      </c>
      <c r="P17" s="213">
        <v>743.99199999999996</v>
      </c>
      <c r="Q17" s="213">
        <v>466.96600000000001</v>
      </c>
      <c r="R17" s="213">
        <v>812.71</v>
      </c>
      <c r="S17" s="213">
        <v>27.394400000000001</v>
      </c>
      <c r="T17" s="213">
        <v>17.1264</v>
      </c>
      <c r="U17" s="213">
        <v>24.865400000000001</v>
      </c>
      <c r="V17" s="794"/>
    </row>
    <row r="18" spans="1:24" s="251" customFormat="1" ht="11.45" customHeight="1">
      <c r="A18" s="1123">
        <v>2015</v>
      </c>
      <c r="B18" s="445">
        <f>AVERAGE(B19:B30)</f>
        <v>1160.6633333333334</v>
      </c>
      <c r="C18" s="445">
        <f t="shared" ref="C18:U18" si="0">AVERAGE(C19:C30)</f>
        <v>61.618599999999994</v>
      </c>
      <c r="D18" s="445">
        <f t="shared" si="0"/>
        <v>55.209266666666657</v>
      </c>
      <c r="E18" s="445">
        <f t="shared" si="0"/>
        <v>51.232049999999994</v>
      </c>
      <c r="F18" s="445">
        <f t="shared" si="0"/>
        <v>52.399408333333348</v>
      </c>
      <c r="G18" s="445">
        <f t="shared" si="0"/>
        <v>70.417191666666668</v>
      </c>
      <c r="H18" s="445">
        <f t="shared" si="0"/>
        <v>385</v>
      </c>
      <c r="I18" s="445">
        <f t="shared" si="0"/>
        <v>272.91941666666668</v>
      </c>
      <c r="J18" s="445" t="s">
        <v>481</v>
      </c>
      <c r="K18" s="445">
        <f t="shared" si="0"/>
        <v>469.92883333333333</v>
      </c>
      <c r="L18" s="445" t="s">
        <v>481</v>
      </c>
      <c r="M18" s="445">
        <f t="shared" si="0"/>
        <v>185.60733333333334</v>
      </c>
      <c r="N18" s="445">
        <f t="shared" si="0"/>
        <v>236.21666666666667</v>
      </c>
      <c r="O18" s="445">
        <f t="shared" si="0"/>
        <v>565.09</v>
      </c>
      <c r="P18" s="445">
        <f>AVERAGE(P19:P27)</f>
        <v>593.50144444444459</v>
      </c>
      <c r="Q18" s="445">
        <f t="shared" si="0"/>
        <v>352.72174999999993</v>
      </c>
      <c r="R18" s="445">
        <f t="shared" si="0"/>
        <v>672.16466666666656</v>
      </c>
      <c r="S18" s="445">
        <f t="shared" si="0"/>
        <v>25.423941666666668</v>
      </c>
      <c r="T18" s="445">
        <f t="shared" si="0"/>
        <v>13.238658333333335</v>
      </c>
      <c r="U18" s="445">
        <f t="shared" si="0"/>
        <v>24.850825</v>
      </c>
      <c r="V18" s="376"/>
    </row>
    <row r="19" spans="1:24" s="251" customFormat="1" ht="11.45" customHeight="1">
      <c r="A19" s="1124" t="s">
        <v>822</v>
      </c>
      <c r="B19" s="389">
        <v>1250.75</v>
      </c>
      <c r="C19" s="389">
        <v>66.535700000000006</v>
      </c>
      <c r="D19" s="389">
        <v>67.386399999999995</v>
      </c>
      <c r="E19" s="389">
        <v>46.335000000000001</v>
      </c>
      <c r="F19" s="389">
        <v>48.416800000000002</v>
      </c>
      <c r="G19" s="389">
        <v>67.349999999999994</v>
      </c>
      <c r="H19" s="389">
        <v>400</v>
      </c>
      <c r="I19" s="389">
        <v>319.2</v>
      </c>
      <c r="J19" s="389" t="s">
        <v>481</v>
      </c>
      <c r="K19" s="389">
        <v>546.59199999999998</v>
      </c>
      <c r="L19" s="389" t="s">
        <v>481</v>
      </c>
      <c r="M19" s="389">
        <v>210.608</v>
      </c>
      <c r="N19" s="389">
        <v>261.8</v>
      </c>
      <c r="O19" s="389">
        <v>641.59699999999998</v>
      </c>
      <c r="P19" s="389">
        <v>617.11199999999997</v>
      </c>
      <c r="Q19" s="389">
        <v>379.041</v>
      </c>
      <c r="R19" s="389">
        <v>707.88099999999997</v>
      </c>
      <c r="S19" s="389">
        <v>25.170200000000001</v>
      </c>
      <c r="T19" s="389">
        <v>15.0625</v>
      </c>
      <c r="U19" s="389">
        <v>25.24</v>
      </c>
      <c r="V19" s="376"/>
      <c r="X19" s="376"/>
    </row>
    <row r="20" spans="1:24" s="251" customFormat="1" ht="11.45" customHeight="1">
      <c r="A20" s="1125" t="s">
        <v>823</v>
      </c>
      <c r="B20" s="434">
        <v>1227.08</v>
      </c>
      <c r="C20" s="434">
        <v>65.785700000000006</v>
      </c>
      <c r="D20" s="434">
        <v>62.69</v>
      </c>
      <c r="E20" s="434">
        <v>56.15</v>
      </c>
      <c r="F20" s="434">
        <v>57.930500000000002</v>
      </c>
      <c r="G20" s="434">
        <v>69.842500000000001</v>
      </c>
      <c r="H20" s="434">
        <v>400</v>
      </c>
      <c r="I20" s="434">
        <v>297</v>
      </c>
      <c r="J20" s="434" t="s">
        <v>481</v>
      </c>
      <c r="K20" s="434">
        <v>501.76499999999999</v>
      </c>
      <c r="L20" s="434" t="s">
        <v>481</v>
      </c>
      <c r="M20" s="434">
        <v>201.714</v>
      </c>
      <c r="N20" s="434">
        <v>253</v>
      </c>
      <c r="O20" s="434">
        <v>634.37800000000004</v>
      </c>
      <c r="P20" s="434">
        <v>628.54300000000001</v>
      </c>
      <c r="Q20" s="434">
        <v>374.25200000000001</v>
      </c>
      <c r="R20" s="434">
        <v>697.93600000000004</v>
      </c>
      <c r="S20" s="434">
        <v>25.485399999999998</v>
      </c>
      <c r="T20" s="434">
        <v>14.5121</v>
      </c>
      <c r="U20" s="434">
        <v>24.62</v>
      </c>
      <c r="V20" s="376"/>
      <c r="X20" s="376"/>
    </row>
    <row r="21" spans="1:24" s="251" customFormat="1" ht="11.45" customHeight="1">
      <c r="A21" s="1124" t="s">
        <v>815</v>
      </c>
      <c r="B21" s="389">
        <v>1178.6300000000001</v>
      </c>
      <c r="C21" s="389">
        <v>64.408900000000003</v>
      </c>
      <c r="D21" s="389">
        <v>56.940899999999999</v>
      </c>
      <c r="E21" s="389">
        <v>54.909100000000002</v>
      </c>
      <c r="F21" s="389">
        <v>55.791400000000003</v>
      </c>
      <c r="G21" s="389">
        <v>69.3523</v>
      </c>
      <c r="H21" s="389">
        <v>400</v>
      </c>
      <c r="I21" s="389">
        <v>271</v>
      </c>
      <c r="J21" s="389" t="s">
        <v>481</v>
      </c>
      <c r="K21" s="389">
        <v>503.84899999999999</v>
      </c>
      <c r="L21" s="389" t="s">
        <v>481</v>
      </c>
      <c r="M21" s="389">
        <v>202.679</v>
      </c>
      <c r="N21" s="389">
        <v>250.4</v>
      </c>
      <c r="O21" s="389">
        <v>607.65499999999997</v>
      </c>
      <c r="P21" s="389">
        <v>615.98599999999999</v>
      </c>
      <c r="Q21" s="389">
        <v>364.86</v>
      </c>
      <c r="R21" s="389">
        <v>683.43200000000002</v>
      </c>
      <c r="S21" s="389">
        <v>24.9069</v>
      </c>
      <c r="T21" s="389">
        <v>12.8409</v>
      </c>
      <c r="U21" s="389">
        <v>24.4</v>
      </c>
      <c r="V21" s="376"/>
      <c r="X21" s="376"/>
    </row>
    <row r="22" spans="1:24" s="251" customFormat="1" ht="11.45" customHeight="1">
      <c r="A22" s="1125" t="s">
        <v>824</v>
      </c>
      <c r="B22" s="434">
        <v>1198.93</v>
      </c>
      <c r="C22" s="434">
        <v>61.943899999999999</v>
      </c>
      <c r="D22" s="434">
        <v>51.15</v>
      </c>
      <c r="E22" s="434">
        <v>58.665500000000002</v>
      </c>
      <c r="F22" s="434">
        <v>59.389499999999998</v>
      </c>
      <c r="G22" s="434">
        <v>71.702500000000001</v>
      </c>
      <c r="H22" s="434">
        <v>380</v>
      </c>
      <c r="I22" s="434">
        <v>259</v>
      </c>
      <c r="J22" s="434" t="s">
        <v>481</v>
      </c>
      <c r="K22" s="434">
        <v>504.22399999999999</v>
      </c>
      <c r="L22" s="434" t="s">
        <v>481</v>
      </c>
      <c r="M22" s="434">
        <v>195.89599999999999</v>
      </c>
      <c r="N22" s="434">
        <v>234.3</v>
      </c>
      <c r="O22" s="434">
        <v>591.78800000000001</v>
      </c>
      <c r="P22" s="434">
        <v>604.04200000000003</v>
      </c>
      <c r="Q22" s="434">
        <v>349.71100000000001</v>
      </c>
      <c r="R22" s="434">
        <v>691.673</v>
      </c>
      <c r="S22" s="434">
        <v>24.853300000000001</v>
      </c>
      <c r="T22" s="434">
        <v>12.911</v>
      </c>
      <c r="U22" s="434">
        <v>24.39</v>
      </c>
      <c r="V22" s="376"/>
      <c r="X22" s="376"/>
    </row>
    <row r="23" spans="1:24" s="251" customFormat="1" ht="11.45" customHeight="1">
      <c r="A23" s="1124" t="s">
        <v>825</v>
      </c>
      <c r="B23" s="389">
        <v>1198.6300000000001</v>
      </c>
      <c r="C23" s="389">
        <v>64.711500000000001</v>
      </c>
      <c r="D23" s="389">
        <v>60.2333</v>
      </c>
      <c r="E23" s="389">
        <v>63.674799999999998</v>
      </c>
      <c r="F23" s="389">
        <v>64.561400000000006</v>
      </c>
      <c r="G23" s="389">
        <v>72.863200000000006</v>
      </c>
      <c r="H23" s="389">
        <v>380</v>
      </c>
      <c r="I23" s="389">
        <v>280</v>
      </c>
      <c r="J23" s="389" t="s">
        <v>481</v>
      </c>
      <c r="K23" s="389">
        <v>444.74299999999999</v>
      </c>
      <c r="L23" s="389" t="s">
        <v>481</v>
      </c>
      <c r="M23" s="389">
        <v>193.15199999999999</v>
      </c>
      <c r="N23" s="389">
        <v>234.5</v>
      </c>
      <c r="O23" s="389">
        <v>601.39700000000005</v>
      </c>
      <c r="P23" s="389">
        <v>595.471</v>
      </c>
      <c r="Q23" s="389">
        <v>340.471</v>
      </c>
      <c r="R23" s="389">
        <v>716.49</v>
      </c>
      <c r="S23" s="389">
        <v>25.732500000000002</v>
      </c>
      <c r="T23" s="389">
        <v>12.7035</v>
      </c>
      <c r="U23" s="389">
        <v>24.72</v>
      </c>
      <c r="V23" s="376"/>
      <c r="X23" s="376"/>
    </row>
    <row r="24" spans="1:24" s="251" customFormat="1" ht="11.45" customHeight="1">
      <c r="A24" s="1125" t="s">
        <v>816</v>
      </c>
      <c r="B24" s="434">
        <v>1181.5</v>
      </c>
      <c r="C24" s="434">
        <v>63.043799999999997</v>
      </c>
      <c r="D24" s="434">
        <v>62.2864</v>
      </c>
      <c r="E24" s="434">
        <v>61.758600000000001</v>
      </c>
      <c r="F24" s="434">
        <v>62.3459</v>
      </c>
      <c r="G24" s="434">
        <v>72.3523</v>
      </c>
      <c r="H24" s="434">
        <v>380</v>
      </c>
      <c r="I24" s="434">
        <v>292</v>
      </c>
      <c r="J24" s="434" t="s">
        <v>481</v>
      </c>
      <c r="K24" s="434">
        <v>466.17599999999999</v>
      </c>
      <c r="L24" s="434" t="s">
        <v>481</v>
      </c>
      <c r="M24" s="434">
        <v>199.82300000000001</v>
      </c>
      <c r="N24" s="434">
        <v>233.4</v>
      </c>
      <c r="O24" s="434">
        <v>606.404</v>
      </c>
      <c r="P24" s="434">
        <v>593.16099999999994</v>
      </c>
      <c r="Q24" s="434">
        <v>353.90199999999999</v>
      </c>
      <c r="R24" s="434">
        <v>738.03700000000003</v>
      </c>
      <c r="S24" s="434">
        <v>25.865200000000002</v>
      </c>
      <c r="T24" s="434">
        <v>12.1136</v>
      </c>
      <c r="U24" s="434">
        <v>24.76</v>
      </c>
      <c r="V24" s="376"/>
      <c r="X24" s="376"/>
    </row>
    <row r="25" spans="1:24" s="251" customFormat="1" ht="11.45" customHeight="1">
      <c r="A25" s="1124" t="s">
        <v>818</v>
      </c>
      <c r="B25" s="389">
        <v>1128.31</v>
      </c>
      <c r="C25" s="389">
        <v>63.353999999999999</v>
      </c>
      <c r="D25" s="389">
        <v>51.504300000000001</v>
      </c>
      <c r="E25" s="389">
        <v>56.266100000000002</v>
      </c>
      <c r="F25" s="389">
        <v>55.865699999999997</v>
      </c>
      <c r="G25" s="389">
        <v>72.347800000000007</v>
      </c>
      <c r="H25" s="389">
        <v>380</v>
      </c>
      <c r="I25" s="389">
        <v>273</v>
      </c>
      <c r="J25" s="389" t="s">
        <v>481</v>
      </c>
      <c r="K25" s="389">
        <v>460.57799999999997</v>
      </c>
      <c r="L25" s="389" t="s">
        <v>481</v>
      </c>
      <c r="M25" s="389">
        <v>199.197</v>
      </c>
      <c r="N25" s="389">
        <v>225.6</v>
      </c>
      <c r="O25" s="389">
        <v>575.68200000000002</v>
      </c>
      <c r="P25" s="389">
        <v>587.58799999999997</v>
      </c>
      <c r="Q25" s="389">
        <v>394.642</v>
      </c>
      <c r="R25" s="389">
        <v>695.78800000000001</v>
      </c>
      <c r="S25" s="389">
        <v>25.8688</v>
      </c>
      <c r="T25" s="389">
        <v>11.8786</v>
      </c>
      <c r="U25" s="389">
        <v>24.67</v>
      </c>
      <c r="V25" s="376"/>
      <c r="X25" s="376"/>
    </row>
    <row r="26" spans="1:24" s="251" customFormat="1" ht="11.45" customHeight="1">
      <c r="A26" s="1125" t="s">
        <v>819</v>
      </c>
      <c r="B26" s="434">
        <v>1117.93</v>
      </c>
      <c r="C26" s="434">
        <v>62.7562</v>
      </c>
      <c r="D26" s="434">
        <v>55.381</v>
      </c>
      <c r="E26" s="434">
        <v>47.3033</v>
      </c>
      <c r="F26" s="434">
        <v>46.994300000000003</v>
      </c>
      <c r="G26" s="434">
        <v>71.822500000000005</v>
      </c>
      <c r="H26" s="434">
        <v>380</v>
      </c>
      <c r="I26" s="434">
        <v>273</v>
      </c>
      <c r="J26" s="434" t="s">
        <v>481</v>
      </c>
      <c r="K26" s="434">
        <v>451.36</v>
      </c>
      <c r="L26" s="434" t="s">
        <v>481</v>
      </c>
      <c r="M26" s="434">
        <v>173.46899999999999</v>
      </c>
      <c r="N26" s="434">
        <v>230.2</v>
      </c>
      <c r="O26" s="434">
        <v>484.678</v>
      </c>
      <c r="P26" s="434">
        <v>538.529</v>
      </c>
      <c r="Q26" s="434">
        <v>370.40800000000002</v>
      </c>
      <c r="R26" s="434">
        <v>628.74699999999996</v>
      </c>
      <c r="S26" s="434">
        <v>25.947700000000001</v>
      </c>
      <c r="T26" s="434">
        <v>10.674799999999999</v>
      </c>
      <c r="U26" s="434">
        <v>24.5</v>
      </c>
      <c r="V26" s="376"/>
      <c r="X26" s="376"/>
    </row>
    <row r="27" spans="1:24" s="251" customFormat="1" ht="11.45" customHeight="1">
      <c r="A27" s="1124" t="s">
        <v>813</v>
      </c>
      <c r="B27" s="389">
        <v>1124.77</v>
      </c>
      <c r="C27" s="389">
        <v>58.655799999999999</v>
      </c>
      <c r="D27" s="389">
        <v>56.431800000000003</v>
      </c>
      <c r="E27" s="389">
        <v>46.144500000000001</v>
      </c>
      <c r="F27" s="389">
        <v>47.234499999999997</v>
      </c>
      <c r="G27" s="389">
        <v>68.736400000000003</v>
      </c>
      <c r="H27" s="389">
        <v>380</v>
      </c>
      <c r="I27" s="389">
        <v>259</v>
      </c>
      <c r="J27" s="389"/>
      <c r="K27" s="389">
        <v>458.15699999999998</v>
      </c>
      <c r="L27" s="389" t="s">
        <v>481</v>
      </c>
      <c r="M27" s="389">
        <v>163.827</v>
      </c>
      <c r="N27" s="389">
        <v>229.7</v>
      </c>
      <c r="O27" s="389">
        <v>483.48700000000002</v>
      </c>
      <c r="P27" s="389">
        <v>561.08100000000002</v>
      </c>
      <c r="Q27" s="389">
        <v>342.95499999999998</v>
      </c>
      <c r="R27" s="389">
        <v>590.25</v>
      </c>
      <c r="S27" s="389">
        <v>25.535799999999998</v>
      </c>
      <c r="T27" s="389">
        <v>12.1371</v>
      </c>
      <c r="U27" s="389">
        <v>24.434799999999999</v>
      </c>
      <c r="V27" s="376"/>
      <c r="X27" s="376"/>
    </row>
    <row r="28" spans="1:24" s="251" customFormat="1" ht="11.45" customHeight="1">
      <c r="A28" s="1125" t="s">
        <v>820</v>
      </c>
      <c r="B28" s="434">
        <v>1159.25</v>
      </c>
      <c r="C28" s="434">
        <v>56.0503</v>
      </c>
      <c r="D28" s="434">
        <v>52.740900000000003</v>
      </c>
      <c r="E28" s="434">
        <v>46.5518</v>
      </c>
      <c r="F28" s="434">
        <v>48.124099999999999</v>
      </c>
      <c r="G28" s="434">
        <v>69.027299999999997</v>
      </c>
      <c r="H28" s="434">
        <v>380</v>
      </c>
      <c r="I28" s="434">
        <v>255</v>
      </c>
      <c r="J28" s="434" t="s">
        <v>481</v>
      </c>
      <c r="K28" s="434">
        <v>405.63600000000002</v>
      </c>
      <c r="L28" s="434" t="s">
        <v>481</v>
      </c>
      <c r="M28" s="434">
        <v>165.38800000000001</v>
      </c>
      <c r="N28" s="434">
        <v>226</v>
      </c>
      <c r="O28" s="434">
        <v>530.24699999999996</v>
      </c>
      <c r="P28" s="434" t="s">
        <v>481</v>
      </c>
      <c r="Q28" s="434">
        <v>338.214</v>
      </c>
      <c r="R28" s="434">
        <v>623.80700000000002</v>
      </c>
      <c r="S28" s="434">
        <v>25.5</v>
      </c>
      <c r="T28" s="434">
        <v>14.1418</v>
      </c>
      <c r="U28" s="434">
        <v>25.0382</v>
      </c>
      <c r="V28" s="376"/>
      <c r="X28" s="376"/>
    </row>
    <row r="29" spans="1:24" s="251" customFormat="1" ht="11.45" customHeight="1">
      <c r="A29" s="1124" t="s">
        <v>821</v>
      </c>
      <c r="B29" s="389">
        <v>1086.44</v>
      </c>
      <c r="C29" s="389">
        <v>56.326500000000003</v>
      </c>
      <c r="D29" s="389">
        <v>46.161900000000003</v>
      </c>
      <c r="E29" s="389">
        <v>42.323300000000003</v>
      </c>
      <c r="F29" s="389">
        <v>44.417099999999998</v>
      </c>
      <c r="G29" s="389">
        <v>69.221400000000003</v>
      </c>
      <c r="H29" s="389">
        <v>380</v>
      </c>
      <c r="I29" s="389">
        <v>257</v>
      </c>
      <c r="J29" s="389" t="s">
        <v>481</v>
      </c>
      <c r="K29" s="389">
        <v>460.50099999999998</v>
      </c>
      <c r="L29" s="389" t="s">
        <v>481</v>
      </c>
      <c r="M29" s="389">
        <v>157.74199999999999</v>
      </c>
      <c r="N29" s="389">
        <v>229.7</v>
      </c>
      <c r="O29" s="389">
        <v>503.16399999999999</v>
      </c>
      <c r="P29" s="389" t="s">
        <v>481</v>
      </c>
      <c r="Q29" s="389">
        <v>320.34300000000002</v>
      </c>
      <c r="R29" s="389">
        <v>614.73599999999999</v>
      </c>
      <c r="S29" s="389">
        <v>25.2958</v>
      </c>
      <c r="T29" s="389">
        <v>14.888</v>
      </c>
      <c r="U29" s="389">
        <v>25.606000000000002</v>
      </c>
      <c r="V29" s="376"/>
      <c r="X29" s="376"/>
    </row>
    <row r="30" spans="1:24" s="251" customFormat="1" ht="11.45" customHeight="1">
      <c r="A30" s="1125" t="s">
        <v>814</v>
      </c>
      <c r="B30" s="434">
        <v>1075.74</v>
      </c>
      <c r="C30" s="434">
        <v>55.850900000000003</v>
      </c>
      <c r="D30" s="434">
        <v>39.604300000000002</v>
      </c>
      <c r="E30" s="434">
        <v>34.702599999999997</v>
      </c>
      <c r="F30" s="434">
        <v>37.721699999999998</v>
      </c>
      <c r="G30" s="434">
        <v>70.388099999999994</v>
      </c>
      <c r="H30" s="434">
        <v>380</v>
      </c>
      <c r="I30" s="434">
        <v>239.833</v>
      </c>
      <c r="J30" s="434" t="s">
        <v>481</v>
      </c>
      <c r="K30" s="434">
        <v>435.565</v>
      </c>
      <c r="L30" s="434" t="s">
        <v>481</v>
      </c>
      <c r="M30" s="434">
        <v>163.79300000000001</v>
      </c>
      <c r="N30" s="434">
        <v>226</v>
      </c>
      <c r="O30" s="434">
        <v>520.60299999999995</v>
      </c>
      <c r="P30" s="434" t="s">
        <v>481</v>
      </c>
      <c r="Q30" s="434">
        <v>303.86200000000002</v>
      </c>
      <c r="R30" s="434">
        <v>677.19899999999996</v>
      </c>
      <c r="S30" s="434">
        <v>24.925699999999999</v>
      </c>
      <c r="T30" s="434">
        <v>15</v>
      </c>
      <c r="U30" s="434">
        <v>25.8309</v>
      </c>
      <c r="V30" s="376"/>
      <c r="X30" s="376"/>
    </row>
    <row r="31" spans="1:24" s="251" customFormat="1" ht="11.45" customHeight="1">
      <c r="A31" s="648">
        <v>2016</v>
      </c>
      <c r="B31" s="213">
        <f>AVERAGE(B32:B43)</f>
        <v>1249.0091666666669</v>
      </c>
      <c r="C31" s="213">
        <f t="shared" ref="C31:U31" si="1">AVERAGE(C32:C43)</f>
        <v>70.595974999999996</v>
      </c>
      <c r="D31" s="213">
        <f t="shared" si="1"/>
        <v>57.927608333333332</v>
      </c>
      <c r="E31" s="213">
        <f t="shared" si="1"/>
        <v>41.239341666666668</v>
      </c>
      <c r="F31" s="213">
        <f t="shared" si="1"/>
        <v>44.043283333333328</v>
      </c>
      <c r="G31" s="213">
        <f t="shared" si="1"/>
        <v>74.221424999999996</v>
      </c>
      <c r="H31" s="213">
        <f t="shared" si="1"/>
        <v>290.5</v>
      </c>
      <c r="I31" s="213">
        <f t="shared" si="1"/>
        <v>199.25</v>
      </c>
      <c r="J31" s="213" t="s">
        <v>481</v>
      </c>
      <c r="K31" s="213">
        <f t="shared" si="1"/>
        <v>447.19941666666676</v>
      </c>
      <c r="L31" s="213" t="s">
        <v>481</v>
      </c>
      <c r="M31" s="213">
        <f t="shared" si="1"/>
        <v>143.15049999999999</v>
      </c>
      <c r="N31" s="213" t="s">
        <v>481</v>
      </c>
      <c r="O31" s="213">
        <f t="shared" si="1"/>
        <v>639.91374999999994</v>
      </c>
      <c r="P31" s="213">
        <f t="shared" si="1"/>
        <v>678.02857142857158</v>
      </c>
      <c r="Q31" s="213">
        <f t="shared" si="1"/>
        <v>350.16058333333331</v>
      </c>
      <c r="R31" s="213">
        <f t="shared" si="1"/>
        <v>721.16600000000005</v>
      </c>
      <c r="S31" s="213">
        <f t="shared" si="1"/>
        <v>22.537283333333335</v>
      </c>
      <c r="T31" s="213">
        <f t="shared" si="1"/>
        <v>18.252850000000002</v>
      </c>
      <c r="U31" s="213">
        <f t="shared" si="1"/>
        <v>27.479150000000004</v>
      </c>
      <c r="V31" s="376"/>
    </row>
    <row r="32" spans="1:24" s="251" customFormat="1" ht="11.45" customHeight="1">
      <c r="A32" s="1125" t="s">
        <v>822</v>
      </c>
      <c r="B32" s="434">
        <v>1097.9100000000001</v>
      </c>
      <c r="C32" s="434">
        <v>53.373899999999999</v>
      </c>
      <c r="D32" s="434">
        <v>41.252400000000002</v>
      </c>
      <c r="E32" s="434">
        <v>27.246700000000001</v>
      </c>
      <c r="F32" s="434">
        <v>30.8033</v>
      </c>
      <c r="G32" s="434">
        <v>68.75</v>
      </c>
      <c r="H32" s="434">
        <v>380</v>
      </c>
      <c r="I32" s="434">
        <v>214</v>
      </c>
      <c r="J32" s="434" t="s">
        <v>481</v>
      </c>
      <c r="K32" s="434">
        <v>419.29700000000003</v>
      </c>
      <c r="L32" s="434" t="s">
        <v>481</v>
      </c>
      <c r="M32" s="434">
        <v>164.55799999999999</v>
      </c>
      <c r="N32" s="434" t="s">
        <v>481</v>
      </c>
      <c r="O32" s="434">
        <v>531.61900000000003</v>
      </c>
      <c r="P32" s="434" t="s">
        <v>481</v>
      </c>
      <c r="Q32" s="434">
        <v>297.17700000000002</v>
      </c>
      <c r="R32" s="434">
        <v>659.90099999999995</v>
      </c>
      <c r="S32" s="434">
        <v>23.9497</v>
      </c>
      <c r="T32" s="434">
        <v>14.2911</v>
      </c>
      <c r="U32" s="434">
        <v>25.831600000000002</v>
      </c>
      <c r="V32" s="376"/>
      <c r="X32" s="376"/>
    </row>
    <row r="33" spans="1:24" s="251" customFormat="1" ht="12" customHeight="1">
      <c r="A33" s="1124" t="s">
        <v>823</v>
      </c>
      <c r="B33" s="389">
        <v>1199.5</v>
      </c>
      <c r="C33" s="389">
        <v>54.329500000000003</v>
      </c>
      <c r="D33" s="389">
        <v>46.176200000000001</v>
      </c>
      <c r="E33" s="389">
        <v>29.614799999999999</v>
      </c>
      <c r="F33" s="389">
        <v>33.198099999999997</v>
      </c>
      <c r="G33" s="389">
        <v>66.571399999999997</v>
      </c>
      <c r="H33" s="389">
        <v>329</v>
      </c>
      <c r="I33" s="389">
        <v>209</v>
      </c>
      <c r="J33" s="389" t="s">
        <v>481</v>
      </c>
      <c r="K33" s="389">
        <v>448.315</v>
      </c>
      <c r="L33" s="389" t="s">
        <v>481</v>
      </c>
      <c r="M33" s="389">
        <v>159.25200000000001</v>
      </c>
      <c r="N33" s="389" t="s">
        <v>481</v>
      </c>
      <c r="O33" s="389">
        <v>595.90099999999995</v>
      </c>
      <c r="P33" s="389" t="s">
        <v>481</v>
      </c>
      <c r="Q33" s="389">
        <v>291.36799999999999</v>
      </c>
      <c r="R33" s="389">
        <v>686.904</v>
      </c>
      <c r="S33" s="389">
        <v>23.770800000000001</v>
      </c>
      <c r="T33" s="389">
        <v>13.2905</v>
      </c>
      <c r="U33" s="389">
        <v>25.4985</v>
      </c>
      <c r="V33" s="376"/>
      <c r="X33" s="376"/>
    </row>
    <row r="34" spans="1:24" s="251" customFormat="1" ht="11.45" customHeight="1">
      <c r="A34" s="1125" t="s">
        <v>815</v>
      </c>
      <c r="B34" s="434">
        <v>1245.1400000000001</v>
      </c>
      <c r="C34" s="434">
        <v>55.917900000000003</v>
      </c>
      <c r="D34" s="434">
        <v>55.521700000000003</v>
      </c>
      <c r="E34" s="434">
        <v>35.173000000000002</v>
      </c>
      <c r="F34" s="434">
        <v>39.070900000000002</v>
      </c>
      <c r="G34" s="434">
        <v>65.457099999999997</v>
      </c>
      <c r="H34" s="434">
        <v>275</v>
      </c>
      <c r="I34" s="434">
        <v>203</v>
      </c>
      <c r="J34" s="434" t="s">
        <v>481</v>
      </c>
      <c r="K34" s="434">
        <v>434.28100000000001</v>
      </c>
      <c r="L34" s="434" t="s">
        <v>481</v>
      </c>
      <c r="M34" s="434">
        <v>164.03100000000001</v>
      </c>
      <c r="N34" s="434" t="s">
        <v>481</v>
      </c>
      <c r="O34" s="434">
        <v>633.06799999999998</v>
      </c>
      <c r="P34" s="434" t="s">
        <v>481</v>
      </c>
      <c r="Q34" s="434">
        <v>296.18099999999998</v>
      </c>
      <c r="R34" s="434">
        <v>713.85599999999999</v>
      </c>
      <c r="S34" s="434">
        <v>23.656700000000001</v>
      </c>
      <c r="T34" s="434">
        <v>15.435</v>
      </c>
      <c r="U34" s="434">
        <v>26.316800000000001</v>
      </c>
      <c r="V34" s="376"/>
      <c r="X34" s="376"/>
    </row>
    <row r="35" spans="1:24" s="251" customFormat="1" ht="11.45" customHeight="1">
      <c r="A35" s="1124" t="s">
        <v>824</v>
      </c>
      <c r="B35" s="389">
        <v>1242.26</v>
      </c>
      <c r="C35" s="389">
        <v>54.830399999999997</v>
      </c>
      <c r="D35" s="389">
        <v>59.581000000000003</v>
      </c>
      <c r="E35" s="389">
        <v>39.037599999999998</v>
      </c>
      <c r="F35" s="389">
        <v>42.247100000000003</v>
      </c>
      <c r="G35" s="389">
        <v>69.278599999999997</v>
      </c>
      <c r="H35" s="389">
        <v>278</v>
      </c>
      <c r="I35" s="389">
        <v>204</v>
      </c>
      <c r="J35" s="389" t="s">
        <v>481</v>
      </c>
      <c r="K35" s="389">
        <v>441.2</v>
      </c>
      <c r="L35" s="389" t="s">
        <v>481</v>
      </c>
      <c r="M35" s="389">
        <v>163.36500000000001</v>
      </c>
      <c r="N35" s="389" t="s">
        <v>481</v>
      </c>
      <c r="O35" s="389">
        <v>681.077</v>
      </c>
      <c r="P35" s="389">
        <v>669.2</v>
      </c>
      <c r="Q35" s="389">
        <v>327.70100000000002</v>
      </c>
      <c r="R35" s="389">
        <v>748.53099999999995</v>
      </c>
      <c r="S35" s="389">
        <v>23.670200000000001</v>
      </c>
      <c r="T35" s="389">
        <v>15.217599999999999</v>
      </c>
      <c r="U35" s="389">
        <v>27.902899999999999</v>
      </c>
      <c r="V35" s="376"/>
      <c r="X35" s="376"/>
    </row>
    <row r="36" spans="1:24" s="251" customFormat="1" ht="11.45" customHeight="1">
      <c r="A36" s="1125" t="s">
        <v>825</v>
      </c>
      <c r="B36" s="434">
        <v>1261</v>
      </c>
      <c r="C36" s="434">
        <v>55.2</v>
      </c>
      <c r="D36" s="434">
        <v>54.9</v>
      </c>
      <c r="E36" s="434">
        <v>44</v>
      </c>
      <c r="F36" s="434">
        <v>47.1</v>
      </c>
      <c r="G36" s="434">
        <v>70.3</v>
      </c>
      <c r="H36" s="434">
        <v>284</v>
      </c>
      <c r="I36" s="434">
        <v>200</v>
      </c>
      <c r="J36" s="434" t="s">
        <v>481</v>
      </c>
      <c r="K36" s="434">
        <v>448</v>
      </c>
      <c r="L36" s="434" t="s">
        <v>481</v>
      </c>
      <c r="M36" s="434">
        <v>157.5</v>
      </c>
      <c r="N36" s="434" t="s">
        <v>481</v>
      </c>
      <c r="O36" s="434">
        <v>644.6</v>
      </c>
      <c r="P36" s="434" t="s">
        <v>481</v>
      </c>
      <c r="Q36" s="434">
        <v>407.5</v>
      </c>
      <c r="R36" s="434">
        <v>707</v>
      </c>
      <c r="S36" s="434">
        <v>24.2</v>
      </c>
      <c r="T36" s="434">
        <v>16.7</v>
      </c>
      <c r="U36" s="434">
        <v>27.3</v>
      </c>
      <c r="V36" s="376"/>
    </row>
    <row r="37" spans="1:24" s="251" customFormat="1" ht="11.45" customHeight="1">
      <c r="A37" s="1124" t="s">
        <v>816</v>
      </c>
      <c r="B37" s="389">
        <v>1276.4000000000001</v>
      </c>
      <c r="C37" s="389">
        <v>57</v>
      </c>
      <c r="D37" s="389">
        <v>51.4</v>
      </c>
      <c r="E37" s="389">
        <v>45.8</v>
      </c>
      <c r="F37" s="389">
        <v>48.5</v>
      </c>
      <c r="G37" s="389">
        <v>74.099999999999994</v>
      </c>
      <c r="H37" s="389">
        <v>285</v>
      </c>
      <c r="I37" s="389">
        <v>191</v>
      </c>
      <c r="J37" s="389" t="s">
        <v>481</v>
      </c>
      <c r="K37" s="389">
        <v>455.1</v>
      </c>
      <c r="L37" s="389" t="s">
        <v>481</v>
      </c>
      <c r="M37" s="389">
        <v>156.6</v>
      </c>
      <c r="N37" s="389" t="s">
        <v>481</v>
      </c>
      <c r="O37" s="389">
        <v>618.5</v>
      </c>
      <c r="P37" s="389" t="s">
        <v>481</v>
      </c>
      <c r="Q37" s="389">
        <v>443.4</v>
      </c>
      <c r="R37" s="389">
        <v>703.6</v>
      </c>
      <c r="S37" s="389">
        <v>23.6</v>
      </c>
      <c r="T37" s="389">
        <v>19.399999999999999</v>
      </c>
      <c r="U37" s="389">
        <v>27.4</v>
      </c>
      <c r="V37" s="376"/>
    </row>
    <row r="38" spans="1:24" s="251" customFormat="1" ht="11.45" customHeight="1">
      <c r="A38" s="1125" t="s">
        <v>818</v>
      </c>
      <c r="B38" s="434">
        <v>1336.7</v>
      </c>
      <c r="C38" s="434">
        <v>66.7</v>
      </c>
      <c r="D38" s="434">
        <v>56.6</v>
      </c>
      <c r="E38" s="434">
        <v>42.7</v>
      </c>
      <c r="F38" s="434">
        <v>45.1</v>
      </c>
      <c r="G38" s="434">
        <v>81.099999999999994</v>
      </c>
      <c r="H38" s="434">
        <v>285</v>
      </c>
      <c r="I38" s="434">
        <v>177</v>
      </c>
      <c r="J38" s="434" t="s">
        <v>481</v>
      </c>
      <c r="K38" s="434">
        <v>506.3</v>
      </c>
      <c r="L38" s="434" t="s">
        <v>481</v>
      </c>
      <c r="M38" s="434">
        <v>133.6</v>
      </c>
      <c r="N38" s="434" t="s">
        <v>481</v>
      </c>
      <c r="O38" s="434">
        <v>584.20000000000005</v>
      </c>
      <c r="P38" s="434">
        <v>660.5</v>
      </c>
      <c r="Q38" s="434">
        <v>403.3</v>
      </c>
      <c r="R38" s="434">
        <v>669.9</v>
      </c>
      <c r="S38" s="434">
        <v>21.9</v>
      </c>
      <c r="T38" s="434">
        <v>19.7</v>
      </c>
      <c r="U38" s="434">
        <v>28.1</v>
      </c>
      <c r="V38" s="376"/>
    </row>
    <row r="39" spans="1:24" s="251" customFormat="1" ht="11.45" customHeight="1">
      <c r="A39" s="1124" t="s">
        <v>819</v>
      </c>
      <c r="B39" s="389">
        <v>1340.2</v>
      </c>
      <c r="C39" s="389">
        <v>72.2</v>
      </c>
      <c r="D39" s="389">
        <v>60.5</v>
      </c>
      <c r="E39" s="389">
        <v>43.6</v>
      </c>
      <c r="F39" s="389">
        <v>46.1</v>
      </c>
      <c r="G39" s="389">
        <v>80.3</v>
      </c>
      <c r="H39" s="389">
        <v>283</v>
      </c>
      <c r="I39" s="389">
        <v>182</v>
      </c>
      <c r="J39" s="389" t="s">
        <v>481</v>
      </c>
      <c r="K39" s="389">
        <v>481.7</v>
      </c>
      <c r="L39" s="389" t="s">
        <v>481</v>
      </c>
      <c r="M39" s="389">
        <v>127.9</v>
      </c>
      <c r="N39" s="389" t="s">
        <v>481</v>
      </c>
      <c r="O39" s="389">
        <v>664.4</v>
      </c>
      <c r="P39" s="389">
        <v>644.20000000000005</v>
      </c>
      <c r="Q39" s="389">
        <v>364.5</v>
      </c>
      <c r="R39" s="389">
        <v>711.7</v>
      </c>
      <c r="S39" s="389">
        <v>21.8</v>
      </c>
      <c r="T39" s="389">
        <v>20.5</v>
      </c>
      <c r="U39" s="389">
        <v>27.2</v>
      </c>
      <c r="V39" s="376"/>
    </row>
    <row r="40" spans="1:24" s="251" customFormat="1" ht="11.45" customHeight="1">
      <c r="A40" s="1125" t="s">
        <v>813</v>
      </c>
      <c r="B40" s="434">
        <v>1326.6</v>
      </c>
      <c r="C40" s="434">
        <v>78.099999999999994</v>
      </c>
      <c r="D40" s="434">
        <v>56.7</v>
      </c>
      <c r="E40" s="434">
        <v>43.8</v>
      </c>
      <c r="F40" s="434">
        <v>46.2</v>
      </c>
      <c r="G40" s="434">
        <v>77.900000000000006</v>
      </c>
      <c r="H40" s="434">
        <v>277</v>
      </c>
      <c r="I40" s="434">
        <v>191</v>
      </c>
      <c r="J40" s="434" t="s">
        <v>481</v>
      </c>
      <c r="K40" s="434">
        <v>446.9</v>
      </c>
      <c r="L40" s="434" t="s">
        <v>481</v>
      </c>
      <c r="M40" s="434">
        <v>123.2</v>
      </c>
      <c r="N40" s="434" t="s">
        <v>481</v>
      </c>
      <c r="O40" s="434">
        <v>692.4</v>
      </c>
      <c r="P40" s="434">
        <v>669.5</v>
      </c>
      <c r="Q40" s="434">
        <v>342.2</v>
      </c>
      <c r="R40" s="434">
        <v>722.6</v>
      </c>
      <c r="S40" s="434">
        <v>21.9</v>
      </c>
      <c r="T40" s="434">
        <v>21.9</v>
      </c>
      <c r="U40" s="434">
        <v>27.5</v>
      </c>
      <c r="V40" s="376"/>
    </row>
    <row r="41" spans="1:24" s="251" customFormat="1" ht="11.45" customHeight="1">
      <c r="A41" s="1124" t="s">
        <v>820</v>
      </c>
      <c r="B41" s="389">
        <v>1266.5999999999999</v>
      </c>
      <c r="C41" s="389">
        <v>99.8</v>
      </c>
      <c r="D41" s="389">
        <v>59</v>
      </c>
      <c r="E41" s="389">
        <v>48.3</v>
      </c>
      <c r="F41" s="389">
        <v>49.7</v>
      </c>
      <c r="G41" s="389">
        <v>78.5</v>
      </c>
      <c r="H41" s="389">
        <v>273</v>
      </c>
      <c r="I41" s="389">
        <v>193</v>
      </c>
      <c r="J41" s="389" t="s">
        <v>481</v>
      </c>
      <c r="K41" s="389">
        <v>429.1</v>
      </c>
      <c r="L41" s="389" t="s">
        <v>481</v>
      </c>
      <c r="M41" s="389">
        <v>122.5</v>
      </c>
      <c r="N41" s="389" t="s">
        <v>481</v>
      </c>
      <c r="O41" s="389">
        <v>651.4</v>
      </c>
      <c r="P41" s="389">
        <v>705.9</v>
      </c>
      <c r="Q41" s="389">
        <v>337.1</v>
      </c>
      <c r="R41" s="389">
        <v>757.3</v>
      </c>
      <c r="S41" s="389">
        <v>20.5</v>
      </c>
      <c r="T41" s="389">
        <v>22.9</v>
      </c>
      <c r="U41" s="389">
        <v>28.6</v>
      </c>
      <c r="V41" s="376"/>
    </row>
    <row r="42" spans="1:24" s="251" customFormat="1" ht="11.45" customHeight="1">
      <c r="A42" s="1125" t="s">
        <v>821</v>
      </c>
      <c r="B42" s="434">
        <v>1238.4000000000001</v>
      </c>
      <c r="C42" s="434">
        <v>107.2</v>
      </c>
      <c r="D42" s="434">
        <v>74.099999999999994</v>
      </c>
      <c r="E42" s="434">
        <v>43.8</v>
      </c>
      <c r="F42" s="434">
        <v>46.4</v>
      </c>
      <c r="G42" s="434">
        <v>78.900000000000006</v>
      </c>
      <c r="H42" s="434">
        <v>270</v>
      </c>
      <c r="I42" s="434">
        <v>211</v>
      </c>
      <c r="J42" s="434" t="s">
        <v>481</v>
      </c>
      <c r="K42" s="434">
        <v>440.6</v>
      </c>
      <c r="L42" s="434" t="s">
        <v>481</v>
      </c>
      <c r="M42" s="434">
        <v>122.5</v>
      </c>
      <c r="N42" s="434" t="s">
        <v>481</v>
      </c>
      <c r="O42" s="434">
        <v>670</v>
      </c>
      <c r="P42" s="434">
        <v>685.3</v>
      </c>
      <c r="Q42" s="434">
        <v>345.7</v>
      </c>
      <c r="R42" s="434">
        <v>772.4</v>
      </c>
      <c r="S42" s="434">
        <v>20.7</v>
      </c>
      <c r="T42" s="434">
        <v>20.9</v>
      </c>
      <c r="U42" s="434">
        <v>28.8</v>
      </c>
      <c r="V42" s="376"/>
    </row>
    <row r="43" spans="1:24" s="251" customFormat="1" ht="11.45" customHeight="1">
      <c r="A43" s="1124" t="s">
        <v>814</v>
      </c>
      <c r="B43" s="389">
        <v>1157.4000000000001</v>
      </c>
      <c r="C43" s="389">
        <v>92.5</v>
      </c>
      <c r="D43" s="389">
        <v>79.400000000000006</v>
      </c>
      <c r="E43" s="389">
        <v>51.8</v>
      </c>
      <c r="F43" s="389">
        <v>54.1</v>
      </c>
      <c r="G43" s="389">
        <v>79.5</v>
      </c>
      <c r="H43" s="389">
        <v>267</v>
      </c>
      <c r="I43" s="389">
        <v>216</v>
      </c>
      <c r="J43" s="389" t="s">
        <v>481</v>
      </c>
      <c r="K43" s="389">
        <v>415.6</v>
      </c>
      <c r="L43" s="389" t="s">
        <v>481</v>
      </c>
      <c r="M43" s="389">
        <v>122.8</v>
      </c>
      <c r="N43" s="389" t="s">
        <v>481</v>
      </c>
      <c r="O43" s="389">
        <v>711.8</v>
      </c>
      <c r="P43" s="389">
        <v>711.6</v>
      </c>
      <c r="Q43" s="389">
        <v>345.8</v>
      </c>
      <c r="R43" s="389">
        <v>800.3</v>
      </c>
      <c r="S43" s="389">
        <v>20.8</v>
      </c>
      <c r="T43" s="389">
        <v>18.8</v>
      </c>
      <c r="U43" s="389">
        <v>29.3</v>
      </c>
      <c r="V43" s="376"/>
    </row>
    <row r="44" spans="1:24" s="251" customFormat="1" ht="11.45" customHeight="1">
      <c r="A44" s="1123">
        <v>2017</v>
      </c>
      <c r="B44" s="434"/>
      <c r="C44" s="434"/>
      <c r="D44" s="434"/>
      <c r="E44" s="434"/>
      <c r="F44" s="434"/>
      <c r="G44" s="434"/>
      <c r="H44" s="434"/>
      <c r="I44" s="434"/>
      <c r="J44" s="434"/>
      <c r="K44" s="434"/>
      <c r="L44" s="434"/>
      <c r="M44" s="434"/>
      <c r="N44" s="434"/>
      <c r="O44" s="434"/>
      <c r="P44" s="434"/>
      <c r="Q44" s="434"/>
      <c r="R44" s="434"/>
      <c r="S44" s="434"/>
      <c r="T44" s="434"/>
      <c r="U44" s="434"/>
      <c r="V44" s="376"/>
    </row>
    <row r="45" spans="1:24" s="251" customFormat="1" ht="11.45" customHeight="1">
      <c r="A45" s="1153" t="s">
        <v>822</v>
      </c>
      <c r="B45" s="389">
        <v>1192.0999999999999</v>
      </c>
      <c r="C45" s="389">
        <v>89.7</v>
      </c>
      <c r="D45" s="389">
        <v>80.8</v>
      </c>
      <c r="E45" s="389">
        <v>53.4</v>
      </c>
      <c r="F45" s="389">
        <v>54.9</v>
      </c>
      <c r="G45" s="389">
        <v>82.3</v>
      </c>
      <c r="H45" s="389">
        <v>269</v>
      </c>
      <c r="I45" s="389">
        <v>241</v>
      </c>
      <c r="J45" s="389" t="s">
        <v>481</v>
      </c>
      <c r="K45" s="389">
        <v>422.5</v>
      </c>
      <c r="L45" s="389" t="s">
        <v>481</v>
      </c>
      <c r="M45" s="389">
        <v>137.1</v>
      </c>
      <c r="N45" s="389" t="s">
        <v>481</v>
      </c>
      <c r="O45" s="389">
        <v>726.5</v>
      </c>
      <c r="P45" s="389">
        <v>746.6</v>
      </c>
      <c r="Q45" s="389">
        <v>364.7</v>
      </c>
      <c r="R45" s="389">
        <v>771.9</v>
      </c>
      <c r="S45" s="389">
        <v>20.5</v>
      </c>
      <c r="T45" s="389">
        <v>20.5</v>
      </c>
      <c r="U45" s="389">
        <v>29</v>
      </c>
      <c r="V45" s="376"/>
    </row>
    <row r="46" spans="1:24" s="251" customFormat="1" ht="11.45" customHeight="1">
      <c r="A46" s="1154" t="s">
        <v>823</v>
      </c>
      <c r="B46" s="434">
        <v>1234.2</v>
      </c>
      <c r="C46" s="434">
        <v>86.2</v>
      </c>
      <c r="D46" s="434">
        <v>88.8</v>
      </c>
      <c r="E46" s="434">
        <v>54.2</v>
      </c>
      <c r="F46" s="434">
        <v>55.5</v>
      </c>
      <c r="G46" s="434">
        <v>85.2</v>
      </c>
      <c r="H46" s="434">
        <v>270</v>
      </c>
      <c r="I46" s="434">
        <v>247</v>
      </c>
      <c r="J46" s="434" t="s">
        <v>481</v>
      </c>
      <c r="K46" s="434">
        <v>430.1</v>
      </c>
      <c r="L46" s="434" t="s">
        <v>481</v>
      </c>
      <c r="M46" s="434">
        <v>147.30000000000001</v>
      </c>
      <c r="N46" s="434" t="s">
        <v>481</v>
      </c>
      <c r="O46" s="434">
        <v>706.8</v>
      </c>
      <c r="P46" s="434">
        <v>761.4</v>
      </c>
      <c r="Q46" s="434">
        <v>371.4</v>
      </c>
      <c r="R46" s="434">
        <v>742.9</v>
      </c>
      <c r="S46" s="434">
        <v>20.8</v>
      </c>
      <c r="T46" s="434">
        <v>20.3</v>
      </c>
      <c r="U46" s="434">
        <v>30.4</v>
      </c>
      <c r="V46" s="376"/>
    </row>
    <row r="47" spans="1:24" s="251" customFormat="1" ht="11.45" customHeight="1">
      <c r="A47" s="1153" t="s">
        <v>815</v>
      </c>
      <c r="B47" s="389">
        <v>1231.4000000000001</v>
      </c>
      <c r="C47" s="389">
        <v>86.3</v>
      </c>
      <c r="D47" s="389">
        <v>87.2</v>
      </c>
      <c r="E47" s="389">
        <v>51.2</v>
      </c>
      <c r="F47" s="389">
        <v>52</v>
      </c>
      <c r="G47" s="389">
        <v>86.8</v>
      </c>
      <c r="H47" s="389">
        <v>278</v>
      </c>
      <c r="I47" s="389">
        <v>234</v>
      </c>
      <c r="J47" s="389" t="s">
        <v>481</v>
      </c>
      <c r="K47" s="389">
        <v>424.6</v>
      </c>
      <c r="L47" s="389" t="s">
        <v>481</v>
      </c>
      <c r="M47" s="389">
        <v>146.4</v>
      </c>
      <c r="N47" s="389" t="s">
        <v>481</v>
      </c>
      <c r="O47" s="389">
        <v>663.3</v>
      </c>
      <c r="P47" s="389" t="s">
        <v>481</v>
      </c>
      <c r="Q47" s="389">
        <v>356.9</v>
      </c>
      <c r="R47" s="389">
        <v>723.4</v>
      </c>
      <c r="S47" s="389">
        <v>20.5</v>
      </c>
      <c r="T47" s="389">
        <v>18.100000000000001</v>
      </c>
      <c r="U47" s="389">
        <v>29.8</v>
      </c>
      <c r="V47" s="376"/>
    </row>
    <row r="48" spans="1:24" s="251" customFormat="1" ht="11.45" customHeight="1">
      <c r="A48" s="1154" t="s">
        <v>824</v>
      </c>
      <c r="B48" s="434">
        <v>1266.9000000000001</v>
      </c>
      <c r="C48" s="434">
        <v>90.7</v>
      </c>
      <c r="D48" s="434">
        <v>70.400000000000006</v>
      </c>
      <c r="E48" s="434">
        <v>52.4</v>
      </c>
      <c r="F48" s="434">
        <v>53.1</v>
      </c>
      <c r="G48" s="434">
        <v>87</v>
      </c>
      <c r="H48" s="434">
        <v>276</v>
      </c>
      <c r="I48" s="434">
        <v>205</v>
      </c>
      <c r="J48" s="434" t="s">
        <v>481</v>
      </c>
      <c r="K48" s="434">
        <v>410.3</v>
      </c>
      <c r="L48" s="434" t="s">
        <v>481</v>
      </c>
      <c r="M48" s="434">
        <v>138.4</v>
      </c>
      <c r="N48" s="434" t="s">
        <v>481</v>
      </c>
      <c r="O48" s="434">
        <v>623.20000000000005</v>
      </c>
      <c r="P48" s="434" t="s">
        <v>481</v>
      </c>
      <c r="Q48" s="434">
        <v>342.6</v>
      </c>
      <c r="R48" s="434">
        <v>695.3</v>
      </c>
      <c r="S48" s="434">
        <v>21</v>
      </c>
      <c r="T48" s="434">
        <v>16.399999999999999</v>
      </c>
      <c r="U48" s="434">
        <v>28.7</v>
      </c>
      <c r="V48" s="376"/>
    </row>
    <row r="49" spans="1:23" s="251" customFormat="1" ht="11.45" customHeight="1" thickBot="1">
      <c r="A49" s="683" t="s">
        <v>825</v>
      </c>
      <c r="B49" s="1405">
        <v>1246</v>
      </c>
      <c r="C49" s="1405" t="s">
        <v>481</v>
      </c>
      <c r="D49" s="1405">
        <v>61.6</v>
      </c>
      <c r="E49" s="1405">
        <v>50.3</v>
      </c>
      <c r="F49" s="1405">
        <v>50.9</v>
      </c>
      <c r="G49" s="1405">
        <v>88.6</v>
      </c>
      <c r="H49" s="1405">
        <v>273</v>
      </c>
      <c r="I49" s="1405">
        <v>180</v>
      </c>
      <c r="J49" s="1405" t="s">
        <v>481</v>
      </c>
      <c r="K49" s="1405">
        <v>444.7</v>
      </c>
      <c r="L49" s="1405" t="s">
        <v>481</v>
      </c>
      <c r="M49" s="1405">
        <v>146.5</v>
      </c>
      <c r="N49" s="1405" t="s">
        <v>481</v>
      </c>
      <c r="O49" s="1405">
        <v>655.5</v>
      </c>
      <c r="P49" s="1405" t="s">
        <v>481</v>
      </c>
      <c r="Q49" s="1405">
        <v>341</v>
      </c>
      <c r="R49" s="1405">
        <v>714.1</v>
      </c>
      <c r="S49" s="1405">
        <v>21.5</v>
      </c>
      <c r="T49" s="1405">
        <v>15.7</v>
      </c>
      <c r="U49" s="1405">
        <v>28.4</v>
      </c>
      <c r="V49" s="376"/>
    </row>
    <row r="50" spans="1:23" ht="11.25" customHeight="1">
      <c r="A50" s="14" t="s">
        <v>1062</v>
      </c>
      <c r="B50" s="2222" t="s">
        <v>198</v>
      </c>
      <c r="C50" s="2222"/>
      <c r="D50" s="2222"/>
      <c r="E50" s="2222"/>
      <c r="F50" s="2222"/>
      <c r="G50" s="2222"/>
      <c r="H50" s="38"/>
      <c r="I50" s="38"/>
      <c r="J50" s="38"/>
      <c r="R50" s="17"/>
      <c r="S50" s="17"/>
      <c r="T50" s="18"/>
      <c r="U50" s="38"/>
    </row>
    <row r="51" spans="1:23" s="18" customFormat="1" ht="9" customHeight="1">
      <c r="B51" s="2232" t="s">
        <v>199</v>
      </c>
      <c r="C51" s="2232"/>
      <c r="D51" s="2232"/>
      <c r="E51" s="2232"/>
      <c r="F51" s="2232"/>
      <c r="G51" s="2232"/>
      <c r="H51" s="2232"/>
      <c r="I51" s="1140"/>
      <c r="J51" s="1140"/>
      <c r="K51" s="14" t="s">
        <v>965</v>
      </c>
      <c r="L51" s="2226" t="s">
        <v>2139</v>
      </c>
      <c r="M51" s="2226"/>
      <c r="N51" s="2226"/>
      <c r="O51" s="2226"/>
      <c r="P51" s="2226"/>
      <c r="Q51" s="2226"/>
      <c r="S51" s="17"/>
      <c r="T51" s="17"/>
    </row>
    <row r="52" spans="1:23" s="18" customFormat="1" ht="10.5" customHeight="1">
      <c r="B52" s="2222" t="s">
        <v>1976</v>
      </c>
      <c r="C52" s="2222"/>
      <c r="F52" s="119"/>
      <c r="G52" s="203"/>
      <c r="K52" s="18" t="s">
        <v>2361</v>
      </c>
    </row>
    <row r="53" spans="1:23" s="18" customFormat="1" ht="8.25" customHeight="1">
      <c r="A53" s="43"/>
      <c r="F53" s="119"/>
      <c r="G53" s="119"/>
      <c r="I53" s="1068"/>
    </row>
    <row r="54" spans="1:23">
      <c r="C54" s="119"/>
      <c r="D54" s="119"/>
      <c r="E54" s="119"/>
      <c r="F54" s="119"/>
      <c r="G54" s="119"/>
      <c r="H54" s="119"/>
      <c r="I54" s="1068"/>
      <c r="J54" s="119"/>
      <c r="K54" s="119"/>
      <c r="L54" s="119"/>
      <c r="M54" s="119"/>
      <c r="N54" s="119"/>
      <c r="O54" s="119"/>
      <c r="P54" s="119"/>
      <c r="Q54" s="119"/>
      <c r="R54" s="119"/>
      <c r="S54" s="119"/>
      <c r="T54" s="119"/>
      <c r="U54" s="1068"/>
      <c r="V54" s="1068"/>
      <c r="W54" s="119"/>
    </row>
    <row r="55" spans="1:23">
      <c r="C55" s="119"/>
      <c r="D55" s="119"/>
      <c r="E55" s="119"/>
      <c r="F55" s="119"/>
      <c r="G55" s="119"/>
      <c r="H55" s="119"/>
      <c r="I55" s="1068"/>
      <c r="J55" s="119"/>
      <c r="K55" s="119"/>
      <c r="L55" s="119"/>
      <c r="M55" s="119"/>
      <c r="N55" s="119"/>
      <c r="O55" s="119"/>
      <c r="P55" s="119"/>
      <c r="Q55" s="119"/>
      <c r="R55" s="119"/>
      <c r="S55" s="119"/>
      <c r="T55" s="119"/>
      <c r="U55" s="1068"/>
      <c r="V55" s="1068"/>
      <c r="W55" s="119"/>
    </row>
    <row r="56" spans="1:23">
      <c r="C56" s="119"/>
      <c r="D56" s="119"/>
      <c r="E56" s="119"/>
      <c r="F56" s="119"/>
      <c r="G56" s="119"/>
      <c r="H56" s="119"/>
      <c r="I56" s="1068"/>
      <c r="J56" s="119"/>
      <c r="K56" s="119"/>
      <c r="L56" s="119"/>
      <c r="M56" s="119"/>
      <c r="N56" s="119"/>
      <c r="O56" s="119"/>
      <c r="P56" s="119"/>
      <c r="Q56" s="119"/>
      <c r="R56" s="119"/>
      <c r="S56" s="119"/>
      <c r="T56" s="119"/>
      <c r="U56" s="1068"/>
      <c r="V56" s="1068"/>
      <c r="W56" s="119"/>
    </row>
    <row r="57" spans="1:23">
      <c r="C57" s="119"/>
      <c r="D57" s="119"/>
      <c r="E57" s="119"/>
      <c r="F57" s="119"/>
      <c r="G57" s="119"/>
      <c r="H57" s="119"/>
      <c r="I57" s="1068"/>
      <c r="J57" s="119"/>
      <c r="K57" s="119"/>
      <c r="L57" s="119"/>
      <c r="M57" s="119"/>
      <c r="N57" s="119"/>
      <c r="O57" s="119"/>
      <c r="P57" s="119"/>
      <c r="Q57" s="119"/>
      <c r="R57" s="119"/>
      <c r="S57" s="119"/>
      <c r="T57" s="119"/>
      <c r="U57" s="1068"/>
      <c r="V57" s="1068"/>
      <c r="W57" s="119"/>
    </row>
    <row r="58" spans="1:23">
      <c r="C58" s="119"/>
      <c r="D58" s="119"/>
      <c r="E58" s="119"/>
      <c r="F58" s="119"/>
      <c r="G58" s="119"/>
      <c r="H58" s="119"/>
      <c r="I58" s="1068"/>
      <c r="J58" s="119"/>
      <c r="K58" s="119"/>
      <c r="L58" s="119"/>
      <c r="M58" s="119"/>
      <c r="N58" s="119"/>
      <c r="O58" s="119"/>
      <c r="P58" s="119"/>
      <c r="Q58" s="119"/>
      <c r="R58" s="119"/>
      <c r="S58" s="119"/>
      <c r="T58" s="119"/>
      <c r="U58" s="1068"/>
      <c r="V58" s="1068"/>
      <c r="W58" s="119"/>
    </row>
    <row r="59" spans="1:23">
      <c r="C59" s="119"/>
      <c r="D59" s="119"/>
      <c r="E59" s="119"/>
      <c r="F59" s="119"/>
      <c r="G59" s="119"/>
      <c r="H59" s="119"/>
      <c r="I59" s="1068"/>
      <c r="J59" s="119"/>
      <c r="K59" s="119"/>
      <c r="L59" s="119"/>
      <c r="M59" s="119"/>
      <c r="N59" s="119"/>
      <c r="O59" s="119"/>
      <c r="P59" s="119"/>
      <c r="Q59" s="119"/>
      <c r="R59" s="119"/>
      <c r="S59" s="119"/>
      <c r="T59" s="119"/>
      <c r="U59" s="1068"/>
      <c r="V59" s="1068"/>
      <c r="W59" s="119"/>
    </row>
    <row r="60" spans="1:23">
      <c r="C60" s="119"/>
      <c r="D60" s="119"/>
      <c r="E60" s="119"/>
      <c r="F60" s="119"/>
      <c r="G60" s="119"/>
      <c r="H60" s="119"/>
      <c r="I60" s="1068"/>
      <c r="J60" s="119"/>
      <c r="K60" s="119"/>
      <c r="L60" s="119"/>
      <c r="M60" s="119"/>
      <c r="N60" s="119"/>
      <c r="O60" s="119"/>
      <c r="P60" s="119"/>
      <c r="Q60" s="119"/>
      <c r="R60" s="119"/>
      <c r="S60" s="119"/>
      <c r="T60" s="119"/>
      <c r="U60" s="1068"/>
      <c r="V60" s="1068"/>
      <c r="W60" s="119"/>
    </row>
    <row r="61" spans="1:23">
      <c r="C61" s="119"/>
      <c r="D61" s="119"/>
      <c r="E61" s="119"/>
      <c r="F61" s="119"/>
      <c r="G61" s="119"/>
      <c r="H61" s="119"/>
      <c r="I61" s="1068"/>
      <c r="J61" s="119"/>
      <c r="K61" s="119"/>
      <c r="L61" s="119"/>
      <c r="M61" s="119"/>
      <c r="N61" s="119"/>
      <c r="O61" s="119"/>
      <c r="P61" s="119"/>
      <c r="Q61" s="119"/>
      <c r="R61" s="119"/>
      <c r="S61" s="119"/>
      <c r="T61" s="119"/>
      <c r="U61" s="1068"/>
      <c r="V61" s="1068"/>
      <c r="W61" s="119"/>
    </row>
    <row r="62" spans="1:23">
      <c r="C62" s="119"/>
      <c r="D62" s="119"/>
      <c r="E62" s="119"/>
      <c r="F62" s="119"/>
      <c r="G62" s="119"/>
      <c r="H62" s="119"/>
      <c r="I62" s="1068"/>
      <c r="J62" s="119"/>
      <c r="K62" s="119"/>
      <c r="L62" s="119"/>
      <c r="M62" s="119"/>
      <c r="N62" s="119"/>
      <c r="O62" s="119"/>
      <c r="P62" s="119"/>
      <c r="Q62" s="119"/>
      <c r="R62" s="119"/>
      <c r="S62" s="119"/>
      <c r="T62" s="119"/>
      <c r="U62" s="1068"/>
      <c r="V62" s="1068"/>
      <c r="W62" s="119"/>
    </row>
    <row r="63" spans="1:23">
      <c r="C63" s="119"/>
      <c r="D63" s="119"/>
      <c r="E63" s="119"/>
      <c r="F63" s="119"/>
      <c r="G63" s="119"/>
      <c r="H63" s="119"/>
      <c r="I63" s="1068"/>
      <c r="J63" s="119"/>
      <c r="K63" s="119"/>
      <c r="L63" s="119"/>
      <c r="M63" s="119"/>
      <c r="N63" s="119"/>
      <c r="O63" s="119"/>
      <c r="P63" s="119"/>
      <c r="Q63" s="119"/>
      <c r="R63" s="119"/>
      <c r="S63" s="119"/>
      <c r="T63" s="119"/>
      <c r="U63" s="1068"/>
      <c r="V63" s="1068"/>
      <c r="W63" s="119"/>
    </row>
    <row r="64" spans="1:23">
      <c r="C64" s="119"/>
      <c r="D64" s="119"/>
      <c r="E64" s="119"/>
      <c r="F64" s="119"/>
      <c r="G64" s="119"/>
      <c r="H64" s="119"/>
      <c r="I64" s="1068"/>
      <c r="J64" s="119"/>
      <c r="K64" s="119"/>
      <c r="L64" s="119"/>
      <c r="M64" s="119"/>
      <c r="N64" s="119"/>
      <c r="O64" s="119"/>
      <c r="P64" s="119"/>
      <c r="Q64" s="119"/>
      <c r="R64" s="119"/>
      <c r="S64" s="119"/>
      <c r="T64" s="119"/>
      <c r="U64" s="1068"/>
      <c r="V64" s="1068"/>
      <c r="W64" s="119"/>
    </row>
    <row r="65" spans="3:23">
      <c r="C65" s="119"/>
      <c r="D65" s="119"/>
      <c r="E65" s="119"/>
      <c r="F65" s="119"/>
      <c r="G65" s="119"/>
      <c r="H65" s="119"/>
      <c r="I65" s="119"/>
      <c r="J65" s="119"/>
      <c r="K65" s="119"/>
      <c r="L65" s="119"/>
      <c r="M65" s="119"/>
      <c r="N65" s="119"/>
      <c r="O65" s="119"/>
      <c r="P65" s="119"/>
      <c r="Q65" s="119"/>
      <c r="R65" s="119"/>
      <c r="S65" s="119"/>
      <c r="T65" s="119"/>
      <c r="U65" s="1068"/>
      <c r="V65" s="1068"/>
      <c r="W65" s="119"/>
    </row>
    <row r="66" spans="3:23">
      <c r="C66" s="119"/>
      <c r="D66" s="119"/>
      <c r="E66" s="119"/>
      <c r="F66" s="119"/>
      <c r="G66" s="119"/>
      <c r="H66" s="119"/>
      <c r="I66" s="119"/>
      <c r="J66" s="119"/>
      <c r="K66" s="119"/>
      <c r="L66" s="119"/>
      <c r="M66" s="119"/>
      <c r="N66" s="119"/>
      <c r="O66" s="119"/>
      <c r="P66" s="119"/>
      <c r="Q66" s="119"/>
      <c r="R66" s="119"/>
      <c r="S66" s="119"/>
      <c r="T66" s="119"/>
      <c r="U66" s="1068"/>
      <c r="V66" s="18"/>
      <c r="W66" s="119"/>
    </row>
    <row r="67" spans="3:23">
      <c r="C67" s="119"/>
      <c r="D67" s="119"/>
      <c r="E67" s="119"/>
      <c r="F67" s="119"/>
      <c r="G67" s="119"/>
      <c r="H67" s="119"/>
      <c r="I67" s="1069"/>
      <c r="J67" s="119"/>
      <c r="K67" s="119"/>
      <c r="L67" s="119"/>
      <c r="M67" s="119"/>
      <c r="N67" s="119"/>
      <c r="O67" s="119"/>
      <c r="P67" s="119"/>
      <c r="Q67" s="119"/>
      <c r="R67" s="119"/>
      <c r="S67" s="119"/>
      <c r="T67" s="119"/>
      <c r="U67" s="1068"/>
      <c r="V67" s="18"/>
      <c r="W67" s="119"/>
    </row>
    <row r="68" spans="3:23">
      <c r="C68" s="119"/>
      <c r="D68" s="119"/>
      <c r="F68" s="119"/>
      <c r="G68" s="119"/>
      <c r="H68" s="119"/>
      <c r="I68" s="119"/>
      <c r="J68" s="119"/>
      <c r="K68" s="119"/>
      <c r="L68" s="119"/>
      <c r="M68" s="119"/>
      <c r="N68" s="119"/>
      <c r="O68" s="119"/>
      <c r="P68" s="119"/>
      <c r="R68" s="119"/>
      <c r="S68" s="119"/>
      <c r="T68" s="119"/>
      <c r="U68" s="1068"/>
      <c r="V68" s="18"/>
      <c r="W68" s="119"/>
    </row>
    <row r="69" spans="3:23">
      <c r="C69" s="119"/>
      <c r="D69" s="119"/>
      <c r="F69" s="119"/>
      <c r="G69" s="119"/>
      <c r="H69" s="119"/>
      <c r="I69" s="119"/>
      <c r="J69" s="119"/>
      <c r="K69" s="119"/>
      <c r="L69" s="119"/>
      <c r="M69" s="119"/>
      <c r="N69" s="119"/>
      <c r="O69" s="119"/>
      <c r="P69" s="119"/>
      <c r="R69" s="119"/>
      <c r="S69" s="119"/>
      <c r="T69" s="119"/>
      <c r="U69" s="1068"/>
      <c r="V69" s="18"/>
      <c r="W69" s="119"/>
    </row>
    <row r="70" spans="3:23">
      <c r="D70" s="119"/>
      <c r="F70" s="119"/>
      <c r="G70" s="119"/>
      <c r="H70" s="119"/>
      <c r="I70" s="119"/>
      <c r="J70" s="119"/>
      <c r="K70" s="119"/>
      <c r="L70" s="119"/>
      <c r="M70" s="119"/>
      <c r="N70" s="119"/>
      <c r="O70" s="119"/>
      <c r="P70" s="119"/>
      <c r="S70" s="119"/>
      <c r="T70" s="119"/>
      <c r="U70" s="1068"/>
      <c r="V70" s="18"/>
      <c r="W70" s="119"/>
    </row>
    <row r="71" spans="3:23">
      <c r="D71" s="119"/>
      <c r="F71" s="119"/>
      <c r="G71" s="119"/>
      <c r="H71" s="119"/>
      <c r="I71" s="119"/>
      <c r="J71" s="119"/>
      <c r="K71" s="119"/>
      <c r="L71" s="119"/>
      <c r="M71" s="119"/>
      <c r="N71" s="119"/>
      <c r="O71" s="119"/>
      <c r="P71" s="119"/>
      <c r="R71" s="119"/>
      <c r="S71" s="119"/>
      <c r="T71" s="119"/>
      <c r="U71" s="1068"/>
      <c r="V71" s="18"/>
      <c r="W71" s="119"/>
    </row>
    <row r="72" spans="3:23">
      <c r="D72" s="119"/>
      <c r="E72" s="119"/>
      <c r="F72" s="119"/>
      <c r="G72" s="119"/>
      <c r="H72" s="119"/>
      <c r="I72" s="119"/>
      <c r="J72" s="119"/>
      <c r="K72" s="119"/>
      <c r="L72" s="119"/>
      <c r="M72" s="119"/>
      <c r="N72" s="119"/>
      <c r="O72" s="119"/>
      <c r="P72" s="119"/>
      <c r="Q72" s="119"/>
      <c r="R72" s="119"/>
      <c r="S72" s="119"/>
      <c r="T72" s="119"/>
      <c r="U72" s="1068"/>
      <c r="V72" s="18"/>
      <c r="W72" s="119"/>
    </row>
    <row r="73" spans="3:23">
      <c r="D73" s="119"/>
      <c r="E73" s="119"/>
      <c r="F73" s="119"/>
      <c r="G73" s="119"/>
      <c r="H73" s="119"/>
      <c r="I73" s="119"/>
      <c r="J73" s="119"/>
      <c r="K73" s="119"/>
      <c r="L73" s="119"/>
      <c r="M73" s="119"/>
      <c r="N73" s="119"/>
      <c r="O73" s="119"/>
      <c r="P73" s="119"/>
      <c r="Q73" s="119"/>
      <c r="R73" s="119"/>
      <c r="S73" s="119"/>
      <c r="T73" s="119"/>
      <c r="U73" s="1068"/>
      <c r="V73" s="18"/>
      <c r="W73" s="119"/>
    </row>
    <row r="74" spans="3:23">
      <c r="C74" s="119"/>
      <c r="D74" s="119"/>
      <c r="E74" s="119"/>
      <c r="F74" s="119"/>
      <c r="G74" s="119"/>
      <c r="H74" s="119"/>
      <c r="I74" s="119"/>
      <c r="J74" s="119"/>
      <c r="K74" s="119"/>
      <c r="L74" s="119"/>
      <c r="M74" s="119"/>
      <c r="N74" s="119"/>
      <c r="O74" s="119"/>
      <c r="P74" s="119"/>
      <c r="Q74" s="119"/>
      <c r="R74" s="119"/>
      <c r="S74" s="119"/>
      <c r="T74" s="119"/>
      <c r="U74" s="1068"/>
      <c r="V74" s="18"/>
      <c r="W74" s="119"/>
    </row>
    <row r="75" spans="3:23">
      <c r="C75" s="119"/>
      <c r="D75" s="119"/>
      <c r="E75" s="119"/>
      <c r="F75" s="119"/>
      <c r="G75" s="119"/>
      <c r="H75" s="119"/>
      <c r="I75" s="119"/>
      <c r="J75" s="119"/>
      <c r="K75" s="119"/>
      <c r="L75" s="119"/>
      <c r="M75" s="119"/>
      <c r="N75" s="119"/>
      <c r="O75" s="119"/>
      <c r="P75" s="119"/>
      <c r="Q75" s="119"/>
      <c r="R75" s="119"/>
      <c r="S75" s="119"/>
      <c r="T75" s="119"/>
      <c r="U75" s="119"/>
      <c r="W75" s="119"/>
    </row>
    <row r="76" spans="3:23">
      <c r="J76" s="119"/>
      <c r="K76" s="119"/>
      <c r="M76" s="119"/>
      <c r="O76" s="119"/>
      <c r="P76" s="119"/>
      <c r="Q76" s="119"/>
      <c r="R76" s="119"/>
    </row>
  </sheetData>
  <mergeCells count="11">
    <mergeCell ref="B52:C52"/>
    <mergeCell ref="L51:Q51"/>
    <mergeCell ref="A1:J1"/>
    <mergeCell ref="K1:R1"/>
    <mergeCell ref="S2:U2"/>
    <mergeCell ref="E2:F2"/>
    <mergeCell ref="S1:U1"/>
    <mergeCell ref="B50:G50"/>
    <mergeCell ref="B51:H51"/>
    <mergeCell ref="O2:P2"/>
    <mergeCell ref="L2:N2"/>
  </mergeCells>
  <phoneticPr fontId="0" type="noConversion"/>
  <pageMargins left="0.62992125984252001" right="0.511811023622047" top="0.511811023622047" bottom="0.511811023622047" header="0" footer="0.39370078740157499"/>
  <pageSetup paperSize="448" firstPageNumber="100" orientation="portrait" useFirstPageNumber="1" r:id="rId1"/>
  <headerFooter alignWithMargins="0">
    <oddFooter>&amp;C&amp;"Times New Roman,Regular"&amp;8&amp;P</oddFooter>
  </headerFooter>
</worksheet>
</file>

<file path=xl/worksheets/sheet36.xml><?xml version="1.0" encoding="utf-8"?>
<worksheet xmlns="http://schemas.openxmlformats.org/spreadsheetml/2006/main" xmlns:r="http://schemas.openxmlformats.org/officeDocument/2006/relationships">
  <sheetPr codeName="Sheet36"/>
  <dimension ref="A1:R65"/>
  <sheetViews>
    <sheetView zoomScale="150" zoomScaleNormal="150" workbookViewId="0">
      <pane xSplit="1" ySplit="5" topLeftCell="B43" activePane="bottomRight" state="frozen"/>
      <selection pane="topRight" activeCell="C1" sqref="C1"/>
      <selection pane="bottomLeft" activeCell="A6" sqref="A6"/>
      <selection pane="bottomRight" activeCell="I55" sqref="I55"/>
    </sheetView>
  </sheetViews>
  <sheetFormatPr defaultColWidth="9.140625" defaultRowHeight="11.25"/>
  <cols>
    <col min="1" max="1" width="9.28515625" style="3" customWidth="1"/>
    <col min="2" max="2" width="9.140625" style="1"/>
    <col min="3" max="3" width="7.5703125" style="1" customWidth="1"/>
    <col min="4" max="4" width="9.28515625" style="1" customWidth="1"/>
    <col min="5" max="5" width="9.7109375" style="1" customWidth="1"/>
    <col min="6" max="6" width="9.28515625" style="1" customWidth="1"/>
    <col min="7" max="7" width="8.5703125" style="1" customWidth="1"/>
    <col min="8" max="8" width="8.42578125" style="1" customWidth="1"/>
    <col min="9" max="9" width="7.42578125" style="1" customWidth="1"/>
    <col min="10" max="10" width="10.85546875" style="1" customWidth="1"/>
    <col min="11" max="11" width="11.7109375" style="1" customWidth="1"/>
    <col min="12" max="12" width="11.5703125" style="1" customWidth="1"/>
    <col min="13" max="13" width="11.7109375" style="1" customWidth="1"/>
    <col min="14" max="14" width="11.28515625" style="1" customWidth="1"/>
    <col min="15" max="15" width="11.140625" style="1" customWidth="1"/>
    <col min="16" max="16" width="10.85546875" style="3" customWidth="1"/>
    <col min="17" max="16384" width="9.140625" style="1"/>
  </cols>
  <sheetData>
    <row r="1" spans="1:18" s="108" customFormat="1" ht="12.75" customHeight="1">
      <c r="A1" s="2212" t="s">
        <v>285</v>
      </c>
      <c r="B1" s="2212"/>
      <c r="C1" s="2212"/>
      <c r="D1" s="2212"/>
      <c r="E1" s="2212"/>
      <c r="F1" s="2212"/>
      <c r="G1" s="2212"/>
      <c r="H1" s="2212"/>
      <c r="I1" s="2212"/>
      <c r="J1" s="2240" t="s">
        <v>2195</v>
      </c>
      <c r="K1" s="2240"/>
      <c r="L1" s="2240"/>
      <c r="M1" s="2240"/>
      <c r="N1" s="2240"/>
      <c r="O1" s="2238" t="s">
        <v>1826</v>
      </c>
      <c r="P1" s="2238"/>
    </row>
    <row r="2" spans="1:18" s="29" customFormat="1" ht="9.75" customHeight="1">
      <c r="O2" s="2241" t="s">
        <v>31</v>
      </c>
      <c r="P2" s="2241"/>
    </row>
    <row r="3" spans="1:18" s="107" customFormat="1" ht="13.5" customHeight="1">
      <c r="A3" s="2105" t="s">
        <v>739</v>
      </c>
      <c r="B3" s="2101" t="s">
        <v>284</v>
      </c>
      <c r="C3" s="2102"/>
      <c r="D3" s="2102"/>
      <c r="E3" s="2102"/>
      <c r="F3" s="2102"/>
      <c r="G3" s="2102"/>
      <c r="H3" s="2102"/>
      <c r="I3" s="2102"/>
      <c r="J3" s="2102"/>
      <c r="K3" s="2131"/>
      <c r="L3" s="2101" t="s">
        <v>859</v>
      </c>
      <c r="M3" s="2102"/>
      <c r="N3" s="2102"/>
      <c r="O3" s="2103"/>
      <c r="P3" s="2027" t="s">
        <v>739</v>
      </c>
    </row>
    <row r="4" spans="1:18" s="29" customFormat="1" ht="12.75" customHeight="1">
      <c r="A4" s="2105"/>
      <c r="B4" s="2239" t="s">
        <v>1196</v>
      </c>
      <c r="C4" s="2242" t="s">
        <v>469</v>
      </c>
      <c r="D4" s="2015" t="s">
        <v>1498</v>
      </c>
      <c r="E4" s="2015" t="s">
        <v>1197</v>
      </c>
      <c r="F4" s="2046" t="s">
        <v>797</v>
      </c>
      <c r="G4" s="2046"/>
      <c r="H4" s="2236" t="s">
        <v>799</v>
      </c>
      <c r="I4" s="2237"/>
      <c r="J4" s="1907" t="s">
        <v>1500</v>
      </c>
      <c r="K4" s="2015" t="s">
        <v>1501</v>
      </c>
      <c r="L4" s="1907" t="s">
        <v>1499</v>
      </c>
      <c r="M4" s="1907" t="s">
        <v>1502</v>
      </c>
      <c r="N4" s="1907" t="s">
        <v>860</v>
      </c>
      <c r="O4" s="1907" t="s">
        <v>800</v>
      </c>
      <c r="P4" s="2028"/>
    </row>
    <row r="5" spans="1:18" s="29" customFormat="1" ht="11.25" customHeight="1">
      <c r="A5" s="2105"/>
      <c r="B5" s="2239"/>
      <c r="C5" s="2243"/>
      <c r="D5" s="2017"/>
      <c r="E5" s="2017"/>
      <c r="F5" s="27" t="s">
        <v>737</v>
      </c>
      <c r="G5" s="27" t="s">
        <v>798</v>
      </c>
      <c r="H5" s="27" t="s">
        <v>737</v>
      </c>
      <c r="I5" s="27" t="s">
        <v>798</v>
      </c>
      <c r="J5" s="1909"/>
      <c r="K5" s="2017"/>
      <c r="L5" s="1909"/>
      <c r="M5" s="1909"/>
      <c r="N5" s="1909"/>
      <c r="O5" s="1909"/>
      <c r="P5" s="2029"/>
    </row>
    <row r="6" spans="1:18" s="10" customFormat="1" ht="12.2" customHeight="1">
      <c r="A6" s="12" t="s">
        <v>549</v>
      </c>
      <c r="B6" s="19">
        <v>9608.4500000000007</v>
      </c>
      <c r="C6" s="21" t="s">
        <v>481</v>
      </c>
      <c r="D6" s="19">
        <v>214.13</v>
      </c>
      <c r="E6" s="19">
        <v>11748.539999999999</v>
      </c>
      <c r="F6" s="19">
        <v>9179.85</v>
      </c>
      <c r="G6" s="19">
        <v>8474.66</v>
      </c>
      <c r="H6" s="19">
        <v>6001.4099999999989</v>
      </c>
      <c r="I6" s="19">
        <v>1752.8599999999997</v>
      </c>
      <c r="J6" s="19">
        <v>455.76</v>
      </c>
      <c r="K6" s="19">
        <v>47435.659999999996</v>
      </c>
      <c r="L6" s="19" t="s">
        <v>481</v>
      </c>
      <c r="M6" s="19">
        <v>79.47</v>
      </c>
      <c r="N6" s="19">
        <v>135.05999999999997</v>
      </c>
      <c r="O6" s="19" t="s">
        <v>481</v>
      </c>
      <c r="P6" s="99" t="s">
        <v>549</v>
      </c>
    </row>
    <row r="7" spans="1:18" s="11" customFormat="1" ht="12.2" customHeight="1">
      <c r="A7" s="454" t="s">
        <v>102</v>
      </c>
      <c r="B7" s="440">
        <v>9371.1200000000008</v>
      </c>
      <c r="C7" s="440" t="s">
        <v>481</v>
      </c>
      <c r="D7" s="440">
        <v>238.34</v>
      </c>
      <c r="E7" s="440">
        <v>13857.74</v>
      </c>
      <c r="F7" s="440">
        <v>10965.4</v>
      </c>
      <c r="G7" s="440">
        <v>9181.44</v>
      </c>
      <c r="H7" s="440">
        <v>6173.43</v>
      </c>
      <c r="I7" s="440">
        <v>2318.2399999999998</v>
      </c>
      <c r="J7" s="440">
        <v>421.54</v>
      </c>
      <c r="K7" s="440">
        <f>B7+D7+E7+F7+G7+H7+I7+J7</f>
        <v>52527.25</v>
      </c>
      <c r="L7" s="440">
        <v>222.91</v>
      </c>
      <c r="M7" s="440">
        <v>56.62</v>
      </c>
      <c r="N7" s="440">
        <v>86.44</v>
      </c>
      <c r="O7" s="440" t="s">
        <v>481</v>
      </c>
      <c r="P7" s="455" t="s">
        <v>102</v>
      </c>
    </row>
    <row r="8" spans="1:18" s="11" customFormat="1" ht="12.2" customHeight="1">
      <c r="A8" s="12" t="s">
        <v>98</v>
      </c>
      <c r="B8" s="21">
        <v>8997.119999999999</v>
      </c>
      <c r="C8" s="21" t="s">
        <v>481</v>
      </c>
      <c r="D8" s="21">
        <v>347.49000000000007</v>
      </c>
      <c r="E8" s="21">
        <v>17042.28</v>
      </c>
      <c r="F8" s="21">
        <v>13816.849999999999</v>
      </c>
      <c r="G8" s="21">
        <v>10651.220000000001</v>
      </c>
      <c r="H8" s="21">
        <v>7593.34</v>
      </c>
      <c r="I8" s="21">
        <v>3203.1299999999997</v>
      </c>
      <c r="J8" s="21">
        <v>390.73</v>
      </c>
      <c r="K8" s="21">
        <v>62042.159999999989</v>
      </c>
      <c r="L8" s="21">
        <v>357.61000000000007</v>
      </c>
      <c r="M8" s="21">
        <v>46.46</v>
      </c>
      <c r="N8" s="21">
        <v>342.97</v>
      </c>
      <c r="O8" s="21" t="s">
        <v>481</v>
      </c>
      <c r="P8" s="99" t="s">
        <v>98</v>
      </c>
    </row>
    <row r="9" spans="1:18" s="11" customFormat="1" ht="12.2" customHeight="1">
      <c r="A9" s="454" t="s">
        <v>241</v>
      </c>
      <c r="B9" s="440">
        <v>11574.13</v>
      </c>
      <c r="C9" s="440">
        <v>28.710000000000004</v>
      </c>
      <c r="D9" s="440">
        <v>486.18</v>
      </c>
      <c r="E9" s="440">
        <v>23007.520000000004</v>
      </c>
      <c r="F9" s="440">
        <v>17827.949999999997</v>
      </c>
      <c r="G9" s="440">
        <v>12375.810000000001</v>
      </c>
      <c r="H9" s="440">
        <v>9701.1600000000017</v>
      </c>
      <c r="I9" s="440">
        <v>3998.71</v>
      </c>
      <c r="J9" s="440">
        <v>402.94000000000005</v>
      </c>
      <c r="K9" s="440">
        <v>79403.11</v>
      </c>
      <c r="L9" s="440">
        <v>243.66</v>
      </c>
      <c r="M9" s="440">
        <v>57.26</v>
      </c>
      <c r="N9" s="440">
        <v>175.67000000000002</v>
      </c>
      <c r="O9" s="440">
        <v>1476.8200000000002</v>
      </c>
      <c r="P9" s="455" t="s">
        <v>241</v>
      </c>
    </row>
    <row r="10" spans="1:18" s="11" customFormat="1" ht="12.2" customHeight="1">
      <c r="A10" s="357" t="s">
        <v>1142</v>
      </c>
      <c r="B10" s="40">
        <v>13153.5</v>
      </c>
      <c r="C10" s="40">
        <v>38.950000000000003</v>
      </c>
      <c r="D10" s="40">
        <v>660.36</v>
      </c>
      <c r="E10" s="40">
        <v>28652.63</v>
      </c>
      <c r="F10" s="40">
        <v>21984.81</v>
      </c>
      <c r="G10" s="40">
        <v>13792.62</v>
      </c>
      <c r="H10" s="40">
        <v>11923.97</v>
      </c>
      <c r="I10" s="40">
        <v>4367.71</v>
      </c>
      <c r="J10" s="40">
        <v>484.44</v>
      </c>
      <c r="K10" s="40">
        <v>95058.99</v>
      </c>
      <c r="L10" s="40">
        <v>407.8</v>
      </c>
      <c r="M10" s="40">
        <v>64.63</v>
      </c>
      <c r="N10" s="40">
        <v>217.14</v>
      </c>
      <c r="O10" s="40">
        <v>2018.8599999999997</v>
      </c>
      <c r="P10" s="359" t="s">
        <v>1142</v>
      </c>
      <c r="R10" s="245"/>
    </row>
    <row r="11" spans="1:18" s="11" customFormat="1" ht="12.2" customHeight="1">
      <c r="A11" s="454" t="s">
        <v>1333</v>
      </c>
      <c r="B11" s="440">
        <v>13322.45</v>
      </c>
      <c r="C11" s="440">
        <v>33.47</v>
      </c>
      <c r="D11" s="440">
        <v>772.53</v>
      </c>
      <c r="E11" s="440">
        <v>37120.65</v>
      </c>
      <c r="F11" s="440">
        <v>26367.260000000002</v>
      </c>
      <c r="G11" s="440">
        <v>14846.48</v>
      </c>
      <c r="H11" s="440">
        <v>11985.29</v>
      </c>
      <c r="I11" s="440">
        <v>4205.01</v>
      </c>
      <c r="J11" s="440">
        <v>498.59</v>
      </c>
      <c r="K11" s="440">
        <v>109151.73</v>
      </c>
      <c r="L11" s="440">
        <v>293.5</v>
      </c>
      <c r="M11" s="440">
        <v>75.7</v>
      </c>
      <c r="N11" s="440">
        <v>166.19</v>
      </c>
      <c r="O11" s="440">
        <v>2015.1900000000003</v>
      </c>
      <c r="P11" s="455" t="s">
        <v>1333</v>
      </c>
      <c r="R11" s="245"/>
    </row>
    <row r="12" spans="1:18" s="388" customFormat="1" ht="12.2" customHeight="1">
      <c r="A12" s="1238" t="s">
        <v>1664</v>
      </c>
      <c r="B12" s="40">
        <v>13650.83</v>
      </c>
      <c r="C12" s="40">
        <v>41.980000000000004</v>
      </c>
      <c r="D12" s="40">
        <v>822.39</v>
      </c>
      <c r="E12" s="40">
        <v>43207.27</v>
      </c>
      <c r="F12" s="40">
        <v>29252.109999999997</v>
      </c>
      <c r="G12" s="40">
        <v>15325.119999999999</v>
      </c>
      <c r="H12" s="40">
        <v>13647.190000000002</v>
      </c>
      <c r="I12" s="40">
        <v>4335.7699999999995</v>
      </c>
      <c r="J12" s="40">
        <v>643.71</v>
      </c>
      <c r="K12" s="40">
        <v>120819.84999999998</v>
      </c>
      <c r="L12" s="40">
        <v>424.8</v>
      </c>
      <c r="M12" s="40">
        <v>71.41</v>
      </c>
      <c r="N12" s="40">
        <v>219.57</v>
      </c>
      <c r="O12" s="40">
        <v>2214.5200000000004</v>
      </c>
      <c r="P12" s="391" t="s">
        <v>1664</v>
      </c>
      <c r="R12" s="389"/>
    </row>
    <row r="13" spans="1:18" s="388" customFormat="1" ht="12.2" customHeight="1">
      <c r="A13" s="1320" t="s">
        <v>1754</v>
      </c>
      <c r="B13" s="434">
        <v>15349.850000000002</v>
      </c>
      <c r="C13" s="434">
        <v>40.630000000000003</v>
      </c>
      <c r="D13" s="434">
        <v>960.37999999999988</v>
      </c>
      <c r="E13" s="434">
        <v>47477.399999999994</v>
      </c>
      <c r="F13" s="434">
        <v>32290.130000000005</v>
      </c>
      <c r="G13" s="434">
        <v>17690.469999999998</v>
      </c>
      <c r="H13" s="434">
        <v>15758.310000000001</v>
      </c>
      <c r="I13" s="434">
        <v>5252.42</v>
      </c>
      <c r="J13" s="434">
        <v>881.11</v>
      </c>
      <c r="K13" s="434">
        <v>135700.70000000001</v>
      </c>
      <c r="L13" s="440">
        <v>362.66</v>
      </c>
      <c r="M13" s="440">
        <v>86.53</v>
      </c>
      <c r="N13" s="440">
        <v>253.13</v>
      </c>
      <c r="O13" s="440">
        <v>2139.31</v>
      </c>
      <c r="P13" s="490" t="s">
        <v>1754</v>
      </c>
      <c r="R13" s="389"/>
    </row>
    <row r="14" spans="1:18" s="388" customFormat="1" ht="12.2" customHeight="1">
      <c r="A14" s="648" t="s">
        <v>1954</v>
      </c>
      <c r="B14" s="523">
        <v>18016.580000000002</v>
      </c>
      <c r="C14" s="523">
        <v>32.749999999999993</v>
      </c>
      <c r="D14" s="523">
        <v>1582.0299999999997</v>
      </c>
      <c r="E14" s="523">
        <v>53235.45</v>
      </c>
      <c r="F14" s="523">
        <v>34862.82</v>
      </c>
      <c r="G14" s="523">
        <v>20583.86</v>
      </c>
      <c r="H14" s="523">
        <v>19630.96</v>
      </c>
      <c r="I14" s="523">
        <v>6560.2000000000007</v>
      </c>
      <c r="J14" s="523">
        <v>1014.0699999999999</v>
      </c>
      <c r="K14" s="523">
        <v>155518.71999999997</v>
      </c>
      <c r="L14" s="213">
        <v>432.78999999999996</v>
      </c>
      <c r="M14" s="213">
        <v>95.44</v>
      </c>
      <c r="N14" s="213">
        <v>195.29999999999998</v>
      </c>
      <c r="O14" s="213">
        <v>2279.71</v>
      </c>
      <c r="P14" s="736" t="s">
        <v>1954</v>
      </c>
      <c r="Q14" s="389"/>
    </row>
    <row r="15" spans="1:18" s="388" customFormat="1" ht="12.2" customHeight="1">
      <c r="A15" s="1400" t="s">
        <v>2046</v>
      </c>
      <c r="B15" s="510">
        <f>SUM(B16:B27)</f>
        <v>21069.19</v>
      </c>
      <c r="C15" s="510">
        <f t="shared" ref="C15:N15" si="0">SUM(C16:C27)</f>
        <v>22.699999999999996</v>
      </c>
      <c r="D15" s="510">
        <f t="shared" si="0"/>
        <v>1790.5100000000002</v>
      </c>
      <c r="E15" s="510">
        <f t="shared" si="0"/>
        <v>52754.93</v>
      </c>
      <c r="F15" s="510">
        <f t="shared" si="0"/>
        <v>38287.759999999995</v>
      </c>
      <c r="G15" s="510">
        <f t="shared" si="0"/>
        <v>25561.09</v>
      </c>
      <c r="H15" s="510">
        <f t="shared" si="0"/>
        <v>23481.699999999997</v>
      </c>
      <c r="I15" s="510">
        <f t="shared" si="0"/>
        <v>7628.89</v>
      </c>
      <c r="J15" s="510">
        <f t="shared" si="0"/>
        <v>1059.67</v>
      </c>
      <c r="K15" s="510">
        <f t="shared" si="0"/>
        <v>171656.43999999997</v>
      </c>
      <c r="L15" s="445">
        <f t="shared" si="0"/>
        <v>1684.0539999999999</v>
      </c>
      <c r="M15" s="445">
        <f t="shared" si="0"/>
        <v>100.30000000000001</v>
      </c>
      <c r="N15" s="445">
        <f t="shared" si="0"/>
        <v>374.15</v>
      </c>
      <c r="O15" s="445">
        <f>SUM(O16:O27)</f>
        <v>2470.79</v>
      </c>
      <c r="P15" s="822" t="s">
        <v>2046</v>
      </c>
      <c r="Q15" s="389"/>
    </row>
    <row r="16" spans="1:18" s="388" customFormat="1" ht="12.2" customHeight="1">
      <c r="A16" s="356" t="s">
        <v>818</v>
      </c>
      <c r="B16" s="389">
        <v>1227.53</v>
      </c>
      <c r="C16" s="389">
        <v>2.15</v>
      </c>
      <c r="D16" s="389">
        <v>38.65</v>
      </c>
      <c r="E16" s="389">
        <v>3066.63</v>
      </c>
      <c r="F16" s="389">
        <v>2303.66</v>
      </c>
      <c r="G16" s="389">
        <v>1456.31</v>
      </c>
      <c r="H16" s="389">
        <v>1239.6400000000001</v>
      </c>
      <c r="I16" s="389">
        <v>442.7</v>
      </c>
      <c r="J16" s="389">
        <f>0.29+75.51</f>
        <v>75.800000000000011</v>
      </c>
      <c r="K16" s="389">
        <f t="shared" ref="K16:K27" si="1">SUM(B16:J16)</f>
        <v>9853.07</v>
      </c>
      <c r="L16" s="389">
        <v>15.82</v>
      </c>
      <c r="M16" s="389">
        <v>3.72</v>
      </c>
      <c r="N16" s="389">
        <v>17.239999999999998</v>
      </c>
      <c r="O16" s="389">
        <v>148.08000000000001</v>
      </c>
      <c r="P16" s="391" t="s">
        <v>818</v>
      </c>
      <c r="Q16" s="389"/>
    </row>
    <row r="17" spans="1:17" s="388" customFormat="1" ht="12.2" customHeight="1">
      <c r="A17" s="886" t="s">
        <v>819</v>
      </c>
      <c r="B17" s="434">
        <v>1733.48</v>
      </c>
      <c r="C17" s="434">
        <v>2.21</v>
      </c>
      <c r="D17" s="434">
        <v>49.46</v>
      </c>
      <c r="E17" s="434">
        <v>2578.75</v>
      </c>
      <c r="F17" s="434">
        <v>2899.26</v>
      </c>
      <c r="G17" s="434">
        <v>2068.13</v>
      </c>
      <c r="H17" s="434">
        <v>1910.42</v>
      </c>
      <c r="I17" s="434">
        <v>705.91</v>
      </c>
      <c r="J17" s="434">
        <f>0.17+82.39</f>
        <v>82.56</v>
      </c>
      <c r="K17" s="434">
        <f t="shared" si="1"/>
        <v>12030.18</v>
      </c>
      <c r="L17" s="434">
        <v>31.75</v>
      </c>
      <c r="M17" s="434">
        <v>8.23</v>
      </c>
      <c r="N17" s="434">
        <v>25.87</v>
      </c>
      <c r="O17" s="434">
        <v>202.65</v>
      </c>
      <c r="P17" s="490" t="s">
        <v>819</v>
      </c>
      <c r="Q17" s="389"/>
    </row>
    <row r="18" spans="1:17" s="388" customFormat="1" ht="12.2" customHeight="1">
      <c r="A18" s="356" t="s">
        <v>813</v>
      </c>
      <c r="B18" s="389">
        <v>1448.41</v>
      </c>
      <c r="C18" s="389">
        <v>0.47</v>
      </c>
      <c r="D18" s="389">
        <v>54.3</v>
      </c>
      <c r="E18" s="389">
        <v>4473.28</v>
      </c>
      <c r="F18" s="389">
        <v>3014.63</v>
      </c>
      <c r="G18" s="389">
        <v>1814.99</v>
      </c>
      <c r="H18" s="389">
        <v>2172.4699999999998</v>
      </c>
      <c r="I18" s="389">
        <v>525.16999999999996</v>
      </c>
      <c r="J18" s="389">
        <f>0.16+91.09</f>
        <v>91.25</v>
      </c>
      <c r="K18" s="389">
        <f t="shared" si="1"/>
        <v>13594.97</v>
      </c>
      <c r="L18" s="389">
        <v>29.23</v>
      </c>
      <c r="M18" s="389">
        <v>4.8600000000000003</v>
      </c>
      <c r="N18" s="389">
        <v>21.66</v>
      </c>
      <c r="O18" s="389">
        <v>181.13</v>
      </c>
      <c r="P18" s="391" t="s">
        <v>813</v>
      </c>
      <c r="Q18" s="389"/>
    </row>
    <row r="19" spans="1:17" s="388" customFormat="1" ht="12.2" customHeight="1">
      <c r="A19" s="886" t="s">
        <v>820</v>
      </c>
      <c r="B19" s="434">
        <v>1560.43</v>
      </c>
      <c r="C19" s="434">
        <v>4.28</v>
      </c>
      <c r="D19" s="434">
        <v>54.4</v>
      </c>
      <c r="E19" s="434">
        <v>2790.01</v>
      </c>
      <c r="F19" s="434">
        <v>3178.26</v>
      </c>
      <c r="G19" s="434">
        <v>1940.56</v>
      </c>
      <c r="H19" s="434">
        <v>2158.98</v>
      </c>
      <c r="I19" s="434">
        <v>585.84</v>
      </c>
      <c r="J19" s="434">
        <f>0.23+93.92</f>
        <v>94.15</v>
      </c>
      <c r="K19" s="434">
        <f t="shared" si="1"/>
        <v>12366.91</v>
      </c>
      <c r="L19" s="434">
        <v>36.86</v>
      </c>
      <c r="M19" s="434">
        <v>7.51</v>
      </c>
      <c r="N19" s="434">
        <v>23.06</v>
      </c>
      <c r="O19" s="434">
        <v>180.26</v>
      </c>
      <c r="P19" s="490" t="s">
        <v>820</v>
      </c>
      <c r="Q19" s="389"/>
    </row>
    <row r="20" spans="1:17" s="388" customFormat="1" ht="12.2" customHeight="1">
      <c r="A20" s="356" t="s">
        <v>821</v>
      </c>
      <c r="B20" s="389">
        <v>1786.95</v>
      </c>
      <c r="C20" s="389">
        <v>3.07</v>
      </c>
      <c r="D20" s="389">
        <v>55.65</v>
      </c>
      <c r="E20" s="389">
        <v>3177.38</v>
      </c>
      <c r="F20" s="389">
        <v>3176.57</v>
      </c>
      <c r="G20" s="389">
        <v>2232.84</v>
      </c>
      <c r="H20" s="389">
        <v>2004.75</v>
      </c>
      <c r="I20" s="389">
        <v>657.44</v>
      </c>
      <c r="J20" s="389">
        <f>0.17+96.54</f>
        <v>96.710000000000008</v>
      </c>
      <c r="K20" s="389">
        <f t="shared" si="1"/>
        <v>13191.36</v>
      </c>
      <c r="L20" s="389">
        <v>47.9</v>
      </c>
      <c r="M20" s="389">
        <v>8.52</v>
      </c>
      <c r="N20" s="389">
        <v>23.41</v>
      </c>
      <c r="O20" s="389">
        <v>178.94</v>
      </c>
      <c r="P20" s="391" t="s">
        <v>821</v>
      </c>
      <c r="Q20" s="389"/>
    </row>
    <row r="21" spans="1:17" s="388" customFormat="1" ht="12.2" customHeight="1">
      <c r="A21" s="886" t="s">
        <v>814</v>
      </c>
      <c r="B21" s="434">
        <v>1892.87</v>
      </c>
      <c r="C21" s="434">
        <v>3.26</v>
      </c>
      <c r="D21" s="434">
        <v>596.32000000000005</v>
      </c>
      <c r="E21" s="434">
        <v>5491.64</v>
      </c>
      <c r="F21" s="434">
        <v>3230.71</v>
      </c>
      <c r="G21" s="434">
        <v>2217.87</v>
      </c>
      <c r="H21" s="434">
        <v>1580.9</v>
      </c>
      <c r="I21" s="434">
        <v>547.33000000000004</v>
      </c>
      <c r="J21" s="434">
        <f>0.21+94.02</f>
        <v>94.22999999999999</v>
      </c>
      <c r="K21" s="434">
        <f t="shared" si="1"/>
        <v>15655.129999999997</v>
      </c>
      <c r="L21" s="434">
        <v>45.52</v>
      </c>
      <c r="M21" s="434">
        <v>8.14</v>
      </c>
      <c r="N21" s="434">
        <v>18.39</v>
      </c>
      <c r="O21" s="434">
        <v>368.22</v>
      </c>
      <c r="P21" s="490" t="s">
        <v>814</v>
      </c>
      <c r="Q21" s="389"/>
    </row>
    <row r="22" spans="1:17" s="388" customFormat="1" ht="12.2" customHeight="1">
      <c r="A22" s="356" t="s">
        <v>822</v>
      </c>
      <c r="B22" s="389">
        <v>2062.59</v>
      </c>
      <c r="C22" s="389">
        <v>0.8</v>
      </c>
      <c r="D22" s="389">
        <v>390.62</v>
      </c>
      <c r="E22" s="389">
        <v>4318.4399999999996</v>
      </c>
      <c r="F22" s="389">
        <v>3359.55</v>
      </c>
      <c r="G22" s="389">
        <v>2416.88</v>
      </c>
      <c r="H22" s="389">
        <v>2180.52</v>
      </c>
      <c r="I22" s="389">
        <v>653.58000000000004</v>
      </c>
      <c r="J22" s="389">
        <f>0.18+95.05</f>
        <v>95.23</v>
      </c>
      <c r="K22" s="389">
        <f t="shared" si="1"/>
        <v>15478.210000000001</v>
      </c>
      <c r="L22" s="389">
        <v>42.32</v>
      </c>
      <c r="M22" s="389">
        <v>8.5299999999999994</v>
      </c>
      <c r="N22" s="389">
        <v>26.22</v>
      </c>
      <c r="O22" s="389">
        <v>183.41</v>
      </c>
      <c r="P22" s="391" t="s">
        <v>822</v>
      </c>
      <c r="Q22" s="389"/>
    </row>
    <row r="23" spans="1:17" s="388" customFormat="1" ht="12.2" customHeight="1">
      <c r="A23" s="886" t="s">
        <v>823</v>
      </c>
      <c r="B23" s="434">
        <v>1730.05</v>
      </c>
      <c r="C23" s="434">
        <v>1.02</v>
      </c>
      <c r="D23" s="434">
        <v>232.75</v>
      </c>
      <c r="E23" s="434">
        <v>3586.43</v>
      </c>
      <c r="F23" s="434">
        <v>2956.54</v>
      </c>
      <c r="G23" s="434">
        <v>2175.0300000000002</v>
      </c>
      <c r="H23" s="434">
        <v>1777.26</v>
      </c>
      <c r="I23" s="434">
        <v>670.24</v>
      </c>
      <c r="J23" s="434">
        <f>0.18+89.36</f>
        <v>89.54</v>
      </c>
      <c r="K23" s="434">
        <f t="shared" si="1"/>
        <v>13218.860000000002</v>
      </c>
      <c r="L23" s="434">
        <v>40.26</v>
      </c>
      <c r="M23" s="434">
        <v>9.86</v>
      </c>
      <c r="N23" s="434">
        <v>22.36</v>
      </c>
      <c r="O23" s="434">
        <v>172.69</v>
      </c>
      <c r="P23" s="490" t="s">
        <v>823</v>
      </c>
      <c r="Q23" s="389"/>
    </row>
    <row r="24" spans="1:17" s="388" customFormat="1" ht="12.2" customHeight="1">
      <c r="A24" s="356" t="s">
        <v>815</v>
      </c>
      <c r="B24" s="389">
        <v>1850.9</v>
      </c>
      <c r="C24" s="389">
        <v>2.59</v>
      </c>
      <c r="D24" s="389">
        <v>126.49</v>
      </c>
      <c r="E24" s="389">
        <v>5922.58</v>
      </c>
      <c r="F24" s="389">
        <v>3458.02</v>
      </c>
      <c r="G24" s="389">
        <v>2339.17</v>
      </c>
      <c r="H24" s="389">
        <v>2325.65</v>
      </c>
      <c r="I24" s="389">
        <v>708.66</v>
      </c>
      <c r="J24" s="389">
        <f>0.19+78.05</f>
        <v>78.239999999999995</v>
      </c>
      <c r="K24" s="389">
        <f t="shared" si="1"/>
        <v>16812.300000000003</v>
      </c>
      <c r="L24" s="389">
        <v>52.5</v>
      </c>
      <c r="M24" s="389">
        <v>12</v>
      </c>
      <c r="N24" s="389">
        <v>25.43</v>
      </c>
      <c r="O24" s="389">
        <v>243.9</v>
      </c>
      <c r="P24" s="391" t="s">
        <v>815</v>
      </c>
      <c r="Q24" s="389"/>
    </row>
    <row r="25" spans="1:17" s="388" customFormat="1" ht="12.2" customHeight="1">
      <c r="A25" s="886" t="s">
        <v>824</v>
      </c>
      <c r="B25" s="434">
        <v>1883</v>
      </c>
      <c r="C25" s="434">
        <v>0.86</v>
      </c>
      <c r="D25" s="434">
        <v>65.89</v>
      </c>
      <c r="E25" s="434">
        <v>3817.44</v>
      </c>
      <c r="F25" s="434">
        <v>3446.5</v>
      </c>
      <c r="G25" s="434">
        <v>2339.21</v>
      </c>
      <c r="H25" s="434">
        <v>2344.8000000000002</v>
      </c>
      <c r="I25" s="434">
        <v>721.3</v>
      </c>
      <c r="J25" s="434">
        <f>0.08+73.58</f>
        <v>73.66</v>
      </c>
      <c r="K25" s="434">
        <f t="shared" si="1"/>
        <v>14692.66</v>
      </c>
      <c r="L25" s="434">
        <v>61.2</v>
      </c>
      <c r="M25" s="434">
        <v>9.7799999999999994</v>
      </c>
      <c r="N25" s="434">
        <v>25.17</v>
      </c>
      <c r="O25" s="434">
        <v>217.91</v>
      </c>
      <c r="P25" s="490" t="s">
        <v>824</v>
      </c>
      <c r="Q25" s="389"/>
    </row>
    <row r="26" spans="1:17" s="388" customFormat="1" ht="12.2" customHeight="1">
      <c r="A26" s="356" t="s">
        <v>825</v>
      </c>
      <c r="B26" s="389">
        <v>1997.5</v>
      </c>
      <c r="C26" s="389">
        <v>0.56999999999999995</v>
      </c>
      <c r="D26" s="389">
        <v>57.19</v>
      </c>
      <c r="E26" s="389">
        <v>4183.57</v>
      </c>
      <c r="F26" s="389">
        <v>3366.65</v>
      </c>
      <c r="G26" s="389">
        <v>2531.91</v>
      </c>
      <c r="H26" s="389">
        <v>2416.87</v>
      </c>
      <c r="I26" s="389">
        <v>787.13</v>
      </c>
      <c r="J26" s="389">
        <f>0.3+83.49</f>
        <v>83.789999999999992</v>
      </c>
      <c r="K26" s="389">
        <f t="shared" si="1"/>
        <v>15425.179999999998</v>
      </c>
      <c r="L26" s="389">
        <v>68.343999999999994</v>
      </c>
      <c r="M26" s="389">
        <v>7.86</v>
      </c>
      <c r="N26" s="389">
        <v>25.78</v>
      </c>
      <c r="O26" s="389">
        <v>194.79</v>
      </c>
      <c r="P26" s="315" t="s">
        <v>825</v>
      </c>
      <c r="Q26" s="389"/>
    </row>
    <row r="27" spans="1:17" s="388" customFormat="1" ht="12.2" customHeight="1">
      <c r="A27" s="886" t="s">
        <v>816</v>
      </c>
      <c r="B27" s="434">
        <v>1895.48</v>
      </c>
      <c r="C27" s="434">
        <v>1.42</v>
      </c>
      <c r="D27" s="434">
        <v>68.790000000000006</v>
      </c>
      <c r="E27" s="434">
        <v>9348.7800000000007</v>
      </c>
      <c r="F27" s="434">
        <v>3897.41</v>
      </c>
      <c r="G27" s="434">
        <v>2028.19</v>
      </c>
      <c r="H27" s="434">
        <v>1369.44</v>
      </c>
      <c r="I27" s="434">
        <v>623.59</v>
      </c>
      <c r="J27" s="434">
        <f>0.29+104.22</f>
        <v>104.51</v>
      </c>
      <c r="K27" s="434">
        <f t="shared" si="1"/>
        <v>19337.609999999997</v>
      </c>
      <c r="L27" s="434">
        <v>1212.3499999999999</v>
      </c>
      <c r="M27" s="434">
        <v>11.29</v>
      </c>
      <c r="N27" s="434">
        <v>119.56</v>
      </c>
      <c r="O27" s="434">
        <v>198.81</v>
      </c>
      <c r="P27" s="447" t="s">
        <v>816</v>
      </c>
      <c r="Q27" s="389"/>
    </row>
    <row r="28" spans="1:17" s="388" customFormat="1" ht="12.2" customHeight="1">
      <c r="A28" s="648" t="s">
        <v>2313</v>
      </c>
      <c r="B28" s="523">
        <f>SUM(B29:B40)</f>
        <v>24502.12</v>
      </c>
      <c r="C28" s="523">
        <f t="shared" ref="C28:K28" si="2">SUM(C29:C40)</f>
        <v>35.769999999999996</v>
      </c>
      <c r="D28" s="523">
        <f t="shared" si="2"/>
        <v>2080.3399999999997</v>
      </c>
      <c r="E28" s="523">
        <f t="shared" si="2"/>
        <v>64548.260000000009</v>
      </c>
      <c r="F28" s="523">
        <f t="shared" si="2"/>
        <v>47171.799999999996</v>
      </c>
      <c r="G28" s="523">
        <f t="shared" si="2"/>
        <v>29367.759999999998</v>
      </c>
      <c r="H28" s="523">
        <f t="shared" si="2"/>
        <v>29639.15</v>
      </c>
      <c r="I28" s="523">
        <f t="shared" si="2"/>
        <v>7912.2300000000005</v>
      </c>
      <c r="J28" s="523">
        <f t="shared" si="2"/>
        <v>1149.8200000000002</v>
      </c>
      <c r="K28" s="523">
        <f t="shared" si="2"/>
        <v>206407.25</v>
      </c>
      <c r="L28" s="213">
        <f t="shared" ref="L28:N28" si="3">SUM(L29:L40)</f>
        <v>550.11999999999989</v>
      </c>
      <c r="M28" s="213">
        <f t="shared" si="3"/>
        <v>100.05</v>
      </c>
      <c r="N28" s="213">
        <f t="shared" si="3"/>
        <v>404.92</v>
      </c>
      <c r="O28" s="213">
        <f>SUM(O29:O40)</f>
        <v>2756.99</v>
      </c>
      <c r="P28" s="736" t="s">
        <v>2313</v>
      </c>
      <c r="Q28" s="389"/>
    </row>
    <row r="29" spans="1:17" s="388" customFormat="1" ht="12.2" customHeight="1">
      <c r="A29" s="886" t="s">
        <v>818</v>
      </c>
      <c r="B29" s="434">
        <v>1908.89</v>
      </c>
      <c r="C29" s="434">
        <v>3.95</v>
      </c>
      <c r="D29" s="434">
        <v>58.56</v>
      </c>
      <c r="E29" s="434">
        <v>2991.95</v>
      </c>
      <c r="F29" s="434">
        <v>3610.21</v>
      </c>
      <c r="G29" s="434">
        <v>2196.31</v>
      </c>
      <c r="H29" s="434">
        <v>1705.32</v>
      </c>
      <c r="I29" s="434">
        <v>667.85</v>
      </c>
      <c r="J29" s="434">
        <f>0.12+82.49</f>
        <v>82.61</v>
      </c>
      <c r="K29" s="434">
        <f t="shared" ref="K29:K51" si="4">SUM(B29:J29)</f>
        <v>13225.650000000001</v>
      </c>
      <c r="L29" s="434">
        <v>36.81</v>
      </c>
      <c r="M29" s="434">
        <v>4.97</v>
      </c>
      <c r="N29" s="434">
        <v>24.67</v>
      </c>
      <c r="O29" s="434">
        <v>196.81</v>
      </c>
      <c r="P29" s="447" t="s">
        <v>818</v>
      </c>
      <c r="Q29" s="389"/>
    </row>
    <row r="30" spans="1:17" s="388" customFormat="1" ht="12.2" customHeight="1">
      <c r="A30" s="356" t="s">
        <v>819</v>
      </c>
      <c r="B30" s="389">
        <v>2071.38</v>
      </c>
      <c r="C30" s="389">
        <v>3.39</v>
      </c>
      <c r="D30" s="389">
        <v>77.87</v>
      </c>
      <c r="E30" s="389">
        <v>3516.74</v>
      </c>
      <c r="F30" s="389">
        <v>3605.58</v>
      </c>
      <c r="G30" s="389">
        <v>2369.59</v>
      </c>
      <c r="H30" s="389">
        <v>2193.65</v>
      </c>
      <c r="I30" s="389">
        <v>723.6</v>
      </c>
      <c r="J30" s="389">
        <f>0.11+88.57</f>
        <v>88.679999999999993</v>
      </c>
      <c r="K30" s="389">
        <f t="shared" si="4"/>
        <v>14650.48</v>
      </c>
      <c r="L30" s="389">
        <v>41.19</v>
      </c>
      <c r="M30" s="389">
        <v>5.31</v>
      </c>
      <c r="N30" s="389">
        <v>23.85</v>
      </c>
      <c r="O30" s="389">
        <v>190.91</v>
      </c>
      <c r="P30" s="315" t="s">
        <v>819</v>
      </c>
      <c r="Q30" s="389"/>
    </row>
    <row r="31" spans="1:17" s="388" customFormat="1" ht="12.2" customHeight="1">
      <c r="A31" s="886" t="s">
        <v>813</v>
      </c>
      <c r="B31" s="434">
        <v>1649.4</v>
      </c>
      <c r="C31" s="434">
        <v>1.18</v>
      </c>
      <c r="D31" s="434">
        <v>81.47</v>
      </c>
      <c r="E31" s="434">
        <v>5066.8100000000004</v>
      </c>
      <c r="F31" s="434">
        <v>3551.11</v>
      </c>
      <c r="G31" s="434">
        <v>1908.62</v>
      </c>
      <c r="H31" s="434">
        <v>2880.52</v>
      </c>
      <c r="I31" s="434">
        <v>520.96</v>
      </c>
      <c r="J31" s="434">
        <f>0.22+91.86</f>
        <v>92.08</v>
      </c>
      <c r="K31" s="434">
        <f t="shared" si="4"/>
        <v>15752.15</v>
      </c>
      <c r="L31" s="434">
        <v>45.05</v>
      </c>
      <c r="M31" s="434">
        <v>5.83</v>
      </c>
      <c r="N31" s="434">
        <v>22.11</v>
      </c>
      <c r="O31" s="434">
        <v>181.73</v>
      </c>
      <c r="P31" s="447" t="s">
        <v>813</v>
      </c>
      <c r="Q31" s="389"/>
    </row>
    <row r="32" spans="1:17" s="388" customFormat="1" ht="12.2" customHeight="1">
      <c r="A32" s="356" t="s">
        <v>820</v>
      </c>
      <c r="B32" s="389">
        <v>1959.98</v>
      </c>
      <c r="C32" s="389">
        <v>5.34</v>
      </c>
      <c r="D32" s="389">
        <v>85.49</v>
      </c>
      <c r="E32" s="389">
        <v>3760.28</v>
      </c>
      <c r="F32" s="389">
        <v>3746.86</v>
      </c>
      <c r="G32" s="389">
        <v>2307.4299999999998</v>
      </c>
      <c r="H32" s="389">
        <v>2334.23</v>
      </c>
      <c r="I32" s="389">
        <v>655.49</v>
      </c>
      <c r="J32" s="389">
        <f>1.02+90.47</f>
        <v>91.49</v>
      </c>
      <c r="K32" s="389">
        <f t="shared" si="4"/>
        <v>14946.59</v>
      </c>
      <c r="L32" s="389">
        <v>32.619999999999997</v>
      </c>
      <c r="M32" s="389">
        <v>8.17</v>
      </c>
      <c r="N32" s="389">
        <v>26.88</v>
      </c>
      <c r="O32" s="389">
        <v>217.95</v>
      </c>
      <c r="P32" s="315" t="s">
        <v>820</v>
      </c>
      <c r="Q32" s="389"/>
    </row>
    <row r="33" spans="1:17" s="388" customFormat="1" ht="12.2" customHeight="1">
      <c r="A33" s="886" t="s">
        <v>821</v>
      </c>
      <c r="B33" s="434">
        <v>2240.69</v>
      </c>
      <c r="C33" s="434">
        <v>6.7</v>
      </c>
      <c r="D33" s="434">
        <v>77.33</v>
      </c>
      <c r="E33" s="434">
        <v>4043.55</v>
      </c>
      <c r="F33" s="434">
        <v>3751.31</v>
      </c>
      <c r="G33" s="434">
        <v>2646.07</v>
      </c>
      <c r="H33" s="434">
        <v>2212.17</v>
      </c>
      <c r="I33" s="434">
        <v>761.74</v>
      </c>
      <c r="J33" s="434">
        <f>0.12+99.63</f>
        <v>99.75</v>
      </c>
      <c r="K33" s="434">
        <f t="shared" si="4"/>
        <v>15839.31</v>
      </c>
      <c r="L33" s="434">
        <v>44.86</v>
      </c>
      <c r="M33" s="434">
        <v>8.9600000000000009</v>
      </c>
      <c r="N33" s="434">
        <v>22.51</v>
      </c>
      <c r="O33" s="434">
        <v>244.1</v>
      </c>
      <c r="P33" s="447" t="s">
        <v>821</v>
      </c>
      <c r="Q33" s="389"/>
    </row>
    <row r="34" spans="1:17" s="388" customFormat="1" ht="12.2" customHeight="1">
      <c r="A34" s="356" t="s">
        <v>814</v>
      </c>
      <c r="B34" s="389">
        <v>2076.2600000000002</v>
      </c>
      <c r="C34" s="389">
        <v>2.4500000000000002</v>
      </c>
      <c r="D34" s="389">
        <v>648.1</v>
      </c>
      <c r="E34" s="389">
        <v>5992.45</v>
      </c>
      <c r="F34" s="389">
        <v>3679.48</v>
      </c>
      <c r="G34" s="389">
        <v>2437.21</v>
      </c>
      <c r="H34" s="389">
        <v>2229.6</v>
      </c>
      <c r="I34" s="389">
        <v>587.77</v>
      </c>
      <c r="J34" s="389">
        <f>0.19+95.32</f>
        <v>95.509999999999991</v>
      </c>
      <c r="K34" s="389">
        <f t="shared" si="4"/>
        <v>17748.829999999998</v>
      </c>
      <c r="L34" s="389">
        <v>42.6</v>
      </c>
      <c r="M34" s="389">
        <v>8.65</v>
      </c>
      <c r="N34" s="389">
        <v>24.18</v>
      </c>
      <c r="O34" s="389">
        <v>213.37</v>
      </c>
      <c r="P34" s="315" t="s">
        <v>814</v>
      </c>
      <c r="Q34" s="389"/>
    </row>
    <row r="35" spans="1:17" s="388" customFormat="1" ht="12.2" customHeight="1">
      <c r="A35" s="886" t="s">
        <v>822</v>
      </c>
      <c r="B35" s="434">
        <v>2202.48</v>
      </c>
      <c r="C35" s="434">
        <v>3.41</v>
      </c>
      <c r="D35" s="434">
        <v>346.43</v>
      </c>
      <c r="E35" s="434">
        <v>4569.3100000000004</v>
      </c>
      <c r="F35" s="434">
        <v>3868.62</v>
      </c>
      <c r="G35" s="434">
        <v>2673.98</v>
      </c>
      <c r="H35" s="434">
        <v>2462.08</v>
      </c>
      <c r="I35" s="434">
        <v>705.31</v>
      </c>
      <c r="J35" s="434">
        <f>0.15+98.59</f>
        <v>98.740000000000009</v>
      </c>
      <c r="K35" s="434">
        <f t="shared" si="4"/>
        <v>16930.36</v>
      </c>
      <c r="L35" s="434">
        <v>43.05</v>
      </c>
      <c r="M35" s="434">
        <v>12.32</v>
      </c>
      <c r="N35" s="434">
        <v>27.97</v>
      </c>
      <c r="O35" s="434">
        <v>285.61</v>
      </c>
      <c r="P35" s="447" t="s">
        <v>822</v>
      </c>
      <c r="Q35" s="389"/>
    </row>
    <row r="36" spans="1:17" s="388" customFormat="1" ht="12.2" customHeight="1">
      <c r="A36" s="356" t="s">
        <v>823</v>
      </c>
      <c r="B36" s="389">
        <v>1868.15</v>
      </c>
      <c r="C36" s="389">
        <v>2.87</v>
      </c>
      <c r="D36" s="389">
        <v>294.64</v>
      </c>
      <c r="E36" s="389">
        <v>4031.53</v>
      </c>
      <c r="F36" s="389">
        <v>3928.25</v>
      </c>
      <c r="G36" s="389">
        <v>2308.77</v>
      </c>
      <c r="H36" s="389">
        <v>2434.81</v>
      </c>
      <c r="I36" s="389">
        <v>652.54999999999995</v>
      </c>
      <c r="J36" s="389">
        <f>0.14+92.51</f>
        <v>92.65</v>
      </c>
      <c r="K36" s="389">
        <f t="shared" si="4"/>
        <v>15614.22</v>
      </c>
      <c r="L36" s="389">
        <v>48.19</v>
      </c>
      <c r="M36" s="389">
        <v>10.69</v>
      </c>
      <c r="N36" s="389">
        <v>28.3</v>
      </c>
      <c r="O36" s="389">
        <v>232.57</v>
      </c>
      <c r="P36" s="315" t="s">
        <v>823</v>
      </c>
      <c r="Q36" s="389"/>
    </row>
    <row r="37" spans="1:17" s="388" customFormat="1" ht="12.2" customHeight="1">
      <c r="A37" s="886" t="s">
        <v>815</v>
      </c>
      <c r="B37" s="434">
        <v>2084.89</v>
      </c>
      <c r="C37" s="434">
        <v>1.52</v>
      </c>
      <c r="D37" s="434">
        <v>148.84</v>
      </c>
      <c r="E37" s="434">
        <v>6527.61</v>
      </c>
      <c r="F37" s="434">
        <v>3775.74</v>
      </c>
      <c r="G37" s="434">
        <v>2580.4899999999998</v>
      </c>
      <c r="H37" s="434">
        <v>2689.22</v>
      </c>
      <c r="I37" s="434">
        <v>670.76</v>
      </c>
      <c r="J37" s="434">
        <f>0.19+90.42</f>
        <v>90.61</v>
      </c>
      <c r="K37" s="434">
        <f t="shared" si="4"/>
        <v>18569.68</v>
      </c>
      <c r="L37" s="434">
        <v>53.02</v>
      </c>
      <c r="M37" s="434">
        <v>11.28</v>
      </c>
      <c r="N37" s="434">
        <v>23.61</v>
      </c>
      <c r="O37" s="434">
        <v>250.91</v>
      </c>
      <c r="P37" s="447" t="s">
        <v>815</v>
      </c>
      <c r="Q37" s="389"/>
    </row>
    <row r="38" spans="1:17" s="388" customFormat="1" ht="12.2" customHeight="1">
      <c r="A38" s="356" t="s">
        <v>824</v>
      </c>
      <c r="B38" s="389">
        <v>2226.79</v>
      </c>
      <c r="C38" s="389">
        <v>2.3199999999999998</v>
      </c>
      <c r="D38" s="389">
        <v>103.91</v>
      </c>
      <c r="E38" s="389">
        <v>4859.96</v>
      </c>
      <c r="F38" s="389">
        <v>4180.97</v>
      </c>
      <c r="G38" s="389">
        <v>2815.44</v>
      </c>
      <c r="H38" s="389">
        <v>3332.71</v>
      </c>
      <c r="I38" s="389">
        <v>669.45</v>
      </c>
      <c r="J38" s="389">
        <f>0.17+94.53</f>
        <v>94.7</v>
      </c>
      <c r="K38" s="389">
        <f t="shared" si="4"/>
        <v>18286.250000000004</v>
      </c>
      <c r="L38" s="389">
        <v>69.7</v>
      </c>
      <c r="M38" s="389">
        <v>8.75</v>
      </c>
      <c r="N38" s="389">
        <v>27.06</v>
      </c>
      <c r="O38" s="389">
        <v>193.37</v>
      </c>
      <c r="P38" s="315" t="s">
        <v>824</v>
      </c>
      <c r="Q38" s="389"/>
    </row>
    <row r="39" spans="1:17" s="388" customFormat="1" ht="12.2" customHeight="1">
      <c r="A39" s="886" t="s">
        <v>825</v>
      </c>
      <c r="B39" s="434">
        <v>2189.69</v>
      </c>
      <c r="C39" s="434">
        <v>1.17</v>
      </c>
      <c r="D39" s="434">
        <v>91.48</v>
      </c>
      <c r="E39" s="434">
        <v>5084.7700000000004</v>
      </c>
      <c r="F39" s="434">
        <v>4038.56</v>
      </c>
      <c r="G39" s="434">
        <v>2810.89</v>
      </c>
      <c r="H39" s="434">
        <v>2901.81</v>
      </c>
      <c r="I39" s="434">
        <v>704.91</v>
      </c>
      <c r="J39" s="434">
        <f>0.16+84.54</f>
        <v>84.7</v>
      </c>
      <c r="K39" s="434">
        <f t="shared" si="4"/>
        <v>17907.98</v>
      </c>
      <c r="L39" s="434">
        <v>54.73</v>
      </c>
      <c r="M39" s="434">
        <v>9.2899999999999991</v>
      </c>
      <c r="N39" s="434">
        <v>26.99</v>
      </c>
      <c r="O39" s="434">
        <v>376.02</v>
      </c>
      <c r="P39" s="447" t="s">
        <v>825</v>
      </c>
      <c r="Q39" s="389"/>
    </row>
    <row r="40" spans="1:17" s="388" customFormat="1" ht="12.2" customHeight="1">
      <c r="A40" s="356" t="s">
        <v>816</v>
      </c>
      <c r="B40" s="389">
        <v>2023.52</v>
      </c>
      <c r="C40" s="389">
        <v>1.47</v>
      </c>
      <c r="D40" s="389">
        <v>66.22</v>
      </c>
      <c r="E40" s="389">
        <v>14103.3</v>
      </c>
      <c r="F40" s="389">
        <v>5435.11</v>
      </c>
      <c r="G40" s="389">
        <v>2312.96</v>
      </c>
      <c r="H40" s="389">
        <v>2263.0300000000002</v>
      </c>
      <c r="I40" s="389">
        <v>591.84</v>
      </c>
      <c r="J40" s="389">
        <f>0.3+138</f>
        <v>138.30000000000001</v>
      </c>
      <c r="K40" s="389">
        <f t="shared" si="4"/>
        <v>26935.749999999996</v>
      </c>
      <c r="L40" s="389">
        <v>38.299999999999997</v>
      </c>
      <c r="M40" s="389">
        <v>5.83</v>
      </c>
      <c r="N40" s="389">
        <v>126.79</v>
      </c>
      <c r="O40" s="389">
        <v>173.64</v>
      </c>
      <c r="P40" s="315" t="s">
        <v>816</v>
      </c>
      <c r="Q40" s="389"/>
    </row>
    <row r="41" spans="1:17" s="388" customFormat="1" ht="12.2" customHeight="1">
      <c r="A41" s="1618" t="s">
        <v>2609</v>
      </c>
      <c r="B41" s="434"/>
      <c r="C41" s="434"/>
      <c r="D41" s="434"/>
      <c r="E41" s="434"/>
      <c r="F41" s="434"/>
      <c r="G41" s="434"/>
      <c r="H41" s="434"/>
      <c r="I41" s="434"/>
      <c r="J41" s="434"/>
      <c r="K41" s="434"/>
      <c r="L41" s="434"/>
      <c r="M41" s="434"/>
      <c r="N41" s="434"/>
      <c r="O41" s="434"/>
      <c r="P41" s="822" t="s">
        <v>2609</v>
      </c>
      <c r="Q41" s="389"/>
    </row>
    <row r="42" spans="1:17" s="388" customFormat="1" ht="12.2" customHeight="1">
      <c r="A42" s="356" t="s">
        <v>818</v>
      </c>
      <c r="B42" s="389">
        <v>1941.13</v>
      </c>
      <c r="C42" s="389">
        <v>5.01</v>
      </c>
      <c r="D42" s="389">
        <v>88.01</v>
      </c>
      <c r="E42" s="389">
        <v>3802.39</v>
      </c>
      <c r="F42" s="389">
        <v>3438.24</v>
      </c>
      <c r="G42" s="389">
        <v>2297.52</v>
      </c>
      <c r="H42" s="389">
        <v>1416.13</v>
      </c>
      <c r="I42" s="389">
        <v>604.35</v>
      </c>
      <c r="J42" s="389">
        <v>119.82000000000001</v>
      </c>
      <c r="K42" s="389">
        <f t="shared" si="4"/>
        <v>13712.6</v>
      </c>
      <c r="L42" s="389">
        <v>35.68</v>
      </c>
      <c r="M42" s="389">
        <v>6.01</v>
      </c>
      <c r="N42" s="389">
        <v>25.84</v>
      </c>
      <c r="O42" s="389">
        <v>211.18</v>
      </c>
      <c r="P42" s="315" t="s">
        <v>818</v>
      </c>
      <c r="Q42" s="389"/>
    </row>
    <row r="43" spans="1:17" s="11" customFormat="1" ht="12.2" customHeight="1">
      <c r="A43" s="886" t="s">
        <v>819</v>
      </c>
      <c r="B43" s="434">
        <v>1817.61</v>
      </c>
      <c r="C43" s="434">
        <v>4.32</v>
      </c>
      <c r="D43" s="434">
        <v>106.83</v>
      </c>
      <c r="E43" s="434">
        <v>3851.75</v>
      </c>
      <c r="F43" s="434">
        <v>3633.28</v>
      </c>
      <c r="G43" s="434">
        <v>2459.38</v>
      </c>
      <c r="H43" s="434">
        <v>2403.86</v>
      </c>
      <c r="I43" s="434">
        <v>584.32000000000005</v>
      </c>
      <c r="J43" s="434">
        <v>87.17</v>
      </c>
      <c r="K43" s="434">
        <f t="shared" si="4"/>
        <v>14948.520000000002</v>
      </c>
      <c r="L43" s="434">
        <v>31.46</v>
      </c>
      <c r="M43" s="434">
        <v>6.01</v>
      </c>
      <c r="N43" s="434">
        <v>24.11</v>
      </c>
      <c r="O43" s="434">
        <v>287.58</v>
      </c>
      <c r="P43" s="447" t="s">
        <v>819</v>
      </c>
    </row>
    <row r="44" spans="1:17" s="251" customFormat="1" ht="12.2" customHeight="1">
      <c r="A44" s="356" t="s">
        <v>813</v>
      </c>
      <c r="B44" s="389">
        <v>2132.86</v>
      </c>
      <c r="C44" s="389">
        <v>6.1</v>
      </c>
      <c r="D44" s="389">
        <v>95.7</v>
      </c>
      <c r="E44" s="389">
        <v>5559.25</v>
      </c>
      <c r="F44" s="389">
        <v>3984.08</v>
      </c>
      <c r="G44" s="389">
        <v>2585.21</v>
      </c>
      <c r="H44" s="389">
        <v>2358.2800000000002</v>
      </c>
      <c r="I44" s="389">
        <v>709.18</v>
      </c>
      <c r="J44" s="389">
        <v>88.63</v>
      </c>
      <c r="K44" s="389">
        <f t="shared" si="4"/>
        <v>17519.29</v>
      </c>
      <c r="L44" s="389">
        <v>44.48</v>
      </c>
      <c r="M44" s="389">
        <v>6</v>
      </c>
      <c r="N44" s="389">
        <v>29.71</v>
      </c>
      <c r="O44" s="389">
        <v>275.51</v>
      </c>
      <c r="P44" s="315" t="s">
        <v>813</v>
      </c>
    </row>
    <row r="45" spans="1:17" s="251" customFormat="1" ht="12.2" customHeight="1">
      <c r="A45" s="886" t="s">
        <v>820</v>
      </c>
      <c r="B45" s="434">
        <v>2049.61</v>
      </c>
      <c r="C45" s="434">
        <v>12.9</v>
      </c>
      <c r="D45" s="434">
        <v>103.61</v>
      </c>
      <c r="E45" s="434">
        <v>3858.06</v>
      </c>
      <c r="F45" s="434">
        <v>4410.78</v>
      </c>
      <c r="G45" s="434">
        <v>2774.31</v>
      </c>
      <c r="H45" s="434">
        <v>2277.6</v>
      </c>
      <c r="I45" s="434">
        <v>647.86</v>
      </c>
      <c r="J45" s="434">
        <v>91.95</v>
      </c>
      <c r="K45" s="434">
        <f t="shared" si="4"/>
        <v>16226.68</v>
      </c>
      <c r="L45" s="434">
        <v>38.86</v>
      </c>
      <c r="M45" s="434">
        <v>9.68</v>
      </c>
      <c r="N45" s="434">
        <v>30.52</v>
      </c>
      <c r="O45" s="434">
        <v>248.16</v>
      </c>
      <c r="P45" s="447" t="s">
        <v>820</v>
      </c>
    </row>
    <row r="46" spans="1:17" s="251" customFormat="1" ht="12.2" customHeight="1">
      <c r="A46" s="356" t="s">
        <v>821</v>
      </c>
      <c r="B46" s="389">
        <v>1928.36</v>
      </c>
      <c r="C46" s="389">
        <v>3.29</v>
      </c>
      <c r="D46" s="389">
        <v>105.35</v>
      </c>
      <c r="E46" s="389">
        <v>4379.97</v>
      </c>
      <c r="F46" s="389">
        <v>4408.97</v>
      </c>
      <c r="G46" s="389">
        <v>2895.15</v>
      </c>
      <c r="H46" s="389">
        <v>2804.5</v>
      </c>
      <c r="I46" s="389">
        <v>645.82000000000005</v>
      </c>
      <c r="J46" s="389">
        <v>95.62</v>
      </c>
      <c r="K46" s="389">
        <f t="shared" si="4"/>
        <v>17267.03</v>
      </c>
      <c r="L46" s="389">
        <v>42.29</v>
      </c>
      <c r="M46" s="389">
        <v>8.9600000000000009</v>
      </c>
      <c r="N46" s="389">
        <v>27.87</v>
      </c>
      <c r="O46" s="389">
        <v>244.79</v>
      </c>
      <c r="P46" s="315" t="s">
        <v>821</v>
      </c>
    </row>
    <row r="47" spans="1:17" s="251" customFormat="1" ht="12.2" customHeight="1">
      <c r="A47" s="886" t="s">
        <v>814</v>
      </c>
      <c r="B47" s="434">
        <v>1764.21</v>
      </c>
      <c r="C47" s="434">
        <v>1.46</v>
      </c>
      <c r="D47" s="434">
        <v>311.89999999999998</v>
      </c>
      <c r="E47" s="434">
        <v>6708.44</v>
      </c>
      <c r="F47" s="434">
        <v>4370.8599999999997</v>
      </c>
      <c r="G47" s="434">
        <v>2438.84</v>
      </c>
      <c r="H47" s="434">
        <v>2132.85</v>
      </c>
      <c r="I47" s="434">
        <v>509.78</v>
      </c>
      <c r="J47" s="434">
        <v>94.8</v>
      </c>
      <c r="K47" s="434">
        <f t="shared" si="4"/>
        <v>18333.139999999996</v>
      </c>
      <c r="L47" s="434">
        <v>238.23</v>
      </c>
      <c r="M47" s="434">
        <v>6.91</v>
      </c>
      <c r="N47" s="434">
        <v>22.39</v>
      </c>
      <c r="O47" s="434">
        <v>281.86</v>
      </c>
      <c r="P47" s="447" t="s">
        <v>814</v>
      </c>
    </row>
    <row r="48" spans="1:17" s="251" customFormat="1" ht="12.2" customHeight="1">
      <c r="A48" s="356" t="s">
        <v>822</v>
      </c>
      <c r="B48" s="389">
        <v>2285.2600000000002</v>
      </c>
      <c r="C48" s="389">
        <v>1.43</v>
      </c>
      <c r="D48" s="389">
        <v>762.35</v>
      </c>
      <c r="E48" s="389">
        <v>5161.68</v>
      </c>
      <c r="F48" s="389">
        <v>4634.54</v>
      </c>
      <c r="G48" s="389">
        <v>2983.11</v>
      </c>
      <c r="H48" s="389">
        <v>2174.3000000000002</v>
      </c>
      <c r="I48" s="389">
        <v>683.97</v>
      </c>
      <c r="J48" s="389">
        <v>92.210000000000008</v>
      </c>
      <c r="K48" s="389">
        <f t="shared" si="4"/>
        <v>18778.850000000002</v>
      </c>
      <c r="L48" s="389" t="s">
        <v>481</v>
      </c>
      <c r="M48" s="389" t="s">
        <v>481</v>
      </c>
      <c r="N48" s="389" t="s">
        <v>481</v>
      </c>
      <c r="O48" s="389" t="s">
        <v>481</v>
      </c>
      <c r="P48" s="315" t="s">
        <v>822</v>
      </c>
    </row>
    <row r="49" spans="1:16" s="251" customFormat="1" ht="12.2" customHeight="1">
      <c r="A49" s="886" t="s">
        <v>823</v>
      </c>
      <c r="B49" s="434">
        <v>1808.41</v>
      </c>
      <c r="C49" s="434">
        <v>2.84</v>
      </c>
      <c r="D49" s="434">
        <v>370.12</v>
      </c>
      <c r="E49" s="434">
        <v>4886.62</v>
      </c>
      <c r="F49" s="434">
        <v>4478.1899999999996</v>
      </c>
      <c r="G49" s="434">
        <v>2443.04</v>
      </c>
      <c r="H49" s="434">
        <v>2033.72</v>
      </c>
      <c r="I49" s="434">
        <v>602.63</v>
      </c>
      <c r="J49" s="434">
        <v>97.19</v>
      </c>
      <c r="K49" s="434">
        <f t="shared" si="4"/>
        <v>16722.759999999998</v>
      </c>
      <c r="L49" s="434" t="s">
        <v>481</v>
      </c>
      <c r="M49" s="434" t="s">
        <v>481</v>
      </c>
      <c r="N49" s="434" t="s">
        <v>481</v>
      </c>
      <c r="O49" s="434" t="s">
        <v>481</v>
      </c>
      <c r="P49" s="447" t="s">
        <v>823</v>
      </c>
    </row>
    <row r="50" spans="1:16" s="251" customFormat="1" ht="12.2" customHeight="1">
      <c r="A50" s="356" t="s">
        <v>815</v>
      </c>
      <c r="B50" s="389">
        <v>2038.34</v>
      </c>
      <c r="C50" s="389">
        <v>1.4</v>
      </c>
      <c r="D50" s="389">
        <v>125.21</v>
      </c>
      <c r="E50" s="389">
        <v>7350.76</v>
      </c>
      <c r="F50" s="389">
        <v>4598.58</v>
      </c>
      <c r="G50" s="389">
        <v>2596.46</v>
      </c>
      <c r="H50" s="389">
        <v>2482.11</v>
      </c>
      <c r="I50" s="389">
        <v>664.76</v>
      </c>
      <c r="J50" s="389">
        <v>95.76</v>
      </c>
      <c r="K50" s="389">
        <f t="shared" si="4"/>
        <v>19953.379999999997</v>
      </c>
      <c r="L50" s="389" t="s">
        <v>481</v>
      </c>
      <c r="M50" s="389" t="s">
        <v>481</v>
      </c>
      <c r="N50" s="389" t="s">
        <v>481</v>
      </c>
      <c r="O50" s="389" t="s">
        <v>481</v>
      </c>
      <c r="P50" s="315" t="s">
        <v>815</v>
      </c>
    </row>
    <row r="51" spans="1:16" s="251" customFormat="1" ht="12.2" customHeight="1" thickBot="1">
      <c r="A51" s="1716" t="s">
        <v>824</v>
      </c>
      <c r="B51" s="707">
        <v>2410.37</v>
      </c>
      <c r="C51" s="707">
        <v>1.67</v>
      </c>
      <c r="D51" s="707">
        <v>98.87</v>
      </c>
      <c r="E51" s="707">
        <v>5370.08</v>
      </c>
      <c r="F51" s="707">
        <v>4773.67</v>
      </c>
      <c r="G51" s="707">
        <v>3016.83</v>
      </c>
      <c r="H51" s="707">
        <v>3190.46</v>
      </c>
      <c r="I51" s="707">
        <v>688.2</v>
      </c>
      <c r="J51" s="707">
        <v>67.680000000000007</v>
      </c>
      <c r="K51" s="707">
        <f t="shared" si="4"/>
        <v>19617.830000000002</v>
      </c>
      <c r="L51" s="707" t="s">
        <v>481</v>
      </c>
      <c r="M51" s="707" t="s">
        <v>481</v>
      </c>
      <c r="N51" s="707" t="s">
        <v>481</v>
      </c>
      <c r="O51" s="707" t="s">
        <v>481</v>
      </c>
      <c r="P51" s="805" t="s">
        <v>824</v>
      </c>
    </row>
    <row r="52" spans="1:16" s="10" customFormat="1" ht="11.1" customHeight="1">
      <c r="A52" s="841"/>
      <c r="B52" s="1144"/>
      <c r="C52" s="1144"/>
      <c r="D52" s="1144"/>
      <c r="E52" s="1144"/>
      <c r="F52" s="1144"/>
      <c r="G52" s="1144"/>
      <c r="H52" s="11"/>
      <c r="I52" s="11"/>
      <c r="J52" s="2188" t="s">
        <v>2242</v>
      </c>
      <c r="K52" s="2026"/>
      <c r="L52" s="2026"/>
      <c r="M52" s="2026"/>
      <c r="N52" s="2026"/>
      <c r="O52" s="2026"/>
      <c r="P52" s="2026"/>
    </row>
    <row r="53" spans="1:16">
      <c r="A53" s="23"/>
      <c r="B53" s="10"/>
      <c r="C53" s="10"/>
      <c r="D53" s="10"/>
      <c r="E53" s="10"/>
      <c r="F53" s="10"/>
      <c r="G53" s="10"/>
      <c r="H53" s="10"/>
      <c r="I53" s="10"/>
      <c r="J53" s="2026" t="s">
        <v>2243</v>
      </c>
      <c r="K53" s="2026"/>
      <c r="L53" s="2026"/>
      <c r="M53" s="2026"/>
      <c r="N53" s="2026"/>
      <c r="O53" s="2026"/>
      <c r="P53" s="2026"/>
    </row>
    <row r="54" spans="1:16">
      <c r="B54" s="706"/>
      <c r="C54" s="706"/>
      <c r="D54" s="706"/>
      <c r="E54" s="706"/>
      <c r="F54" s="706"/>
      <c r="G54" s="706"/>
      <c r="H54" s="706"/>
      <c r="I54" s="706"/>
      <c r="J54" s="706"/>
      <c r="K54" s="706"/>
    </row>
    <row r="56" spans="1:16" ht="8.4499999999999993" customHeight="1">
      <c r="K56" s="706"/>
      <c r="L56" s="706"/>
    </row>
    <row r="57" spans="1:16">
      <c r="K57" s="706"/>
      <c r="L57" s="706"/>
    </row>
    <row r="58" spans="1:16">
      <c r="K58" s="706"/>
      <c r="L58" s="706"/>
    </row>
    <row r="59" spans="1:16">
      <c r="K59" s="706"/>
      <c r="L59" s="706"/>
    </row>
    <row r="60" spans="1:16">
      <c r="K60" s="706"/>
      <c r="L60" s="706"/>
    </row>
    <row r="61" spans="1:16">
      <c r="K61" s="706"/>
      <c r="L61" s="706"/>
    </row>
    <row r="62" spans="1:16">
      <c r="K62" s="706"/>
      <c r="L62" s="706"/>
    </row>
    <row r="63" spans="1:16">
      <c r="K63" s="706"/>
      <c r="L63" s="706"/>
    </row>
    <row r="64" spans="1:16">
      <c r="K64" s="706"/>
      <c r="L64" s="706"/>
    </row>
    <row r="65" spans="11:12">
      <c r="K65" s="706"/>
      <c r="L65" s="706"/>
    </row>
  </sheetData>
  <mergeCells count="23">
    <mergeCell ref="A1:I1"/>
    <mergeCell ref="O1:P1"/>
    <mergeCell ref="A3:A5"/>
    <mergeCell ref="E4:E5"/>
    <mergeCell ref="B4:B5"/>
    <mergeCell ref="F4:G4"/>
    <mergeCell ref="L3:O3"/>
    <mergeCell ref="P3:P5"/>
    <mergeCell ref="J1:N1"/>
    <mergeCell ref="O2:P2"/>
    <mergeCell ref="J3:K3"/>
    <mergeCell ref="B3:I3"/>
    <mergeCell ref="N4:N5"/>
    <mergeCell ref="O4:O5"/>
    <mergeCell ref="J4:J5"/>
    <mergeCell ref="C4:C5"/>
    <mergeCell ref="H4:I4"/>
    <mergeCell ref="D4:D5"/>
    <mergeCell ref="J53:P53"/>
    <mergeCell ref="L4:L5"/>
    <mergeCell ref="K4:K5"/>
    <mergeCell ref="J52:P52"/>
    <mergeCell ref="M4:M5"/>
  </mergeCells>
  <phoneticPr fontId="0" type="noConversion"/>
  <pageMargins left="0.59055118110236204" right="0.511811023622047" top="0.511811023622047" bottom="0.511811023622047" header="0" footer="0.35433070866141703"/>
  <pageSetup paperSize="448" firstPageNumber="102" orientation="portrait" useFirstPageNumber="1" r:id="rId1"/>
  <headerFooter alignWithMargins="0">
    <oddFooter>&amp;C&amp;"Times New Roman,Regular"&amp;8&amp;P</oddFooter>
  </headerFooter>
</worksheet>
</file>

<file path=xl/worksheets/sheet37.xml><?xml version="1.0" encoding="utf-8"?>
<worksheet xmlns="http://schemas.openxmlformats.org/spreadsheetml/2006/main" xmlns:r="http://schemas.openxmlformats.org/officeDocument/2006/relationships">
  <sheetPr codeName="Sheet37"/>
  <dimension ref="A1:S34"/>
  <sheetViews>
    <sheetView zoomScale="120" zoomScaleNormal="120" workbookViewId="0">
      <pane xSplit="1" ySplit="5" topLeftCell="B24" activePane="bottomRight" state="frozen"/>
      <selection pane="topRight" activeCell="B1" sqref="B1"/>
      <selection pane="bottomLeft" activeCell="A6" sqref="A6"/>
      <selection pane="bottomRight" activeCell="I32" sqref="I32"/>
    </sheetView>
  </sheetViews>
  <sheetFormatPr defaultColWidth="8.85546875" defaultRowHeight="15"/>
  <cols>
    <col min="1" max="1" width="8.140625" style="1324" customWidth="1"/>
    <col min="2" max="2" width="8.42578125" style="1324" customWidth="1"/>
    <col min="3" max="3" width="11.42578125" style="1324" customWidth="1"/>
    <col min="4" max="5" width="8.85546875" style="1324"/>
    <col min="6" max="6" width="8.42578125" style="1324" customWidth="1"/>
    <col min="7" max="8" width="8.85546875" style="1324"/>
    <col min="9" max="9" width="8.85546875" style="1324" customWidth="1"/>
    <col min="10" max="10" width="7.5703125" style="1324" customWidth="1"/>
    <col min="11" max="11" width="8.140625" style="1324" customWidth="1"/>
    <col min="12" max="12" width="9" style="1324" customWidth="1"/>
    <col min="13" max="13" width="8.85546875" style="1324"/>
    <col min="14" max="14" width="8.140625" style="1324" customWidth="1"/>
    <col min="15" max="15" width="6.28515625" style="1324" customWidth="1"/>
    <col min="16" max="16" width="8.140625" style="1324" customWidth="1"/>
    <col min="17" max="17" width="7.85546875" style="1324" customWidth="1"/>
    <col min="18" max="16384" width="8.85546875" style="1324"/>
  </cols>
  <sheetData>
    <row r="1" spans="1:19" s="1322" customFormat="1" ht="17.45" customHeight="1">
      <c r="A1" s="1321"/>
      <c r="G1" s="1338" t="s">
        <v>2495</v>
      </c>
      <c r="I1" s="1323"/>
      <c r="J1" s="1338" t="s">
        <v>2496</v>
      </c>
      <c r="K1" s="1339"/>
      <c r="L1" s="1323"/>
      <c r="M1" s="1323"/>
      <c r="R1" s="2246" t="s">
        <v>2398</v>
      </c>
      <c r="S1" s="2246"/>
    </row>
    <row r="2" spans="1:19" ht="21">
      <c r="C2" s="1325"/>
      <c r="R2" s="2247" t="s">
        <v>2399</v>
      </c>
      <c r="S2" s="2247"/>
    </row>
    <row r="3" spans="1:19" ht="13.9" customHeight="1">
      <c r="A3" s="2244" t="s">
        <v>733</v>
      </c>
      <c r="B3" s="2248" t="s">
        <v>740</v>
      </c>
      <c r="C3" s="2248" t="s">
        <v>2427</v>
      </c>
      <c r="D3" s="2250" t="s">
        <v>2418</v>
      </c>
      <c r="E3" s="2250"/>
      <c r="F3" s="2250"/>
      <c r="G3" s="2245" t="s">
        <v>2400</v>
      </c>
      <c r="H3" s="2252" t="s">
        <v>2421</v>
      </c>
      <c r="I3" s="2253"/>
      <c r="J3" s="2253"/>
      <c r="K3" s="2253"/>
      <c r="L3" s="2254"/>
      <c r="M3" s="2245" t="s">
        <v>2519</v>
      </c>
      <c r="N3" s="2245" t="s">
        <v>2520</v>
      </c>
      <c r="O3" s="2245" t="s">
        <v>2403</v>
      </c>
      <c r="P3" s="2251" t="s">
        <v>2404</v>
      </c>
      <c r="Q3" s="2245" t="s">
        <v>2405</v>
      </c>
      <c r="R3" s="2245" t="s">
        <v>2406</v>
      </c>
      <c r="S3" s="2245" t="s">
        <v>2407</v>
      </c>
    </row>
    <row r="4" spans="1:19" ht="108" customHeight="1">
      <c r="A4" s="2244"/>
      <c r="B4" s="2249"/>
      <c r="C4" s="2249"/>
      <c r="D4" s="1346" t="s">
        <v>2428</v>
      </c>
      <c r="E4" s="1343" t="s">
        <v>2426</v>
      </c>
      <c r="F4" s="1326" t="s">
        <v>2424</v>
      </c>
      <c r="G4" s="2245"/>
      <c r="H4" s="1326" t="s">
        <v>2401</v>
      </c>
      <c r="I4" s="1406" t="s">
        <v>2499</v>
      </c>
      <c r="J4" s="1409" t="s">
        <v>2518</v>
      </c>
      <c r="K4" s="1326" t="s">
        <v>2402</v>
      </c>
      <c r="L4" s="1404" t="s">
        <v>2425</v>
      </c>
      <c r="M4" s="2245"/>
      <c r="N4" s="2245"/>
      <c r="O4" s="2245"/>
      <c r="P4" s="2251"/>
      <c r="Q4" s="2245"/>
      <c r="R4" s="2245"/>
      <c r="S4" s="2245"/>
    </row>
    <row r="5" spans="1:19" ht="23.45" customHeight="1">
      <c r="A5" s="2244"/>
      <c r="B5" s="1336">
        <v>1</v>
      </c>
      <c r="C5" s="1336">
        <v>2</v>
      </c>
      <c r="D5" s="1336">
        <v>3</v>
      </c>
      <c r="E5" s="1336">
        <v>4</v>
      </c>
      <c r="F5" s="1336">
        <v>5</v>
      </c>
      <c r="G5" s="1336">
        <v>6</v>
      </c>
      <c r="H5" s="1336">
        <v>7</v>
      </c>
      <c r="I5" s="1336">
        <v>8</v>
      </c>
      <c r="J5" s="1336">
        <v>9</v>
      </c>
      <c r="K5" s="1336">
        <v>10</v>
      </c>
      <c r="L5" s="1336">
        <v>11</v>
      </c>
      <c r="M5" s="1336">
        <v>12</v>
      </c>
      <c r="N5" s="1336">
        <v>13</v>
      </c>
      <c r="O5" s="1336">
        <v>14</v>
      </c>
      <c r="P5" s="1336">
        <v>15</v>
      </c>
      <c r="Q5" s="1336">
        <v>16</v>
      </c>
      <c r="R5" s="1336">
        <v>17</v>
      </c>
      <c r="S5" s="1336">
        <v>18</v>
      </c>
    </row>
    <row r="6" spans="1:19" s="1360" customFormat="1">
      <c r="A6" s="1424" t="s">
        <v>2268</v>
      </c>
      <c r="B6" s="1423">
        <f>B18</f>
        <v>2535100</v>
      </c>
      <c r="C6" s="1423">
        <f t="shared" ref="C6:S6" si="0">C18</f>
        <v>73472</v>
      </c>
      <c r="D6" s="1423">
        <f t="shared" si="0"/>
        <v>223759</v>
      </c>
      <c r="E6" s="1423">
        <f t="shared" si="0"/>
        <v>97067</v>
      </c>
      <c r="F6" s="1423">
        <f t="shared" si="0"/>
        <v>126692</v>
      </c>
      <c r="G6" s="1423">
        <f t="shared" si="0"/>
        <v>57565</v>
      </c>
      <c r="H6" s="1423">
        <f t="shared" si="0"/>
        <v>1534112</v>
      </c>
      <c r="I6" s="1423">
        <f t="shared" si="0"/>
        <v>787992</v>
      </c>
      <c r="J6" s="1423">
        <f t="shared" si="0"/>
        <v>33</v>
      </c>
      <c r="K6" s="1423">
        <f t="shared" si="0"/>
        <v>0</v>
      </c>
      <c r="L6" s="1423">
        <f t="shared" si="0"/>
        <v>2322137</v>
      </c>
      <c r="M6" s="1423">
        <f t="shared" si="0"/>
        <v>3455</v>
      </c>
      <c r="N6" s="1423">
        <f t="shared" si="0"/>
        <v>0</v>
      </c>
      <c r="O6" s="1423">
        <f t="shared" si="0"/>
        <v>0</v>
      </c>
      <c r="P6" s="1423">
        <f t="shared" si="0"/>
        <v>0</v>
      </c>
      <c r="Q6" s="1423">
        <f t="shared" si="0"/>
        <v>0</v>
      </c>
      <c r="R6" s="1423">
        <f t="shared" si="0"/>
        <v>303085</v>
      </c>
      <c r="S6" s="1423">
        <f t="shared" si="0"/>
        <v>164152</v>
      </c>
    </row>
    <row r="7" spans="1:19">
      <c r="A7" s="1328" t="s">
        <v>818</v>
      </c>
      <c r="B7" s="1329">
        <v>2516491</v>
      </c>
      <c r="C7" s="1329">
        <v>65078</v>
      </c>
      <c r="D7" s="1329">
        <v>113041</v>
      </c>
      <c r="E7" s="1329">
        <v>148082</v>
      </c>
      <c r="F7" s="1329">
        <f>D7-E7</f>
        <v>-35041</v>
      </c>
      <c r="G7" s="1329">
        <v>53760</v>
      </c>
      <c r="H7" s="1329">
        <v>1369563</v>
      </c>
      <c r="I7" s="1329">
        <v>717758</v>
      </c>
      <c r="J7" s="1329">
        <v>155</v>
      </c>
      <c r="K7" s="1329">
        <v>0</v>
      </c>
      <c r="L7" s="1329">
        <f>H7+I7+J7+K7</f>
        <v>2087476</v>
      </c>
      <c r="M7" s="1329">
        <v>8379</v>
      </c>
      <c r="N7" s="1329">
        <v>190</v>
      </c>
      <c r="O7" s="1329">
        <v>0</v>
      </c>
      <c r="P7" s="1329">
        <v>0</v>
      </c>
      <c r="Q7" s="1329">
        <v>0</v>
      </c>
      <c r="R7" s="1329">
        <v>228335</v>
      </c>
      <c r="S7" s="1329">
        <v>275908</v>
      </c>
    </row>
    <row r="8" spans="1:19" s="1332" customFormat="1">
      <c r="A8" s="1330" t="s">
        <v>819</v>
      </c>
      <c r="B8" s="1331">
        <v>2516310</v>
      </c>
      <c r="C8" s="1331">
        <v>66697</v>
      </c>
      <c r="D8" s="1331">
        <v>171998</v>
      </c>
      <c r="E8" s="1331">
        <v>96393</v>
      </c>
      <c r="F8" s="1331">
        <f t="shared" ref="F8:F30" si="1">D8-E8</f>
        <v>75605</v>
      </c>
      <c r="G8" s="1331">
        <v>53082</v>
      </c>
      <c r="H8" s="1331">
        <v>1576547</v>
      </c>
      <c r="I8" s="1331">
        <v>709859</v>
      </c>
      <c r="J8" s="1331">
        <v>104</v>
      </c>
      <c r="K8" s="1331">
        <v>0</v>
      </c>
      <c r="L8" s="1331">
        <f t="shared" ref="L8:L30" si="2">H8+I8+J8+K8</f>
        <v>2286510</v>
      </c>
      <c r="M8" s="1331">
        <v>8988</v>
      </c>
      <c r="N8" s="1331">
        <v>809</v>
      </c>
      <c r="O8" s="1331">
        <v>0</v>
      </c>
      <c r="P8" s="1331">
        <v>0</v>
      </c>
      <c r="Q8" s="1331">
        <v>0</v>
      </c>
      <c r="R8" s="1331">
        <v>230875</v>
      </c>
      <c r="S8" s="1331">
        <v>184512</v>
      </c>
    </row>
    <row r="9" spans="1:19">
      <c r="A9" s="1328" t="s">
        <v>813</v>
      </c>
      <c r="B9" s="1329">
        <v>2508112</v>
      </c>
      <c r="C9" s="1329">
        <v>69251</v>
      </c>
      <c r="D9" s="1329">
        <v>113310</v>
      </c>
      <c r="E9" s="1329">
        <v>117147</v>
      </c>
      <c r="F9" s="1329">
        <f t="shared" si="1"/>
        <v>-3837</v>
      </c>
      <c r="G9" s="1329">
        <v>53566</v>
      </c>
      <c r="H9" s="1329">
        <v>1425872</v>
      </c>
      <c r="I9" s="1329">
        <v>711055</v>
      </c>
      <c r="J9" s="1329">
        <v>236</v>
      </c>
      <c r="K9" s="1329">
        <v>0</v>
      </c>
      <c r="L9" s="1329">
        <f t="shared" si="2"/>
        <v>2137163</v>
      </c>
      <c r="M9" s="1329">
        <v>9696</v>
      </c>
      <c r="N9" s="1329">
        <v>0</v>
      </c>
      <c r="O9" s="1329">
        <v>0</v>
      </c>
      <c r="P9" s="1329">
        <v>0</v>
      </c>
      <c r="Q9" s="1329">
        <v>0</v>
      </c>
      <c r="R9" s="1329">
        <v>238172</v>
      </c>
      <c r="S9" s="1329">
        <v>242061</v>
      </c>
    </row>
    <row r="10" spans="1:19" s="1332" customFormat="1">
      <c r="A10" s="1330" t="s">
        <v>820</v>
      </c>
      <c r="B10" s="1331">
        <v>2516396</v>
      </c>
      <c r="C10" s="1331">
        <v>71969</v>
      </c>
      <c r="D10" s="1331">
        <v>112041</v>
      </c>
      <c r="E10" s="1331">
        <v>97739</v>
      </c>
      <c r="F10" s="1331">
        <f t="shared" si="1"/>
        <v>14302</v>
      </c>
      <c r="G10" s="1331">
        <v>53825</v>
      </c>
      <c r="H10" s="1331">
        <v>1375333</v>
      </c>
      <c r="I10" s="1331">
        <v>711869</v>
      </c>
      <c r="J10" s="1331">
        <v>148</v>
      </c>
      <c r="K10" s="1331">
        <v>0</v>
      </c>
      <c r="L10" s="1331">
        <f t="shared" si="2"/>
        <v>2087350</v>
      </c>
      <c r="M10" s="1331">
        <v>9445</v>
      </c>
      <c r="N10" s="1331">
        <v>210</v>
      </c>
      <c r="O10" s="1331">
        <v>0</v>
      </c>
      <c r="P10" s="1331">
        <v>0</v>
      </c>
      <c r="Q10" s="1331">
        <v>0</v>
      </c>
      <c r="R10" s="1331">
        <v>237874</v>
      </c>
      <c r="S10" s="1331">
        <v>321613</v>
      </c>
    </row>
    <row r="11" spans="1:19">
      <c r="A11" s="1328" t="s">
        <v>821</v>
      </c>
      <c r="B11" s="1329">
        <v>2528327</v>
      </c>
      <c r="C11" s="1329">
        <v>71002</v>
      </c>
      <c r="D11" s="1329">
        <v>119475</v>
      </c>
      <c r="E11" s="1329">
        <v>99915</v>
      </c>
      <c r="F11" s="1329">
        <f t="shared" si="1"/>
        <v>19560</v>
      </c>
      <c r="G11" s="1329">
        <v>54037</v>
      </c>
      <c r="H11" s="1329">
        <v>1367015</v>
      </c>
      <c r="I11" s="1329">
        <v>707679</v>
      </c>
      <c r="J11" s="1329">
        <v>107</v>
      </c>
      <c r="K11" s="1329">
        <v>0</v>
      </c>
      <c r="L11" s="1329">
        <f t="shared" si="2"/>
        <v>2074801</v>
      </c>
      <c r="M11" s="1329">
        <v>7454</v>
      </c>
      <c r="N11" s="1329">
        <v>1045</v>
      </c>
      <c r="O11" s="1329">
        <v>0</v>
      </c>
      <c r="P11" s="1329">
        <v>0</v>
      </c>
      <c r="Q11" s="1329">
        <v>0</v>
      </c>
      <c r="R11" s="1329">
        <v>285181</v>
      </c>
      <c r="S11" s="1329">
        <v>304445</v>
      </c>
    </row>
    <row r="12" spans="1:19">
      <c r="A12" s="1330" t="s">
        <v>814</v>
      </c>
      <c r="B12" s="1331">
        <v>2534979</v>
      </c>
      <c r="C12" s="1331">
        <v>65381</v>
      </c>
      <c r="D12" s="1331">
        <v>118166</v>
      </c>
      <c r="E12" s="1331">
        <v>101875</v>
      </c>
      <c r="F12" s="1331">
        <f t="shared" si="1"/>
        <v>16291</v>
      </c>
      <c r="G12" s="1331">
        <v>55362</v>
      </c>
      <c r="H12" s="1331">
        <v>1391509</v>
      </c>
      <c r="I12" s="1331">
        <v>762873</v>
      </c>
      <c r="J12" s="1331">
        <v>100</v>
      </c>
      <c r="K12" s="1331">
        <v>0</v>
      </c>
      <c r="L12" s="1331">
        <f t="shared" si="2"/>
        <v>2154482</v>
      </c>
      <c r="M12" s="1331">
        <v>7890</v>
      </c>
      <c r="N12" s="1331">
        <v>0</v>
      </c>
      <c r="O12" s="1331">
        <v>0</v>
      </c>
      <c r="P12" s="1331">
        <v>0</v>
      </c>
      <c r="Q12" s="1331">
        <v>0</v>
      </c>
      <c r="R12" s="1331">
        <v>301325</v>
      </c>
      <c r="S12" s="1331">
        <v>208316</v>
      </c>
    </row>
    <row r="13" spans="1:19">
      <c r="A13" s="1328" t="s">
        <v>822</v>
      </c>
      <c r="B13" s="1329">
        <v>2535619</v>
      </c>
      <c r="C13" s="1329">
        <v>66721</v>
      </c>
      <c r="D13" s="1329">
        <v>116387</v>
      </c>
      <c r="E13" s="1329">
        <v>116526</v>
      </c>
      <c r="F13" s="1329">
        <f t="shared" si="1"/>
        <v>-139</v>
      </c>
      <c r="G13" s="1329">
        <v>55465</v>
      </c>
      <c r="H13" s="1329">
        <v>1387593</v>
      </c>
      <c r="I13" s="1329">
        <v>700158</v>
      </c>
      <c r="J13" s="1329">
        <v>134</v>
      </c>
      <c r="K13" s="1329">
        <v>0</v>
      </c>
      <c r="L13" s="1329">
        <f t="shared" si="2"/>
        <v>2087885</v>
      </c>
      <c r="M13" s="1329">
        <v>8246</v>
      </c>
      <c r="N13" s="1329">
        <v>310</v>
      </c>
      <c r="O13" s="1329">
        <v>0</v>
      </c>
      <c r="P13" s="1329">
        <v>0</v>
      </c>
      <c r="Q13" s="1329">
        <v>0</v>
      </c>
      <c r="R13" s="1329">
        <v>326295</v>
      </c>
      <c r="S13" s="1329">
        <v>234930</v>
      </c>
    </row>
    <row r="14" spans="1:19">
      <c r="A14" s="1330" t="s">
        <v>823</v>
      </c>
      <c r="B14" s="1331">
        <v>2535729</v>
      </c>
      <c r="C14" s="1331">
        <v>66250</v>
      </c>
      <c r="D14" s="1331">
        <v>101602</v>
      </c>
      <c r="E14" s="1331">
        <v>108066</v>
      </c>
      <c r="F14" s="1331">
        <f t="shared" si="1"/>
        <v>-6464</v>
      </c>
      <c r="G14" s="1331">
        <v>55076</v>
      </c>
      <c r="H14" s="1331">
        <v>1395923</v>
      </c>
      <c r="I14" s="1331">
        <v>694206</v>
      </c>
      <c r="J14" s="1331">
        <v>74</v>
      </c>
      <c r="K14" s="1331">
        <v>0</v>
      </c>
      <c r="L14" s="1331">
        <f t="shared" si="2"/>
        <v>2090203</v>
      </c>
      <c r="M14" s="1331">
        <v>9394</v>
      </c>
      <c r="N14" s="1331">
        <v>2487</v>
      </c>
      <c r="O14" s="1331">
        <v>0</v>
      </c>
      <c r="P14" s="1331">
        <v>0</v>
      </c>
      <c r="Q14" s="1331">
        <v>0</v>
      </c>
      <c r="R14" s="1331">
        <v>323192</v>
      </c>
      <c r="S14" s="1331">
        <v>225315</v>
      </c>
    </row>
    <row r="15" spans="1:19">
      <c r="A15" s="1328" t="s">
        <v>815</v>
      </c>
      <c r="B15" s="1329">
        <v>2529084</v>
      </c>
      <c r="C15" s="1329">
        <v>66613</v>
      </c>
      <c r="D15" s="1329">
        <v>103248</v>
      </c>
      <c r="E15" s="1329">
        <v>84994</v>
      </c>
      <c r="F15" s="1329">
        <f t="shared" si="1"/>
        <v>18254</v>
      </c>
      <c r="G15" s="1329">
        <v>55835</v>
      </c>
      <c r="H15" s="1329">
        <v>1386485</v>
      </c>
      <c r="I15" s="1329">
        <v>720718</v>
      </c>
      <c r="J15" s="1329">
        <v>27</v>
      </c>
      <c r="K15" s="1329">
        <v>0</v>
      </c>
      <c r="L15" s="1329">
        <f t="shared" si="2"/>
        <v>2107230</v>
      </c>
      <c r="M15" s="1329">
        <v>4735</v>
      </c>
      <c r="N15" s="1329">
        <v>2777</v>
      </c>
      <c r="O15" s="1329">
        <v>0</v>
      </c>
      <c r="P15" s="1329">
        <v>0</v>
      </c>
      <c r="Q15" s="1329">
        <v>0</v>
      </c>
      <c r="R15" s="1329">
        <v>327366</v>
      </c>
      <c r="S15" s="1329">
        <v>227678</v>
      </c>
    </row>
    <row r="16" spans="1:19">
      <c r="A16" s="1330" t="s">
        <v>824</v>
      </c>
      <c r="B16" s="1331">
        <v>2513204</v>
      </c>
      <c r="C16" s="1331">
        <v>73619</v>
      </c>
      <c r="D16" s="1331">
        <v>111367</v>
      </c>
      <c r="E16" s="1331">
        <v>90221</v>
      </c>
      <c r="F16" s="1331">
        <f t="shared" si="1"/>
        <v>21146</v>
      </c>
      <c r="G16" s="1331">
        <v>56122</v>
      </c>
      <c r="H16" s="1331">
        <v>1393703</v>
      </c>
      <c r="I16" s="1331">
        <v>714719</v>
      </c>
      <c r="J16" s="1331">
        <v>121</v>
      </c>
      <c r="K16" s="1331">
        <v>0</v>
      </c>
      <c r="L16" s="1331">
        <f t="shared" si="2"/>
        <v>2108543</v>
      </c>
      <c r="M16" s="1331">
        <v>5301</v>
      </c>
      <c r="N16" s="1331">
        <v>2338</v>
      </c>
      <c r="O16" s="1331">
        <v>0</v>
      </c>
      <c r="P16" s="1331">
        <v>0</v>
      </c>
      <c r="Q16" s="1331">
        <v>0</v>
      </c>
      <c r="R16" s="1331">
        <v>325957</v>
      </c>
      <c r="S16" s="1331">
        <v>221952</v>
      </c>
    </row>
    <row r="17" spans="1:19">
      <c r="A17" s="1328" t="s">
        <v>825</v>
      </c>
      <c r="B17" s="1329">
        <v>2523794</v>
      </c>
      <c r="C17" s="1329">
        <v>72723</v>
      </c>
      <c r="D17" s="1329">
        <v>103640</v>
      </c>
      <c r="E17" s="1329">
        <v>84336</v>
      </c>
      <c r="F17" s="1329">
        <f t="shared" si="1"/>
        <v>19304</v>
      </c>
      <c r="G17" s="1329">
        <v>56488</v>
      </c>
      <c r="H17" s="1329">
        <v>1450992</v>
      </c>
      <c r="I17" s="1329">
        <v>644076</v>
      </c>
      <c r="J17" s="1329">
        <v>64</v>
      </c>
      <c r="K17" s="1329">
        <v>0</v>
      </c>
      <c r="L17" s="1329">
        <f t="shared" si="2"/>
        <v>2095132</v>
      </c>
      <c r="M17" s="1329">
        <v>4089</v>
      </c>
      <c r="N17" s="1329">
        <v>0</v>
      </c>
      <c r="O17" s="1329">
        <v>0</v>
      </c>
      <c r="P17" s="1329">
        <v>0</v>
      </c>
      <c r="Q17" s="1329">
        <v>0</v>
      </c>
      <c r="R17" s="1329">
        <v>331477</v>
      </c>
      <c r="S17" s="1329">
        <v>241611</v>
      </c>
    </row>
    <row r="18" spans="1:19" s="1410" customFormat="1" ht="12">
      <c r="A18" s="1413" t="s">
        <v>816</v>
      </c>
      <c r="B18" s="1414">
        <v>2535100</v>
      </c>
      <c r="C18" s="1414">
        <v>73472</v>
      </c>
      <c r="D18" s="1414">
        <v>223759</v>
      </c>
      <c r="E18" s="1414">
        <v>97067</v>
      </c>
      <c r="F18" s="1414">
        <f t="shared" si="1"/>
        <v>126692</v>
      </c>
      <c r="G18" s="1414">
        <v>57565</v>
      </c>
      <c r="H18" s="1414">
        <v>1534112</v>
      </c>
      <c r="I18" s="1414">
        <v>787992</v>
      </c>
      <c r="J18" s="1414">
        <v>33</v>
      </c>
      <c r="K18" s="1414">
        <v>0</v>
      </c>
      <c r="L18" s="1414">
        <f t="shared" si="2"/>
        <v>2322137</v>
      </c>
      <c r="M18" s="1414">
        <v>3455</v>
      </c>
      <c r="N18" s="1414">
        <v>0</v>
      </c>
      <c r="O18" s="1414">
        <v>0</v>
      </c>
      <c r="P18" s="1414">
        <v>0</v>
      </c>
      <c r="Q18" s="1414">
        <v>0</v>
      </c>
      <c r="R18" s="1414">
        <v>303085</v>
      </c>
      <c r="S18" s="1414">
        <v>164152</v>
      </c>
    </row>
    <row r="19" spans="1:19" s="1410" customFormat="1" ht="14.25">
      <c r="A19" s="1415" t="s">
        <v>2525</v>
      </c>
      <c r="B19" s="1329"/>
      <c r="C19" s="1329"/>
      <c r="D19" s="1329"/>
      <c r="E19" s="1329"/>
      <c r="F19" s="1329"/>
      <c r="G19" s="1329"/>
      <c r="H19" s="1329"/>
      <c r="I19" s="1329"/>
      <c r="J19" s="1329"/>
      <c r="K19" s="1329"/>
      <c r="L19" s="1329"/>
      <c r="M19" s="1329"/>
      <c r="N19" s="1329"/>
      <c r="O19" s="1329"/>
      <c r="P19" s="1329"/>
      <c r="Q19" s="1329"/>
      <c r="R19" s="1329"/>
      <c r="S19" s="1329"/>
    </row>
    <row r="20" spans="1:19" s="1410" customFormat="1" ht="12">
      <c r="A20" s="1330" t="s">
        <v>818</v>
      </c>
      <c r="B20" s="1414">
        <v>2519743</v>
      </c>
      <c r="C20" s="1414">
        <v>67439</v>
      </c>
      <c r="D20" s="1414">
        <v>153452</v>
      </c>
      <c r="E20" s="1414">
        <v>132478</v>
      </c>
      <c r="F20" s="1414">
        <f t="shared" si="1"/>
        <v>20974</v>
      </c>
      <c r="G20" s="1414">
        <v>57153</v>
      </c>
      <c r="H20" s="1414">
        <v>1494928</v>
      </c>
      <c r="I20" s="1414">
        <v>702360</v>
      </c>
      <c r="J20" s="1414">
        <v>121</v>
      </c>
      <c r="K20" s="1414">
        <v>0</v>
      </c>
      <c r="L20" s="1414">
        <f t="shared" si="2"/>
        <v>2197409</v>
      </c>
      <c r="M20" s="1414">
        <v>3724</v>
      </c>
      <c r="N20" s="1414">
        <v>0</v>
      </c>
      <c r="O20" s="1414">
        <v>0</v>
      </c>
      <c r="P20" s="1414">
        <v>0</v>
      </c>
      <c r="Q20" s="1414">
        <v>0</v>
      </c>
      <c r="R20" s="1414">
        <v>305789</v>
      </c>
      <c r="S20" s="1414">
        <v>158387</v>
      </c>
    </row>
    <row r="21" spans="1:19" s="1410" customFormat="1" ht="12">
      <c r="A21" s="1328" t="s">
        <v>819</v>
      </c>
      <c r="B21" s="1329">
        <v>2546772</v>
      </c>
      <c r="C21" s="1329">
        <v>66792</v>
      </c>
      <c r="D21" s="1329">
        <v>193758</v>
      </c>
      <c r="E21" s="1329">
        <v>123476</v>
      </c>
      <c r="F21" s="1329">
        <f t="shared" si="1"/>
        <v>70282</v>
      </c>
      <c r="G21" s="1329">
        <v>57011</v>
      </c>
      <c r="H21" s="1329">
        <v>1660591</v>
      </c>
      <c r="I21" s="1329">
        <v>667771</v>
      </c>
      <c r="J21" s="1329">
        <v>70</v>
      </c>
      <c r="K21" s="1329">
        <v>0</v>
      </c>
      <c r="L21" s="1329">
        <f t="shared" si="2"/>
        <v>2328432</v>
      </c>
      <c r="M21" s="1329">
        <v>4038</v>
      </c>
      <c r="N21" s="1329">
        <v>0</v>
      </c>
      <c r="O21" s="1329">
        <v>0</v>
      </c>
      <c r="P21" s="1329">
        <v>0</v>
      </c>
      <c r="Q21" s="1329">
        <v>0</v>
      </c>
      <c r="R21" s="1329">
        <v>308350</v>
      </c>
      <c r="S21" s="1329">
        <v>100037</v>
      </c>
    </row>
    <row r="22" spans="1:19" s="1410" customFormat="1" ht="12">
      <c r="A22" s="1330" t="s">
        <v>813</v>
      </c>
      <c r="B22" s="1331">
        <v>2517324</v>
      </c>
      <c r="C22" s="1331">
        <v>67296</v>
      </c>
      <c r="D22" s="1331">
        <v>148759</v>
      </c>
      <c r="E22" s="1331">
        <v>143554</v>
      </c>
      <c r="F22" s="1331">
        <f t="shared" si="1"/>
        <v>5205</v>
      </c>
      <c r="G22" s="1331">
        <v>56564</v>
      </c>
      <c r="H22" s="1331">
        <v>1539960</v>
      </c>
      <c r="I22" s="1331">
        <v>729547</v>
      </c>
      <c r="J22" s="1331">
        <v>111</v>
      </c>
      <c r="K22" s="1331">
        <v>0</v>
      </c>
      <c r="L22" s="1331">
        <f t="shared" si="2"/>
        <v>2269618</v>
      </c>
      <c r="M22" s="1331">
        <v>5911</v>
      </c>
      <c r="N22" s="1331">
        <v>0</v>
      </c>
      <c r="O22" s="1331">
        <v>0</v>
      </c>
      <c r="P22" s="1331">
        <v>0</v>
      </c>
      <c r="Q22" s="1331">
        <v>0</v>
      </c>
      <c r="R22" s="1331">
        <v>309555</v>
      </c>
      <c r="S22" s="1331">
        <v>61305</v>
      </c>
    </row>
    <row r="23" spans="1:19" s="1410" customFormat="1" ht="12">
      <c r="A23" s="1328" t="s">
        <v>820</v>
      </c>
      <c r="B23" s="1329">
        <v>2481543</v>
      </c>
      <c r="C23" s="1329">
        <v>67032</v>
      </c>
      <c r="D23" s="1329">
        <v>166447</v>
      </c>
      <c r="E23" s="1329">
        <v>123970</v>
      </c>
      <c r="F23" s="1329">
        <f t="shared" si="1"/>
        <v>42477</v>
      </c>
      <c r="G23" s="1329">
        <v>56280</v>
      </c>
      <c r="H23" s="1329">
        <v>1509006</v>
      </c>
      <c r="I23" s="1329">
        <v>756847</v>
      </c>
      <c r="J23" s="1329">
        <v>93</v>
      </c>
      <c r="K23" s="1329">
        <v>0</v>
      </c>
      <c r="L23" s="1329">
        <f t="shared" si="2"/>
        <v>2265946</v>
      </c>
      <c r="M23" s="1329">
        <v>7601</v>
      </c>
      <c r="N23" s="1329">
        <v>0</v>
      </c>
      <c r="O23" s="1329">
        <v>0</v>
      </c>
      <c r="P23" s="1329">
        <v>0</v>
      </c>
      <c r="Q23" s="1329">
        <v>0</v>
      </c>
      <c r="R23" s="1329">
        <v>309760</v>
      </c>
      <c r="S23" s="1329">
        <v>64025</v>
      </c>
    </row>
    <row r="24" spans="1:19" s="1410" customFormat="1" ht="12">
      <c r="A24" s="1330" t="s">
        <v>821</v>
      </c>
      <c r="B24" s="1331">
        <v>2453091</v>
      </c>
      <c r="C24" s="1331">
        <v>69091</v>
      </c>
      <c r="D24" s="1331">
        <v>184323</v>
      </c>
      <c r="E24" s="1331">
        <v>134044</v>
      </c>
      <c r="F24" s="1331">
        <f t="shared" si="1"/>
        <v>50279</v>
      </c>
      <c r="G24" s="1331">
        <v>56129</v>
      </c>
      <c r="H24" s="1331">
        <v>1507507</v>
      </c>
      <c r="I24" s="1331">
        <v>730455</v>
      </c>
      <c r="J24" s="1331">
        <v>101</v>
      </c>
      <c r="K24" s="1331">
        <v>0</v>
      </c>
      <c r="L24" s="1331">
        <f t="shared" si="2"/>
        <v>2238063</v>
      </c>
      <c r="M24" s="1331">
        <v>5774</v>
      </c>
      <c r="N24" s="1331">
        <v>0</v>
      </c>
      <c r="O24" s="1331">
        <v>0</v>
      </c>
      <c r="P24" s="1331">
        <v>0</v>
      </c>
      <c r="Q24" s="1331">
        <v>0</v>
      </c>
      <c r="R24" s="1331">
        <v>316466</v>
      </c>
      <c r="S24" s="1331">
        <v>68287</v>
      </c>
    </row>
    <row r="25" spans="1:19" s="1410" customFormat="1" ht="12">
      <c r="A25" s="1328" t="s">
        <v>814</v>
      </c>
      <c r="B25" s="1329">
        <v>2476919</v>
      </c>
      <c r="C25" s="1329">
        <v>75528</v>
      </c>
      <c r="D25" s="1329">
        <v>230826</v>
      </c>
      <c r="E25" s="1329">
        <v>122877</v>
      </c>
      <c r="F25" s="1329">
        <f t="shared" si="1"/>
        <v>107949</v>
      </c>
      <c r="G25" s="1329">
        <v>56662</v>
      </c>
      <c r="H25" s="1329">
        <v>1568330</v>
      </c>
      <c r="I25" s="1329">
        <v>762870</v>
      </c>
      <c r="J25" s="1329">
        <v>99</v>
      </c>
      <c r="K25" s="1329">
        <v>0</v>
      </c>
      <c r="L25" s="1329">
        <f t="shared" si="2"/>
        <v>2331299</v>
      </c>
      <c r="M25" s="1329">
        <v>10971</v>
      </c>
      <c r="N25" s="1329">
        <v>0</v>
      </c>
      <c r="O25" s="1329">
        <v>0</v>
      </c>
      <c r="P25" s="1329">
        <v>0</v>
      </c>
      <c r="Q25" s="1329">
        <v>0</v>
      </c>
      <c r="R25" s="1329">
        <v>316950</v>
      </c>
      <c r="S25" s="1329">
        <v>57838</v>
      </c>
    </row>
    <row r="26" spans="1:19" s="1410" customFormat="1" ht="12">
      <c r="A26" s="1330" t="s">
        <v>822</v>
      </c>
      <c r="B26" s="1331">
        <v>2455646</v>
      </c>
      <c r="C26" s="1331">
        <v>68645</v>
      </c>
      <c r="D26" s="1331">
        <v>210506</v>
      </c>
      <c r="E26" s="1331">
        <v>136810</v>
      </c>
      <c r="F26" s="1331">
        <f t="shared" si="1"/>
        <v>73696</v>
      </c>
      <c r="G26" s="1331">
        <v>56124</v>
      </c>
      <c r="H26" s="1331">
        <v>1558273</v>
      </c>
      <c r="I26" s="1331">
        <v>706536</v>
      </c>
      <c r="J26" s="1331">
        <v>182</v>
      </c>
      <c r="K26" s="1331">
        <v>0</v>
      </c>
      <c r="L26" s="1331">
        <f t="shared" si="2"/>
        <v>2264991</v>
      </c>
      <c r="M26" s="1331">
        <v>9026</v>
      </c>
      <c r="N26" s="1331">
        <v>0</v>
      </c>
      <c r="O26" s="1331">
        <v>0</v>
      </c>
      <c r="P26" s="1331">
        <v>0</v>
      </c>
      <c r="Q26" s="1331">
        <v>0</v>
      </c>
      <c r="R26" s="1331">
        <v>334837</v>
      </c>
      <c r="S26" s="1331">
        <v>45257</v>
      </c>
    </row>
    <row r="27" spans="1:19" s="1410" customFormat="1" ht="12">
      <c r="A27" s="1328" t="s">
        <v>823</v>
      </c>
      <c r="B27" s="1329">
        <v>2503230</v>
      </c>
      <c r="C27" s="1329">
        <v>79372</v>
      </c>
      <c r="D27" s="1329">
        <v>209128</v>
      </c>
      <c r="E27" s="1329">
        <v>173720</v>
      </c>
      <c r="F27" s="1329">
        <f t="shared" si="1"/>
        <v>35408</v>
      </c>
      <c r="G27" s="1329">
        <v>55070</v>
      </c>
      <c r="H27" s="1329">
        <v>1574073</v>
      </c>
      <c r="I27" s="1329">
        <v>677987</v>
      </c>
      <c r="J27" s="1329">
        <v>83</v>
      </c>
      <c r="K27" s="1329">
        <v>0</v>
      </c>
      <c r="L27" s="1329">
        <f t="shared" si="2"/>
        <v>2252143</v>
      </c>
      <c r="M27" s="1329">
        <v>8870</v>
      </c>
      <c r="N27" s="1329">
        <v>0</v>
      </c>
      <c r="O27" s="1329">
        <v>0</v>
      </c>
      <c r="P27" s="1329">
        <v>0</v>
      </c>
      <c r="Q27" s="1329">
        <v>0</v>
      </c>
      <c r="R27" s="1329">
        <v>346024</v>
      </c>
      <c r="S27" s="1329">
        <v>66043</v>
      </c>
    </row>
    <row r="28" spans="1:19" s="1652" customFormat="1" ht="12">
      <c r="A28" s="1330" t="s">
        <v>815</v>
      </c>
      <c r="B28" s="1331">
        <v>2513947</v>
      </c>
      <c r="C28" s="1331">
        <v>85621</v>
      </c>
      <c r="D28" s="1331">
        <v>191228</v>
      </c>
      <c r="E28" s="1331">
        <v>172042</v>
      </c>
      <c r="F28" s="1331">
        <f t="shared" si="1"/>
        <v>19186</v>
      </c>
      <c r="G28" s="1331">
        <v>55538</v>
      </c>
      <c r="H28" s="1331">
        <v>1579718</v>
      </c>
      <c r="I28" s="1331">
        <v>655792</v>
      </c>
      <c r="J28" s="1331">
        <v>108</v>
      </c>
      <c r="K28" s="1331">
        <v>0</v>
      </c>
      <c r="L28" s="1331">
        <f t="shared" si="2"/>
        <v>2235618</v>
      </c>
      <c r="M28" s="1331">
        <v>8729</v>
      </c>
      <c r="N28" s="1331">
        <v>0</v>
      </c>
      <c r="O28" s="1331">
        <v>0</v>
      </c>
      <c r="P28" s="1331">
        <v>0</v>
      </c>
      <c r="Q28" s="1331">
        <v>0</v>
      </c>
      <c r="R28" s="1331">
        <v>343152</v>
      </c>
      <c r="S28" s="1331">
        <v>86793</v>
      </c>
    </row>
    <row r="29" spans="1:19" s="1652" customFormat="1" ht="12">
      <c r="A29" s="1328" t="s">
        <v>824</v>
      </c>
      <c r="B29" s="1329">
        <v>2496379</v>
      </c>
      <c r="C29" s="1329">
        <v>72982</v>
      </c>
      <c r="D29" s="1329">
        <v>193566</v>
      </c>
      <c r="E29" s="1329">
        <v>127991</v>
      </c>
      <c r="F29" s="1329">
        <f t="shared" si="1"/>
        <v>65575</v>
      </c>
      <c r="G29" s="1329">
        <v>55304</v>
      </c>
      <c r="H29" s="1329">
        <v>1572639</v>
      </c>
      <c r="I29" s="1329">
        <v>681794</v>
      </c>
      <c r="J29" s="1329">
        <v>209</v>
      </c>
      <c r="K29" s="1329">
        <v>0</v>
      </c>
      <c r="L29" s="1329">
        <f t="shared" si="2"/>
        <v>2254642</v>
      </c>
      <c r="M29" s="1329">
        <v>11119</v>
      </c>
      <c r="N29" s="1329">
        <v>0</v>
      </c>
      <c r="O29" s="1329">
        <v>0</v>
      </c>
      <c r="P29" s="1329">
        <v>0</v>
      </c>
      <c r="Q29" s="1329">
        <v>0</v>
      </c>
      <c r="R29" s="1329">
        <v>351251</v>
      </c>
      <c r="S29" s="1329">
        <v>73228</v>
      </c>
    </row>
    <row r="30" spans="1:19" s="1652" customFormat="1" ht="12.75" thickBot="1">
      <c r="A30" s="1714" t="s">
        <v>825</v>
      </c>
      <c r="B30" s="1715">
        <v>2487366</v>
      </c>
      <c r="C30" s="1715">
        <v>93646</v>
      </c>
      <c r="D30" s="1715">
        <v>337205</v>
      </c>
      <c r="E30" s="1715">
        <v>92494</v>
      </c>
      <c r="F30" s="1715">
        <f t="shared" si="1"/>
        <v>244711</v>
      </c>
      <c r="G30" s="1715">
        <v>55197</v>
      </c>
      <c r="H30" s="1715">
        <v>1782379</v>
      </c>
      <c r="I30" s="1715">
        <v>658927</v>
      </c>
      <c r="J30" s="1715">
        <v>135</v>
      </c>
      <c r="K30" s="1715">
        <v>0</v>
      </c>
      <c r="L30" s="1715">
        <f t="shared" si="2"/>
        <v>2441441</v>
      </c>
      <c r="M30" s="1715">
        <v>9621</v>
      </c>
      <c r="N30" s="1715">
        <v>0</v>
      </c>
      <c r="O30" s="1715">
        <v>0</v>
      </c>
      <c r="P30" s="1715">
        <v>0</v>
      </c>
      <c r="Q30" s="1715">
        <v>0</v>
      </c>
      <c r="R30" s="1715">
        <v>354036</v>
      </c>
      <c r="S30" s="1715">
        <v>75822</v>
      </c>
    </row>
    <row r="31" spans="1:19" s="1410" customFormat="1" ht="12">
      <c r="A31" s="1330"/>
      <c r="B31" s="1414"/>
      <c r="C31" s="1414"/>
      <c r="D31" s="1414"/>
      <c r="E31" s="1414"/>
      <c r="F31" s="1414"/>
      <c r="G31" s="1414"/>
      <c r="H31" s="1414"/>
      <c r="I31" s="1414"/>
      <c r="J31" s="1414"/>
      <c r="K31" s="1414"/>
      <c r="L31" s="1414"/>
      <c r="M31" s="1414"/>
      <c r="N31" s="1414"/>
      <c r="O31" s="1414"/>
      <c r="P31" s="1414"/>
      <c r="Q31" s="1414"/>
      <c r="R31" s="1414"/>
      <c r="S31" s="1414"/>
    </row>
    <row r="32" spans="1:19">
      <c r="A32" s="1333" t="s">
        <v>22</v>
      </c>
      <c r="B32" s="1334" t="s">
        <v>2121</v>
      </c>
      <c r="C32" s="1334"/>
      <c r="I32" s="1348" t="s">
        <v>2255</v>
      </c>
    </row>
    <row r="34" spans="2:3">
      <c r="B34" s="1570"/>
      <c r="C34" s="1570"/>
    </row>
  </sheetData>
  <mergeCells count="15">
    <mergeCell ref="R1:S1"/>
    <mergeCell ref="R2:S2"/>
    <mergeCell ref="B3:B4"/>
    <mergeCell ref="C3:C4"/>
    <mergeCell ref="D3:F3"/>
    <mergeCell ref="P3:P4"/>
    <mergeCell ref="Q3:Q4"/>
    <mergeCell ref="R3:R4"/>
    <mergeCell ref="H3:L3"/>
    <mergeCell ref="G3:G4"/>
    <mergeCell ref="A3:A5"/>
    <mergeCell ref="M3:M4"/>
    <mergeCell ref="N3:N4"/>
    <mergeCell ref="O3:O4"/>
    <mergeCell ref="S3:S4"/>
  </mergeCells>
  <pageMargins left="0.45" right="0.45" top="0.75" bottom="0.75" header="0.3" footer="0.3"/>
  <pageSetup paperSize="448" firstPageNumber="104" orientation="portrait" useFirstPageNumber="1" r:id="rId1"/>
  <headerFooter>
    <oddFooter>&amp;C&amp;"Times New Roman,Regular"&amp;8&amp;P</oddFooter>
  </headerFooter>
</worksheet>
</file>

<file path=xl/worksheets/sheet38.xml><?xml version="1.0" encoding="utf-8"?>
<worksheet xmlns="http://schemas.openxmlformats.org/spreadsheetml/2006/main" xmlns:r="http://schemas.openxmlformats.org/officeDocument/2006/relationships">
  <sheetPr codeName="Sheet38"/>
  <dimension ref="A1:Q34"/>
  <sheetViews>
    <sheetView topLeftCell="A4" zoomScale="130" zoomScaleNormal="130" workbookViewId="0">
      <pane xSplit="1" ySplit="2" topLeftCell="B23" activePane="bottomRight" state="frozen"/>
      <selection activeCell="A4" sqref="A4"/>
      <selection pane="topRight" activeCell="B4" sqref="B4"/>
      <selection pane="bottomLeft" activeCell="A6" sqref="A6"/>
      <selection pane="bottomRight" activeCell="L34" sqref="L34"/>
    </sheetView>
  </sheetViews>
  <sheetFormatPr defaultColWidth="8.85546875" defaultRowHeight="15"/>
  <cols>
    <col min="1" max="1" width="8.7109375" style="1324" customWidth="1"/>
    <col min="2" max="2" width="9.28515625" style="1324" customWidth="1"/>
    <col min="3" max="3" width="8.85546875" style="1324"/>
    <col min="4" max="4" width="8.42578125" style="1324" customWidth="1"/>
    <col min="5" max="5" width="8.28515625" style="1324" customWidth="1"/>
    <col min="6" max="6" width="8.85546875" style="1324"/>
    <col min="7" max="7" width="8.7109375" style="1324" customWidth="1"/>
    <col min="8" max="8" width="8.5703125" style="1324" customWidth="1"/>
    <col min="9" max="9" width="8.85546875" style="1324"/>
    <col min="10" max="10" width="10" style="1324" customWidth="1"/>
    <col min="11" max="11" width="8" style="1324" customWidth="1"/>
    <col min="12" max="12" width="8.85546875" style="1324"/>
    <col min="13" max="13" width="6.28515625" style="1324" customWidth="1"/>
    <col min="14" max="14" width="8.28515625" style="1324" customWidth="1"/>
    <col min="15" max="15" width="7.7109375" style="1324" customWidth="1"/>
    <col min="16" max="16" width="8.85546875" style="1324"/>
    <col min="17" max="17" width="10.28515625" style="1324" customWidth="1"/>
    <col min="18" max="16384" width="8.85546875" style="1324"/>
  </cols>
  <sheetData>
    <row r="1" spans="1:17" s="1322" customFormat="1" ht="17.45" customHeight="1">
      <c r="A1" s="1321"/>
      <c r="D1" s="1335"/>
      <c r="E1" s="1335"/>
      <c r="G1" s="1339" t="s">
        <v>2497</v>
      </c>
      <c r="H1" s="1323"/>
      <c r="J1" s="1408" t="s">
        <v>2498</v>
      </c>
      <c r="K1" s="1408"/>
      <c r="L1" s="1408"/>
      <c r="M1" s="1323"/>
      <c r="P1" s="2246" t="s">
        <v>2408</v>
      </c>
      <c r="Q1" s="2246"/>
    </row>
    <row r="2" spans="1:17">
      <c r="P2" s="2258" t="s">
        <v>2399</v>
      </c>
      <c r="Q2" s="2258"/>
    </row>
    <row r="3" spans="1:17" ht="13.9" customHeight="1">
      <c r="A3" s="2244" t="s">
        <v>733</v>
      </c>
      <c r="B3" s="2248" t="s">
        <v>740</v>
      </c>
      <c r="C3" s="2257" t="s">
        <v>2409</v>
      </c>
      <c r="D3" s="2257"/>
      <c r="E3" s="2257"/>
      <c r="F3" s="2257" t="s">
        <v>2412</v>
      </c>
      <c r="G3" s="2257"/>
      <c r="H3" s="2257"/>
      <c r="I3" s="2257"/>
      <c r="J3" s="2257"/>
      <c r="K3" s="2248" t="s">
        <v>2516</v>
      </c>
      <c r="L3" s="2245" t="s">
        <v>2517</v>
      </c>
      <c r="M3" s="2255" t="s">
        <v>2403</v>
      </c>
      <c r="N3" s="2251" t="s">
        <v>2404</v>
      </c>
      <c r="O3" s="2245" t="s">
        <v>2429</v>
      </c>
      <c r="P3" s="2245" t="s">
        <v>2406</v>
      </c>
      <c r="Q3" s="2245" t="s">
        <v>2415</v>
      </c>
    </row>
    <row r="4" spans="1:17" ht="77.25" customHeight="1">
      <c r="A4" s="2244"/>
      <c r="B4" s="2249"/>
      <c r="C4" s="1345" t="s">
        <v>2410</v>
      </c>
      <c r="D4" s="1326" t="s">
        <v>2411</v>
      </c>
      <c r="E4" s="1326" t="s">
        <v>2423</v>
      </c>
      <c r="F4" s="1401" t="s">
        <v>2413</v>
      </c>
      <c r="G4" s="1409" t="s">
        <v>2514</v>
      </c>
      <c r="H4" s="1401" t="s">
        <v>2414</v>
      </c>
      <c r="I4" s="1409" t="s">
        <v>2515</v>
      </c>
      <c r="J4" s="1401" t="s">
        <v>2422</v>
      </c>
      <c r="K4" s="2249"/>
      <c r="L4" s="2245"/>
      <c r="M4" s="2256"/>
      <c r="N4" s="2251"/>
      <c r="O4" s="2245"/>
      <c r="P4" s="2245"/>
      <c r="Q4" s="2245"/>
    </row>
    <row r="5" spans="1:17" s="1327" customFormat="1" ht="22.9" customHeight="1">
      <c r="A5" s="2244"/>
      <c r="B5" s="1344">
        <v>1</v>
      </c>
      <c r="C5" s="1337">
        <v>2</v>
      </c>
      <c r="D5" s="1337">
        <v>3</v>
      </c>
      <c r="E5" s="1337">
        <v>4</v>
      </c>
      <c r="F5" s="1337">
        <v>5</v>
      </c>
      <c r="G5" s="1337">
        <v>6</v>
      </c>
      <c r="H5" s="1337">
        <v>7</v>
      </c>
      <c r="I5" s="1337">
        <v>8</v>
      </c>
      <c r="J5" s="1337">
        <v>9</v>
      </c>
      <c r="K5" s="1337">
        <v>10</v>
      </c>
      <c r="L5" s="1337">
        <v>11</v>
      </c>
      <c r="M5" s="1337">
        <v>12</v>
      </c>
      <c r="N5" s="1337">
        <v>13</v>
      </c>
      <c r="O5" s="1337">
        <v>14</v>
      </c>
      <c r="P5" s="1337">
        <v>15</v>
      </c>
      <c r="Q5" s="1337">
        <v>16</v>
      </c>
    </row>
    <row r="6" spans="1:17" s="1360" customFormat="1">
      <c r="A6" s="1422" t="s">
        <v>2268</v>
      </c>
      <c r="B6" s="1423">
        <f>B18</f>
        <v>2198393</v>
      </c>
      <c r="C6" s="1423">
        <f t="shared" ref="C6:Q6" si="0">C18</f>
        <v>3173751</v>
      </c>
      <c r="D6" s="1423">
        <f t="shared" si="0"/>
        <v>10384053</v>
      </c>
      <c r="E6" s="1423">
        <f t="shared" si="0"/>
        <v>13557804</v>
      </c>
      <c r="F6" s="1423">
        <f t="shared" si="0"/>
        <v>1393830</v>
      </c>
      <c r="G6" s="1423">
        <f t="shared" si="0"/>
        <v>1135894</v>
      </c>
      <c r="H6" s="1423">
        <f t="shared" si="0"/>
        <v>8942922</v>
      </c>
      <c r="I6" s="1423">
        <f t="shared" si="0"/>
        <v>2263285</v>
      </c>
      <c r="J6" s="1423">
        <f t="shared" si="0"/>
        <v>13735931</v>
      </c>
      <c r="K6" s="1423">
        <f t="shared" si="0"/>
        <v>4668</v>
      </c>
      <c r="L6" s="1423">
        <f t="shared" si="0"/>
        <v>17080</v>
      </c>
      <c r="M6" s="1423">
        <f t="shared" si="0"/>
        <v>1622</v>
      </c>
      <c r="N6" s="1423">
        <f t="shared" si="0"/>
        <v>0</v>
      </c>
      <c r="O6" s="1423">
        <f t="shared" si="0"/>
        <v>0</v>
      </c>
      <c r="P6" s="1423">
        <f t="shared" si="0"/>
        <v>1490636</v>
      </c>
      <c r="Q6" s="1423">
        <f t="shared" si="0"/>
        <v>506260</v>
      </c>
    </row>
    <row r="7" spans="1:17">
      <c r="A7" s="1328" t="s">
        <v>818</v>
      </c>
      <c r="B7" s="1329">
        <v>2311568</v>
      </c>
      <c r="C7" s="1329">
        <v>2778726</v>
      </c>
      <c r="D7" s="1329">
        <v>8943837</v>
      </c>
      <c r="E7" s="1329">
        <f>C7+D7</f>
        <v>11722563</v>
      </c>
      <c r="F7" s="1329">
        <v>1247121</v>
      </c>
      <c r="G7" s="1329">
        <v>999629</v>
      </c>
      <c r="H7" s="1329">
        <v>8212851</v>
      </c>
      <c r="I7" s="1329">
        <v>1865916</v>
      </c>
      <c r="J7" s="1329">
        <f>F7+G7+H7+I7</f>
        <v>12325517</v>
      </c>
      <c r="K7" s="1329">
        <v>9285</v>
      </c>
      <c r="L7" s="1329">
        <v>19745</v>
      </c>
      <c r="M7" s="1329">
        <v>4802</v>
      </c>
      <c r="N7" s="1329">
        <v>0</v>
      </c>
      <c r="O7" s="1329">
        <v>0</v>
      </c>
      <c r="P7" s="1329">
        <v>1374975</v>
      </c>
      <c r="Q7" s="1329">
        <v>299807</v>
      </c>
    </row>
    <row r="8" spans="1:17" s="1332" customFormat="1">
      <c r="A8" s="1330" t="s">
        <v>819</v>
      </c>
      <c r="B8" s="1331">
        <v>2317212</v>
      </c>
      <c r="C8" s="1331">
        <v>2884509</v>
      </c>
      <c r="D8" s="1331">
        <v>9078326</v>
      </c>
      <c r="E8" s="1331">
        <f t="shared" ref="E8:E29" si="1">C8+D8</f>
        <v>11962835</v>
      </c>
      <c r="F8" s="1331">
        <v>1462749</v>
      </c>
      <c r="G8" s="1331">
        <v>955154</v>
      </c>
      <c r="H8" s="1331">
        <v>8245481</v>
      </c>
      <c r="I8" s="1331">
        <v>1903654</v>
      </c>
      <c r="J8" s="1331">
        <f t="shared" ref="J8:J29" si="2">F8+G8+H8+I8</f>
        <v>12567038</v>
      </c>
      <c r="K8" s="1331">
        <v>10180</v>
      </c>
      <c r="L8" s="1331">
        <v>20145</v>
      </c>
      <c r="M8" s="1331">
        <v>4836</v>
      </c>
      <c r="N8" s="1331">
        <v>0</v>
      </c>
      <c r="O8" s="1331">
        <v>0</v>
      </c>
      <c r="P8" s="1331">
        <v>1381320</v>
      </c>
      <c r="Q8" s="1331">
        <v>296528</v>
      </c>
    </row>
    <row r="9" spans="1:17">
      <c r="A9" s="1328" t="s">
        <v>813</v>
      </c>
      <c r="B9" s="1329">
        <v>2278149</v>
      </c>
      <c r="C9" s="1329">
        <v>2855089</v>
      </c>
      <c r="D9" s="1329">
        <v>9181871</v>
      </c>
      <c r="E9" s="1329">
        <f t="shared" si="1"/>
        <v>12036960</v>
      </c>
      <c r="F9" s="1329">
        <v>1312735</v>
      </c>
      <c r="G9" s="1329">
        <v>984463</v>
      </c>
      <c r="H9" s="1329">
        <v>8337010</v>
      </c>
      <c r="I9" s="1329">
        <v>1938554</v>
      </c>
      <c r="J9" s="1329">
        <f t="shared" si="2"/>
        <v>12572762</v>
      </c>
      <c r="K9" s="1329">
        <v>11160</v>
      </c>
      <c r="L9" s="1329">
        <v>17931</v>
      </c>
      <c r="M9" s="1329">
        <v>4147</v>
      </c>
      <c r="N9" s="1329">
        <v>0</v>
      </c>
      <c r="O9" s="1329">
        <v>0</v>
      </c>
      <c r="P9" s="1329">
        <v>1426822</v>
      </c>
      <c r="Q9" s="1329">
        <v>282287</v>
      </c>
    </row>
    <row r="10" spans="1:17" s="1332" customFormat="1">
      <c r="A10" s="1330" t="s">
        <v>820</v>
      </c>
      <c r="B10" s="1331">
        <v>2256442</v>
      </c>
      <c r="C10" s="1331">
        <v>2879294</v>
      </c>
      <c r="D10" s="1331">
        <v>9314419</v>
      </c>
      <c r="E10" s="1331">
        <f t="shared" si="1"/>
        <v>12193713</v>
      </c>
      <c r="F10" s="1331">
        <v>1252172</v>
      </c>
      <c r="G10" s="1331">
        <v>998240</v>
      </c>
      <c r="H10" s="1331">
        <v>8424669</v>
      </c>
      <c r="I10" s="1331">
        <v>1983427</v>
      </c>
      <c r="J10" s="1331">
        <f t="shared" si="2"/>
        <v>12658508</v>
      </c>
      <c r="K10" s="1331">
        <v>10994</v>
      </c>
      <c r="L10" s="1331">
        <v>18229</v>
      </c>
      <c r="M10" s="1331">
        <v>3811</v>
      </c>
      <c r="N10" s="1331">
        <v>0</v>
      </c>
      <c r="O10" s="1331">
        <v>0</v>
      </c>
      <c r="P10" s="1331">
        <v>1444339</v>
      </c>
      <c r="Q10" s="1331">
        <v>314274</v>
      </c>
    </row>
    <row r="11" spans="1:17" s="1332" customFormat="1">
      <c r="A11" s="1328" t="s">
        <v>821</v>
      </c>
      <c r="B11" s="1329">
        <v>2239213</v>
      </c>
      <c r="C11" s="1329">
        <v>2921573</v>
      </c>
      <c r="D11" s="1329">
        <v>9481552</v>
      </c>
      <c r="E11" s="1329">
        <f t="shared" si="1"/>
        <v>12403125</v>
      </c>
      <c r="F11" s="1329">
        <v>1253388</v>
      </c>
      <c r="G11" s="1329">
        <v>1002058</v>
      </c>
      <c r="H11" s="1329">
        <v>8494533</v>
      </c>
      <c r="I11" s="1329">
        <v>2020215</v>
      </c>
      <c r="J11" s="1329">
        <f t="shared" si="2"/>
        <v>12770194</v>
      </c>
      <c r="K11" s="1329">
        <v>8830</v>
      </c>
      <c r="L11" s="1329">
        <v>18601</v>
      </c>
      <c r="M11" s="1329">
        <v>4567</v>
      </c>
      <c r="N11" s="1329">
        <v>0</v>
      </c>
      <c r="O11" s="1329">
        <v>0</v>
      </c>
      <c r="P11" s="1329">
        <v>1510500</v>
      </c>
      <c r="Q11" s="1329">
        <v>329646</v>
      </c>
    </row>
    <row r="12" spans="1:17" s="1332" customFormat="1">
      <c r="A12" s="1330" t="s">
        <v>814</v>
      </c>
      <c r="B12" s="1331">
        <v>2253419</v>
      </c>
      <c r="C12" s="1331">
        <v>2890628</v>
      </c>
      <c r="D12" s="1331">
        <v>9689251</v>
      </c>
      <c r="E12" s="1331">
        <f t="shared" si="1"/>
        <v>12579879</v>
      </c>
      <c r="F12" s="1331">
        <v>1276080</v>
      </c>
      <c r="G12" s="1331">
        <v>1043619</v>
      </c>
      <c r="H12" s="1331">
        <v>8597602</v>
      </c>
      <c r="I12" s="1331">
        <v>2045703</v>
      </c>
      <c r="J12" s="1331">
        <f t="shared" si="2"/>
        <v>12963004</v>
      </c>
      <c r="K12" s="1331">
        <v>9109</v>
      </c>
      <c r="L12" s="1331">
        <v>18269</v>
      </c>
      <c r="M12" s="1331">
        <v>4969</v>
      </c>
      <c r="N12" s="1331">
        <v>0</v>
      </c>
      <c r="O12" s="1331">
        <v>0</v>
      </c>
      <c r="P12" s="1331">
        <v>1555791</v>
      </c>
      <c r="Q12" s="1331">
        <v>282156</v>
      </c>
    </row>
    <row r="13" spans="1:17">
      <c r="A13" s="1328" t="s">
        <v>822</v>
      </c>
      <c r="B13" s="1329">
        <v>2214052</v>
      </c>
      <c r="C13" s="1329">
        <v>2882997</v>
      </c>
      <c r="D13" s="1329">
        <v>9764938</v>
      </c>
      <c r="E13" s="1329">
        <f t="shared" si="1"/>
        <v>12647935</v>
      </c>
      <c r="F13" s="1329">
        <v>1267080</v>
      </c>
      <c r="G13" s="1329">
        <v>980150</v>
      </c>
      <c r="H13" s="1329">
        <v>8588428</v>
      </c>
      <c r="I13" s="1329">
        <v>2093598</v>
      </c>
      <c r="J13" s="1329">
        <f t="shared" si="2"/>
        <v>12929256</v>
      </c>
      <c r="K13" s="1329">
        <v>9488</v>
      </c>
      <c r="L13" s="1329">
        <v>16974</v>
      </c>
      <c r="M13" s="1329">
        <v>5286</v>
      </c>
      <c r="N13" s="1329">
        <v>0</v>
      </c>
      <c r="O13" s="1329">
        <v>0</v>
      </c>
      <c r="P13" s="1329">
        <v>1443860</v>
      </c>
      <c r="Q13" s="1329">
        <v>457123</v>
      </c>
    </row>
    <row r="14" spans="1:17">
      <c r="A14" s="1330" t="s">
        <v>823</v>
      </c>
      <c r="B14" s="1331">
        <v>2197552</v>
      </c>
      <c r="C14" s="1331">
        <v>2861309</v>
      </c>
      <c r="D14" s="1331">
        <v>9891771</v>
      </c>
      <c r="E14" s="1331">
        <f t="shared" si="1"/>
        <v>12753080</v>
      </c>
      <c r="F14" s="1331">
        <v>1267621</v>
      </c>
      <c r="G14" s="1331">
        <v>979380</v>
      </c>
      <c r="H14" s="1331">
        <v>8618372</v>
      </c>
      <c r="I14" s="1331">
        <v>2133363</v>
      </c>
      <c r="J14" s="1331">
        <f t="shared" si="2"/>
        <v>12998736</v>
      </c>
      <c r="K14" s="1331">
        <v>10653</v>
      </c>
      <c r="L14" s="1331">
        <v>19668</v>
      </c>
      <c r="M14" s="1331">
        <v>7934</v>
      </c>
      <c r="N14" s="1331">
        <v>0</v>
      </c>
      <c r="O14" s="1331">
        <v>0</v>
      </c>
      <c r="P14" s="1331">
        <v>1449544</v>
      </c>
      <c r="Q14" s="1331">
        <v>464097</v>
      </c>
    </row>
    <row r="15" spans="1:17">
      <c r="A15" s="1328" t="s">
        <v>815</v>
      </c>
      <c r="B15" s="1329">
        <v>2202492</v>
      </c>
      <c r="C15" s="1329">
        <v>2887262</v>
      </c>
      <c r="D15" s="1329">
        <v>9989702</v>
      </c>
      <c r="E15" s="1329">
        <f t="shared" si="1"/>
        <v>12876964</v>
      </c>
      <c r="F15" s="1329">
        <v>1265988</v>
      </c>
      <c r="G15" s="1329">
        <v>970707</v>
      </c>
      <c r="H15" s="1329">
        <v>8676906</v>
      </c>
      <c r="I15" s="1329">
        <v>2168746</v>
      </c>
      <c r="J15" s="1329">
        <f t="shared" si="2"/>
        <v>13082347</v>
      </c>
      <c r="K15" s="1329">
        <v>5994</v>
      </c>
      <c r="L15" s="1329">
        <v>19839</v>
      </c>
      <c r="M15" s="1329">
        <v>4896</v>
      </c>
      <c r="N15" s="1329">
        <v>0</v>
      </c>
      <c r="O15" s="1329">
        <v>0</v>
      </c>
      <c r="P15" s="1329">
        <v>1469779</v>
      </c>
      <c r="Q15" s="1329">
        <v>496601</v>
      </c>
    </row>
    <row r="16" spans="1:17" s="1332" customFormat="1">
      <c r="A16" s="1330" t="s">
        <v>824</v>
      </c>
      <c r="B16" s="1331">
        <v>2156282</v>
      </c>
      <c r="C16" s="1331">
        <v>2891119</v>
      </c>
      <c r="D16" s="1331">
        <v>10099375</v>
      </c>
      <c r="E16" s="1331">
        <f t="shared" si="1"/>
        <v>12990494</v>
      </c>
      <c r="F16" s="1331">
        <v>1268102</v>
      </c>
      <c r="G16" s="1331">
        <v>984899</v>
      </c>
      <c r="H16" s="1331">
        <v>8714195</v>
      </c>
      <c r="I16" s="1331">
        <v>2200865</v>
      </c>
      <c r="J16" s="1331">
        <f t="shared" si="2"/>
        <v>13168061</v>
      </c>
      <c r="K16" s="1331">
        <v>6534</v>
      </c>
      <c r="L16" s="1331">
        <v>19412</v>
      </c>
      <c r="M16" s="1331">
        <v>1482</v>
      </c>
      <c r="N16" s="1331">
        <v>0</v>
      </c>
      <c r="O16" s="1331">
        <v>0</v>
      </c>
      <c r="P16" s="1331">
        <v>1484725</v>
      </c>
      <c r="Q16" s="1331">
        <v>466562</v>
      </c>
    </row>
    <row r="17" spans="1:17" s="1332" customFormat="1">
      <c r="A17" s="1328" t="s">
        <v>825</v>
      </c>
      <c r="B17" s="1329">
        <v>2161373</v>
      </c>
      <c r="C17" s="1329">
        <v>2962285</v>
      </c>
      <c r="D17" s="1329">
        <v>10234635</v>
      </c>
      <c r="E17" s="1329">
        <f t="shared" si="1"/>
        <v>13196920</v>
      </c>
      <c r="F17" s="1329">
        <v>1319098</v>
      </c>
      <c r="G17" s="1329">
        <v>1002552</v>
      </c>
      <c r="H17" s="1329">
        <v>8840055</v>
      </c>
      <c r="I17" s="1329">
        <v>2232495</v>
      </c>
      <c r="J17" s="1329">
        <f t="shared" si="2"/>
        <v>13394200</v>
      </c>
      <c r="K17" s="1329">
        <v>5318</v>
      </c>
      <c r="L17" s="1329">
        <v>16916</v>
      </c>
      <c r="M17" s="1329">
        <v>2452</v>
      </c>
      <c r="N17" s="1329">
        <v>0</v>
      </c>
      <c r="O17" s="1329">
        <v>0</v>
      </c>
      <c r="P17" s="1329">
        <v>1503149</v>
      </c>
      <c r="Q17" s="1329">
        <v>436258</v>
      </c>
    </row>
    <row r="18" spans="1:17" s="1332" customFormat="1">
      <c r="A18" s="1330" t="s">
        <v>816</v>
      </c>
      <c r="B18" s="1331">
        <v>2198393</v>
      </c>
      <c r="C18" s="1331">
        <v>3173751</v>
      </c>
      <c r="D18" s="1331">
        <v>10384053</v>
      </c>
      <c r="E18" s="1331">
        <f t="shared" si="1"/>
        <v>13557804</v>
      </c>
      <c r="F18" s="1331">
        <v>1393830</v>
      </c>
      <c r="G18" s="1331">
        <v>1135894</v>
      </c>
      <c r="H18" s="1331">
        <v>8942922</v>
      </c>
      <c r="I18" s="1331">
        <v>2263285</v>
      </c>
      <c r="J18" s="1331">
        <f t="shared" si="2"/>
        <v>13735931</v>
      </c>
      <c r="K18" s="1331">
        <v>4668</v>
      </c>
      <c r="L18" s="1331">
        <v>17080</v>
      </c>
      <c r="M18" s="1331">
        <v>1622</v>
      </c>
      <c r="N18" s="1331">
        <v>0</v>
      </c>
      <c r="O18" s="1331">
        <v>0</v>
      </c>
      <c r="P18" s="1331">
        <v>1490636</v>
      </c>
      <c r="Q18" s="1331">
        <v>506260</v>
      </c>
    </row>
    <row r="19" spans="1:17" s="1332" customFormat="1">
      <c r="A19" s="1415" t="s">
        <v>2525</v>
      </c>
      <c r="B19" s="1329"/>
      <c r="C19" s="1329"/>
      <c r="D19" s="1329"/>
      <c r="E19" s="1329"/>
      <c r="F19" s="1329"/>
      <c r="G19" s="1329"/>
      <c r="H19" s="1329"/>
      <c r="I19" s="1329"/>
      <c r="J19" s="1329"/>
      <c r="K19" s="1329"/>
      <c r="L19" s="1329"/>
      <c r="M19" s="1329"/>
      <c r="N19" s="1329"/>
      <c r="O19" s="1329"/>
      <c r="P19" s="1329"/>
      <c r="Q19" s="1329"/>
    </row>
    <row r="20" spans="1:17" s="1332" customFormat="1">
      <c r="A20" s="1330" t="s">
        <v>818</v>
      </c>
      <c r="B20" s="1331">
        <v>2183749</v>
      </c>
      <c r="C20" s="1331">
        <v>3246226</v>
      </c>
      <c r="D20" s="1331">
        <v>10323050</v>
      </c>
      <c r="E20" s="1331">
        <f t="shared" si="1"/>
        <v>13569276</v>
      </c>
      <c r="F20" s="1331">
        <v>1361691</v>
      </c>
      <c r="G20" s="1331">
        <v>1076629</v>
      </c>
      <c r="H20" s="1331">
        <v>8997518</v>
      </c>
      <c r="I20" s="1331">
        <v>2311773</v>
      </c>
      <c r="J20" s="1331">
        <f t="shared" si="2"/>
        <v>13747611</v>
      </c>
      <c r="K20" s="1331">
        <v>4933</v>
      </c>
      <c r="L20" s="1331">
        <v>16848</v>
      </c>
      <c r="M20" s="1331">
        <v>1620</v>
      </c>
      <c r="N20" s="1331">
        <v>0</v>
      </c>
      <c r="O20" s="1331">
        <v>0</v>
      </c>
      <c r="P20" s="1331">
        <v>1522055</v>
      </c>
      <c r="Q20" s="1331">
        <v>459958</v>
      </c>
    </row>
    <row r="21" spans="1:17" s="1332" customFormat="1" ht="12.75" customHeight="1">
      <c r="A21" s="1328" t="s">
        <v>819</v>
      </c>
      <c r="B21" s="1329">
        <v>2227007</v>
      </c>
      <c r="C21" s="1329">
        <v>3329853</v>
      </c>
      <c r="D21" s="1329">
        <v>10416887</v>
      </c>
      <c r="E21" s="1329">
        <f t="shared" si="1"/>
        <v>13746740</v>
      </c>
      <c r="F21" s="1329">
        <v>1518517</v>
      </c>
      <c r="G21" s="1329">
        <v>1036595</v>
      </c>
      <c r="H21" s="1329">
        <v>9062669</v>
      </c>
      <c r="I21" s="1329">
        <v>2351098</v>
      </c>
      <c r="J21" s="1329">
        <f t="shared" si="2"/>
        <v>13968879</v>
      </c>
      <c r="K21" s="1329">
        <v>5293</v>
      </c>
      <c r="L21" s="1329">
        <v>18017</v>
      </c>
      <c r="M21" s="1329">
        <v>1342</v>
      </c>
      <c r="N21" s="1329">
        <v>0</v>
      </c>
      <c r="O21" s="1329">
        <v>0</v>
      </c>
      <c r="P21" s="1329">
        <v>1549845</v>
      </c>
      <c r="Q21" s="1329">
        <v>430371</v>
      </c>
    </row>
    <row r="22" spans="1:17" s="1332" customFormat="1" ht="12.75" customHeight="1">
      <c r="A22" s="1330" t="s">
        <v>813</v>
      </c>
      <c r="B22" s="1331">
        <v>2206712</v>
      </c>
      <c r="C22" s="1331">
        <v>3314238</v>
      </c>
      <c r="D22" s="1331">
        <v>10505532</v>
      </c>
      <c r="E22" s="1331">
        <f t="shared" si="1"/>
        <v>13819770</v>
      </c>
      <c r="F22" s="1331">
        <v>1394865</v>
      </c>
      <c r="G22" s="1331">
        <v>1039992</v>
      </c>
      <c r="H22" s="1331">
        <v>9141082</v>
      </c>
      <c r="I22" s="1331">
        <v>2393694</v>
      </c>
      <c r="J22" s="1331">
        <f t="shared" si="2"/>
        <v>13969633</v>
      </c>
      <c r="K22" s="1331">
        <v>7293</v>
      </c>
      <c r="L22" s="1331">
        <v>17926</v>
      </c>
      <c r="M22" s="1331">
        <v>1420</v>
      </c>
      <c r="N22" s="1331">
        <v>0</v>
      </c>
      <c r="O22" s="1331">
        <v>0</v>
      </c>
      <c r="P22" s="1331">
        <v>1535919</v>
      </c>
      <c r="Q22" s="1331">
        <v>494291</v>
      </c>
    </row>
    <row r="23" spans="1:17" s="1332" customFormat="1" ht="12.75" customHeight="1">
      <c r="A23" s="1328" t="s">
        <v>820</v>
      </c>
      <c r="B23" s="1329">
        <v>2134210</v>
      </c>
      <c r="C23" s="1329">
        <v>3359739</v>
      </c>
      <c r="D23" s="1329">
        <v>10655080</v>
      </c>
      <c r="E23" s="1329">
        <f t="shared" si="1"/>
        <v>14014819</v>
      </c>
      <c r="F23" s="1329">
        <v>1375482</v>
      </c>
      <c r="G23" s="1329">
        <v>1055825</v>
      </c>
      <c r="H23" s="1329">
        <v>9210843</v>
      </c>
      <c r="I23" s="1329">
        <v>2436837</v>
      </c>
      <c r="J23" s="1329">
        <f t="shared" si="2"/>
        <v>14078987</v>
      </c>
      <c r="K23" s="1329">
        <v>8778</v>
      </c>
      <c r="L23" s="1329">
        <v>17501</v>
      </c>
      <c r="M23" s="1329">
        <v>1434</v>
      </c>
      <c r="N23" s="1329">
        <v>0</v>
      </c>
      <c r="O23" s="1329">
        <v>0</v>
      </c>
      <c r="P23" s="1329">
        <v>1557906</v>
      </c>
      <c r="Q23" s="1329">
        <v>484423</v>
      </c>
    </row>
    <row r="24" spans="1:17" s="1332" customFormat="1" ht="12.75" customHeight="1">
      <c r="A24" s="1330" t="s">
        <v>821</v>
      </c>
      <c r="B24" s="1331">
        <v>2110407</v>
      </c>
      <c r="C24" s="1331">
        <v>3416463</v>
      </c>
      <c r="D24" s="1331">
        <v>10775986</v>
      </c>
      <c r="E24" s="1331">
        <f t="shared" si="1"/>
        <v>14192449</v>
      </c>
      <c r="F24" s="1331">
        <v>1375822</v>
      </c>
      <c r="G24" s="1331">
        <v>1052515</v>
      </c>
      <c r="H24" s="1331">
        <v>9275843</v>
      </c>
      <c r="I24" s="1331">
        <v>2473984</v>
      </c>
      <c r="J24" s="1331">
        <f t="shared" si="2"/>
        <v>14178164</v>
      </c>
      <c r="K24" s="1331">
        <v>7177</v>
      </c>
      <c r="L24" s="1331">
        <v>17894</v>
      </c>
      <c r="M24" s="1331">
        <v>1378</v>
      </c>
      <c r="N24" s="1331">
        <v>0</v>
      </c>
      <c r="O24" s="1331">
        <v>0</v>
      </c>
      <c r="P24" s="1331">
        <v>1591493</v>
      </c>
      <c r="Q24" s="1331">
        <v>506750</v>
      </c>
    </row>
    <row r="25" spans="1:17" s="1332" customFormat="1" ht="12.75" customHeight="1">
      <c r="A25" s="1328" t="s">
        <v>814</v>
      </c>
      <c r="B25" s="1648">
        <v>2179902</v>
      </c>
      <c r="C25" s="1329">
        <v>3457006</v>
      </c>
      <c r="D25" s="1329">
        <v>10959902</v>
      </c>
      <c r="E25" s="1329">
        <f t="shared" si="1"/>
        <v>14416908</v>
      </c>
      <c r="F25" s="1329">
        <v>1431478</v>
      </c>
      <c r="G25" s="1329">
        <v>1110055</v>
      </c>
      <c r="H25" s="1329">
        <v>9407231</v>
      </c>
      <c r="I25" s="1329">
        <v>2507628</v>
      </c>
      <c r="J25" s="1329">
        <f t="shared" si="2"/>
        <v>14456392</v>
      </c>
      <c r="K25" s="1329">
        <v>12230</v>
      </c>
      <c r="L25" s="1329">
        <v>19262</v>
      </c>
      <c r="M25" s="1329">
        <v>1408</v>
      </c>
      <c r="N25" s="1329">
        <v>0</v>
      </c>
      <c r="O25" s="1329">
        <v>0</v>
      </c>
      <c r="P25" s="1329">
        <v>1640728</v>
      </c>
      <c r="Q25" s="1329">
        <v>466790</v>
      </c>
    </row>
    <row r="26" spans="1:17" s="1332" customFormat="1" ht="12.75" customHeight="1">
      <c r="A26" s="1330" t="s">
        <v>822</v>
      </c>
      <c r="B26" s="1653">
        <v>2089244</v>
      </c>
      <c r="C26" s="1331">
        <v>3524537</v>
      </c>
      <c r="D26" s="1331">
        <v>11041739</v>
      </c>
      <c r="E26" s="1331">
        <f t="shared" si="1"/>
        <v>14566276</v>
      </c>
      <c r="F26" s="1331">
        <v>1431482</v>
      </c>
      <c r="G26" s="1331">
        <v>1069698</v>
      </c>
      <c r="H26" s="1331">
        <v>9443636</v>
      </c>
      <c r="I26" s="1331">
        <v>2566565</v>
      </c>
      <c r="J26" s="1331">
        <f t="shared" si="2"/>
        <v>14511381</v>
      </c>
      <c r="K26" s="1331">
        <v>10656</v>
      </c>
      <c r="L26" s="1331">
        <v>19175</v>
      </c>
      <c r="M26" s="1331">
        <v>1622</v>
      </c>
      <c r="N26" s="1331">
        <v>0</v>
      </c>
      <c r="O26" s="1331">
        <v>0</v>
      </c>
      <c r="P26" s="1331">
        <v>1452536</v>
      </c>
      <c r="Q26" s="1331">
        <v>660150</v>
      </c>
    </row>
    <row r="27" spans="1:17" s="1332" customFormat="1" ht="12.75" customHeight="1">
      <c r="A27" s="1328" t="s">
        <v>823</v>
      </c>
      <c r="B27" s="1648">
        <v>2144728</v>
      </c>
      <c r="C27" s="1329">
        <v>3514948</v>
      </c>
      <c r="D27" s="1329">
        <v>11122658</v>
      </c>
      <c r="E27" s="1329">
        <f t="shared" si="1"/>
        <v>14637606</v>
      </c>
      <c r="F27" s="1329">
        <v>1444290</v>
      </c>
      <c r="G27" s="1329">
        <v>1064771</v>
      </c>
      <c r="H27" s="1329">
        <v>9507149</v>
      </c>
      <c r="I27" s="1329">
        <v>2611699</v>
      </c>
      <c r="J27" s="1329">
        <f t="shared" si="2"/>
        <v>14627909</v>
      </c>
      <c r="K27" s="1329">
        <v>10288</v>
      </c>
      <c r="L27" s="1329">
        <v>19162</v>
      </c>
      <c r="M27" s="1329">
        <v>1298</v>
      </c>
      <c r="N27" s="1329">
        <v>0</v>
      </c>
      <c r="O27" s="1329">
        <v>0</v>
      </c>
      <c r="P27" s="1329">
        <v>1476239</v>
      </c>
      <c r="Q27" s="1329">
        <v>647438</v>
      </c>
    </row>
    <row r="28" spans="1:17" s="1332" customFormat="1" ht="12.75" customHeight="1">
      <c r="A28" s="1330" t="s">
        <v>815</v>
      </c>
      <c r="B28" s="1653">
        <v>2187129</v>
      </c>
      <c r="C28" s="1331">
        <v>3552363</v>
      </c>
      <c r="D28" s="1331">
        <v>11216529</v>
      </c>
      <c r="E28" s="1331">
        <f t="shared" si="1"/>
        <v>14768892</v>
      </c>
      <c r="F28" s="1331">
        <v>1431119</v>
      </c>
      <c r="G28" s="1331">
        <v>1070671</v>
      </c>
      <c r="H28" s="1331">
        <v>9597024</v>
      </c>
      <c r="I28" s="1331">
        <v>2651671</v>
      </c>
      <c r="J28" s="1331">
        <f t="shared" si="2"/>
        <v>14750485</v>
      </c>
      <c r="K28" s="1331">
        <v>10278</v>
      </c>
      <c r="L28" s="1331">
        <v>19498</v>
      </c>
      <c r="M28" s="1331">
        <v>1269</v>
      </c>
      <c r="N28" s="1331">
        <v>0</v>
      </c>
      <c r="O28" s="1331">
        <v>0</v>
      </c>
      <c r="P28" s="1331">
        <v>1481667</v>
      </c>
      <c r="Q28" s="1331">
        <v>692824</v>
      </c>
    </row>
    <row r="29" spans="1:17" s="1332" customFormat="1" ht="12.75" customHeight="1" thickBot="1">
      <c r="A29" s="1568" t="s">
        <v>824</v>
      </c>
      <c r="B29" s="1713">
        <v>2130363</v>
      </c>
      <c r="C29" s="1569">
        <v>3557962</v>
      </c>
      <c r="D29" s="1569">
        <v>11308943</v>
      </c>
      <c r="E29" s="1569">
        <f t="shared" si="1"/>
        <v>14866905</v>
      </c>
      <c r="F29" s="1569">
        <v>1432259</v>
      </c>
      <c r="G29" s="1569">
        <v>1085797</v>
      </c>
      <c r="H29" s="1569">
        <v>9606751</v>
      </c>
      <c r="I29" s="1569">
        <v>2651671</v>
      </c>
      <c r="J29" s="1569">
        <f t="shared" si="2"/>
        <v>14776478</v>
      </c>
      <c r="K29" s="1569">
        <v>12567</v>
      </c>
      <c r="L29" s="1569">
        <v>19513</v>
      </c>
      <c r="M29" s="1569">
        <v>1251</v>
      </c>
      <c r="N29" s="1569">
        <v>0</v>
      </c>
      <c r="O29" s="1569">
        <v>0</v>
      </c>
      <c r="P29" s="1569">
        <v>1543770</v>
      </c>
      <c r="Q29" s="1569">
        <v>643689</v>
      </c>
    </row>
    <row r="30" spans="1:17" ht="12.75" customHeight="1">
      <c r="A30" s="1330"/>
      <c r="B30" s="1360"/>
      <c r="C30" s="1360"/>
      <c r="D30" s="1360"/>
      <c r="E30" s="1360"/>
      <c r="F30" s="1360"/>
      <c r="G30" s="1360"/>
      <c r="H30" s="1360"/>
      <c r="I30" s="1360"/>
      <c r="J30" s="1360"/>
      <c r="K30" s="1360"/>
      <c r="L30" s="1360"/>
      <c r="M30" s="1360"/>
      <c r="N30" s="1360"/>
      <c r="O30" s="1360"/>
      <c r="P30" s="1360"/>
      <c r="Q30" s="1360"/>
    </row>
    <row r="31" spans="1:17" ht="11.25" customHeight="1">
      <c r="A31" s="1333" t="s">
        <v>2327</v>
      </c>
      <c r="B31" s="1334" t="s">
        <v>2121</v>
      </c>
      <c r="G31" s="1348" t="s">
        <v>2255</v>
      </c>
    </row>
    <row r="32" spans="1:17">
      <c r="E32" s="1348"/>
      <c r="G32" s="1349"/>
      <c r="H32" s="1349"/>
      <c r="I32" s="1349"/>
      <c r="J32" s="1349"/>
    </row>
    <row r="33" spans="10:10">
      <c r="J33" s="1349"/>
    </row>
    <row r="34" spans="10:10">
      <c r="J34" s="1349"/>
    </row>
  </sheetData>
  <mergeCells count="13">
    <mergeCell ref="O3:O4"/>
    <mergeCell ref="P3:P4"/>
    <mergeCell ref="Q3:Q4"/>
    <mergeCell ref="P1:Q1"/>
    <mergeCell ref="P2:Q2"/>
    <mergeCell ref="M3:M4"/>
    <mergeCell ref="N3:N4"/>
    <mergeCell ref="A3:A5"/>
    <mergeCell ref="B3:B4"/>
    <mergeCell ref="C3:E3"/>
    <mergeCell ref="F3:J3"/>
    <mergeCell ref="K3:K4"/>
    <mergeCell ref="L3:L4"/>
  </mergeCells>
  <pageMargins left="0.75" right="0.45" top="0.75" bottom="0.75" header="0.3" footer="0.3"/>
  <pageSetup paperSize="448" firstPageNumber="106" orientation="portrait" useFirstPageNumber="1" r:id="rId1"/>
  <headerFooter>
    <oddFooter>&amp;C&amp;"Times New Roman,Regular"&amp;8&amp;P</oddFooter>
  </headerFooter>
</worksheet>
</file>

<file path=xl/worksheets/sheet39.xml><?xml version="1.0" encoding="utf-8"?>
<worksheet xmlns="http://schemas.openxmlformats.org/spreadsheetml/2006/main" xmlns:r="http://schemas.openxmlformats.org/officeDocument/2006/relationships">
  <dimension ref="A1:U51"/>
  <sheetViews>
    <sheetView topLeftCell="A34" zoomScale="140" zoomScaleNormal="140" workbookViewId="0">
      <selection activeCell="H59" sqref="H59"/>
    </sheetView>
  </sheetViews>
  <sheetFormatPr defaultRowHeight="12.75"/>
  <cols>
    <col min="1" max="1" width="5.140625" customWidth="1"/>
    <col min="2" max="2" width="7.7109375" customWidth="1"/>
    <col min="3" max="3" width="8.7109375" style="1450" customWidth="1"/>
    <col min="4" max="4" width="9.7109375" style="1450" customWidth="1"/>
    <col min="5" max="5" width="9.140625" style="1450" customWidth="1"/>
    <col min="6" max="6" width="8.42578125" style="1450" customWidth="1"/>
    <col min="7" max="7" width="10.140625" style="1450" customWidth="1"/>
    <col min="9" max="9" width="11.7109375" bestFit="1" customWidth="1"/>
  </cols>
  <sheetData>
    <row r="1" spans="1:19" ht="14.25">
      <c r="A1" s="2261" t="s">
        <v>2562</v>
      </c>
      <c r="B1" s="2261"/>
      <c r="C1" s="2261"/>
      <c r="D1" s="2261"/>
      <c r="E1" s="2261"/>
      <c r="F1" s="2261"/>
      <c r="G1" s="2261"/>
      <c r="H1" s="2261"/>
      <c r="I1" s="1463" t="s">
        <v>2563</v>
      </c>
    </row>
    <row r="2" spans="1:19">
      <c r="A2" s="1348"/>
      <c r="B2" s="1348"/>
      <c r="C2" s="1451"/>
      <c r="D2" s="1451"/>
      <c r="E2" s="1451"/>
      <c r="F2" s="1451"/>
      <c r="H2" s="1451" t="s">
        <v>2564</v>
      </c>
    </row>
    <row r="3" spans="1:19" ht="33.75" customHeight="1">
      <c r="A3" s="2267" t="s">
        <v>2606</v>
      </c>
      <c r="B3" s="2268"/>
      <c r="C3" s="1447" t="s">
        <v>2583</v>
      </c>
      <c r="D3" s="1448" t="s">
        <v>2565</v>
      </c>
      <c r="E3" s="1449" t="s">
        <v>2566</v>
      </c>
      <c r="F3" s="1449" t="s">
        <v>2567</v>
      </c>
      <c r="G3" s="1449" t="s">
        <v>2582</v>
      </c>
      <c r="H3" s="1449" t="s">
        <v>2585</v>
      </c>
      <c r="I3" s="1449" t="s">
        <v>2586</v>
      </c>
    </row>
    <row r="4" spans="1:19" ht="11.85" customHeight="1">
      <c r="A4" s="2269" t="s">
        <v>2046</v>
      </c>
      <c r="B4" s="2270"/>
      <c r="C4" s="1588"/>
      <c r="D4" s="1588"/>
      <c r="E4" s="1588"/>
      <c r="F4" s="1588"/>
      <c r="G4" s="1589"/>
      <c r="H4" s="1589"/>
      <c r="I4" s="1588"/>
      <c r="O4" s="1468"/>
      <c r="P4" s="1468"/>
      <c r="Q4" s="1468"/>
      <c r="R4" s="1468"/>
      <c r="S4" s="1468"/>
    </row>
    <row r="5" spans="1:19" ht="11.85" customHeight="1">
      <c r="A5" s="2259" t="s">
        <v>1993</v>
      </c>
      <c r="B5" s="1444" t="s">
        <v>2569</v>
      </c>
      <c r="C5" s="1483">
        <v>73.669436640000015</v>
      </c>
      <c r="D5" s="1483">
        <v>161.81447</v>
      </c>
      <c r="E5" s="1483">
        <v>16.71</v>
      </c>
      <c r="F5" s="1483">
        <v>15.96</v>
      </c>
      <c r="G5" s="1456">
        <v>16.600000000000001</v>
      </c>
      <c r="H5" s="170">
        <v>0</v>
      </c>
      <c r="I5" s="170">
        <v>0</v>
      </c>
      <c r="O5" s="1468"/>
      <c r="P5" s="1468"/>
      <c r="Q5" s="1468"/>
      <c r="R5" s="1468"/>
      <c r="S5" s="1468"/>
    </row>
    <row r="6" spans="1:19" ht="11.85" customHeight="1">
      <c r="A6" s="2259" t="s">
        <v>1993</v>
      </c>
      <c r="B6" s="1445" t="s">
        <v>2570</v>
      </c>
      <c r="C6" s="1481">
        <v>62.579413919999986</v>
      </c>
      <c r="D6" s="1481">
        <v>1127.1567299999999</v>
      </c>
      <c r="E6" s="1482">
        <v>12.26</v>
      </c>
      <c r="F6" s="1482">
        <v>200.86</v>
      </c>
      <c r="G6" s="1455">
        <v>2.4</v>
      </c>
      <c r="H6" s="1453">
        <v>0</v>
      </c>
      <c r="I6" s="1453">
        <v>0</v>
      </c>
      <c r="O6" s="1468"/>
      <c r="P6" s="1468"/>
      <c r="Q6" s="1468"/>
      <c r="R6" s="1468"/>
      <c r="S6" s="1468"/>
    </row>
    <row r="7" spans="1:19" ht="11.85" customHeight="1">
      <c r="A7" s="2259" t="s">
        <v>1993</v>
      </c>
      <c r="B7" s="1444" t="s">
        <v>2571</v>
      </c>
      <c r="C7" s="1483">
        <v>14368.708722720005</v>
      </c>
      <c r="D7" s="1483">
        <v>152829.80942999999</v>
      </c>
      <c r="E7" s="1483">
        <v>5540.04</v>
      </c>
      <c r="F7" s="1483">
        <v>11948.78</v>
      </c>
      <c r="G7" s="1456">
        <v>76.8</v>
      </c>
      <c r="H7" s="1478">
        <v>2256.0147200000001</v>
      </c>
      <c r="I7" s="1478">
        <v>3.1432000000000002</v>
      </c>
      <c r="O7" s="1468"/>
      <c r="P7" s="1468"/>
      <c r="Q7" s="1468"/>
      <c r="R7" s="1468"/>
      <c r="S7" s="1468"/>
    </row>
    <row r="8" spans="1:19" ht="11.85" customHeight="1">
      <c r="A8" s="2259" t="s">
        <v>1993</v>
      </c>
      <c r="B8" s="1445" t="s">
        <v>2572</v>
      </c>
      <c r="C8" s="1481">
        <v>49.112957760000015</v>
      </c>
      <c r="D8" s="1481">
        <v>248.09217999999998</v>
      </c>
      <c r="E8" s="1482">
        <v>61.72</v>
      </c>
      <c r="F8" s="1482">
        <v>43.08</v>
      </c>
      <c r="G8" s="1455">
        <v>659.8</v>
      </c>
      <c r="H8" s="1479">
        <v>14.258519999999999</v>
      </c>
      <c r="I8" s="1453">
        <v>0</v>
      </c>
      <c r="O8" s="1468"/>
      <c r="P8" s="1468"/>
      <c r="Q8" s="1468"/>
      <c r="R8" s="1468"/>
      <c r="S8" s="1468"/>
    </row>
    <row r="9" spans="1:19" ht="11.85" customHeight="1">
      <c r="A9" s="2259" t="s">
        <v>1993</v>
      </c>
      <c r="B9" s="1444" t="s">
        <v>2573</v>
      </c>
      <c r="C9" s="1483">
        <v>705.00858719999997</v>
      </c>
      <c r="D9" s="1483">
        <v>126.39297000000001</v>
      </c>
      <c r="E9" s="1483">
        <v>394.48</v>
      </c>
      <c r="F9" s="1483">
        <v>71.849999999999994</v>
      </c>
      <c r="G9" s="1456">
        <v>35.6</v>
      </c>
      <c r="H9" s="170">
        <v>0</v>
      </c>
      <c r="I9" s="170">
        <v>0</v>
      </c>
      <c r="O9" s="1468"/>
      <c r="P9" s="1468"/>
      <c r="Q9" s="1468"/>
      <c r="R9" s="1468"/>
      <c r="S9" s="1468"/>
    </row>
    <row r="10" spans="1:19" ht="11.85" customHeight="1">
      <c r="A10" s="2259" t="s">
        <v>1993</v>
      </c>
      <c r="B10" s="1445" t="s">
        <v>2574</v>
      </c>
      <c r="C10" s="1481">
        <v>1549.4346028799996</v>
      </c>
      <c r="D10" s="1481">
        <v>11379.92382</v>
      </c>
      <c r="E10" s="1482">
        <v>55.99</v>
      </c>
      <c r="F10" s="1482">
        <v>268.82</v>
      </c>
      <c r="G10" s="1455">
        <v>28.5</v>
      </c>
      <c r="H10" s="1479">
        <v>244.77125999999998</v>
      </c>
      <c r="I10" s="1453">
        <v>0</v>
      </c>
      <c r="O10" s="1468"/>
      <c r="P10" s="1468"/>
      <c r="Q10" s="1468"/>
      <c r="R10" s="1468"/>
      <c r="S10" s="1468"/>
    </row>
    <row r="11" spans="1:19" ht="11.85" customHeight="1">
      <c r="A11" s="2259" t="s">
        <v>1993</v>
      </c>
      <c r="B11" s="1444" t="s">
        <v>2575</v>
      </c>
      <c r="C11" s="1483">
        <v>552.91684703999977</v>
      </c>
      <c r="D11" s="1483">
        <v>1532.9633899999999</v>
      </c>
      <c r="E11" s="1483">
        <v>107.46</v>
      </c>
      <c r="F11" s="1483">
        <v>551.70000000000005</v>
      </c>
      <c r="G11" s="1456">
        <v>7.9</v>
      </c>
      <c r="H11" s="1478">
        <v>622.62203999999997</v>
      </c>
      <c r="I11" s="170">
        <v>0</v>
      </c>
      <c r="O11" s="1468"/>
      <c r="P11" s="1468"/>
      <c r="Q11" s="1468"/>
      <c r="R11" s="1468"/>
      <c r="S11" s="1468"/>
    </row>
    <row r="12" spans="1:19" ht="11.85" customHeight="1">
      <c r="A12" s="2259" t="s">
        <v>2576</v>
      </c>
      <c r="B12" s="1577" t="s">
        <v>2569</v>
      </c>
      <c r="C12" s="1481">
        <v>118.05589110000001</v>
      </c>
      <c r="D12" s="1481">
        <v>191.58622</v>
      </c>
      <c r="E12" s="1481">
        <v>6.67</v>
      </c>
      <c r="F12" s="1481">
        <v>59.98</v>
      </c>
      <c r="G12" s="1457">
        <v>12.1</v>
      </c>
      <c r="H12" s="1453">
        <v>0</v>
      </c>
      <c r="I12" s="1453">
        <v>0</v>
      </c>
      <c r="O12" s="1468"/>
      <c r="P12" s="1468"/>
      <c r="Q12" s="1468"/>
      <c r="R12" s="1468"/>
      <c r="S12" s="1468"/>
    </row>
    <row r="13" spans="1:19" s="280" customFormat="1" ht="11.85" customHeight="1">
      <c r="A13" s="2259" t="s">
        <v>2576</v>
      </c>
      <c r="B13" s="1582" t="s">
        <v>2570</v>
      </c>
      <c r="C13" s="1583">
        <v>76.294623500000014</v>
      </c>
      <c r="D13" s="1583">
        <v>534.72648000000004</v>
      </c>
      <c r="E13" s="1583">
        <v>33.15</v>
      </c>
      <c r="F13" s="1583">
        <v>210.36</v>
      </c>
      <c r="G13" s="1584">
        <v>0</v>
      </c>
      <c r="H13" s="1585">
        <v>0</v>
      </c>
      <c r="I13" s="1585">
        <v>0</v>
      </c>
      <c r="O13" s="1586"/>
      <c r="P13" s="1586"/>
      <c r="Q13" s="1586"/>
      <c r="R13" s="1586"/>
      <c r="S13" s="1586"/>
    </row>
    <row r="14" spans="1:19" ht="11.85" customHeight="1">
      <c r="A14" s="2259" t="s">
        <v>2576</v>
      </c>
      <c r="B14" s="1577" t="s">
        <v>2571</v>
      </c>
      <c r="C14" s="1481">
        <v>12011.183042799996</v>
      </c>
      <c r="D14" s="1481">
        <v>135268.45793999999</v>
      </c>
      <c r="E14" s="1481">
        <v>6439.49</v>
      </c>
      <c r="F14" s="1481">
        <v>13945.43</v>
      </c>
      <c r="G14" s="1457">
        <v>75.5</v>
      </c>
      <c r="H14" s="1479">
        <v>1855.9640999999999</v>
      </c>
      <c r="I14" s="1453">
        <v>0</v>
      </c>
      <c r="O14" s="1468"/>
      <c r="P14" s="1468"/>
      <c r="Q14" s="1468"/>
      <c r="R14" s="1468"/>
      <c r="S14" s="1468"/>
    </row>
    <row r="15" spans="1:19" s="280" customFormat="1" ht="11.85" customHeight="1">
      <c r="A15" s="2259" t="s">
        <v>2576</v>
      </c>
      <c r="B15" s="1582" t="s">
        <v>2572</v>
      </c>
      <c r="C15" s="1583">
        <v>63.445002700000003</v>
      </c>
      <c r="D15" s="1583">
        <v>101.60606</v>
      </c>
      <c r="E15" s="1583">
        <v>34.33</v>
      </c>
      <c r="F15" s="1583">
        <v>65.540000000000006</v>
      </c>
      <c r="G15" s="1584">
        <v>759</v>
      </c>
      <c r="H15" s="1587">
        <v>-4.8186</v>
      </c>
      <c r="I15" s="1585">
        <v>0</v>
      </c>
      <c r="O15" s="1586"/>
      <c r="P15" s="1586"/>
      <c r="Q15" s="1586"/>
      <c r="R15" s="1586"/>
      <c r="S15" s="1586"/>
    </row>
    <row r="16" spans="1:19" ht="11.85" customHeight="1">
      <c r="A16" s="2259" t="s">
        <v>2576</v>
      </c>
      <c r="B16" s="1577" t="s">
        <v>2573</v>
      </c>
      <c r="C16" s="1481">
        <v>872.16801179999993</v>
      </c>
      <c r="D16" s="1481">
        <v>243.39204999999998</v>
      </c>
      <c r="E16" s="1481">
        <v>160.27000000000001</v>
      </c>
      <c r="F16" s="1481">
        <v>76.599999999999994</v>
      </c>
      <c r="G16" s="1457">
        <v>20</v>
      </c>
      <c r="H16" s="1453">
        <v>0</v>
      </c>
      <c r="I16" s="1453">
        <v>0</v>
      </c>
      <c r="O16" s="1468"/>
      <c r="P16" s="1468"/>
      <c r="Q16" s="1468"/>
      <c r="R16" s="1468"/>
      <c r="S16" s="1468"/>
    </row>
    <row r="17" spans="1:21" s="280" customFormat="1" ht="11.85" customHeight="1">
      <c r="A17" s="2259" t="s">
        <v>2576</v>
      </c>
      <c r="B17" s="1582" t="s">
        <v>2574</v>
      </c>
      <c r="C17" s="1583">
        <v>921.15719110000055</v>
      </c>
      <c r="D17" s="1583">
        <v>12249.45386</v>
      </c>
      <c r="E17" s="1583">
        <v>59.61</v>
      </c>
      <c r="F17" s="1583">
        <v>274.77</v>
      </c>
      <c r="G17" s="1584">
        <v>26.5</v>
      </c>
      <c r="H17" s="1587">
        <v>307.58730000000003</v>
      </c>
      <c r="I17" s="1585">
        <v>17.670000000000002</v>
      </c>
      <c r="O17" s="1586"/>
      <c r="P17" s="1586"/>
      <c r="Q17" s="1586"/>
      <c r="R17" s="1586"/>
      <c r="S17" s="1586"/>
    </row>
    <row r="18" spans="1:21" ht="11.85" customHeight="1">
      <c r="A18" s="2262" t="s">
        <v>2576</v>
      </c>
      <c r="B18" s="1578" t="s">
        <v>2575</v>
      </c>
      <c r="C18" s="1579">
        <v>636.05622960000017</v>
      </c>
      <c r="D18" s="1579">
        <v>1640.7031299999999</v>
      </c>
      <c r="E18" s="1580">
        <v>135.69999999999999</v>
      </c>
      <c r="F18" s="1580">
        <v>571.83000000000004</v>
      </c>
      <c r="G18" s="1581">
        <v>12.9</v>
      </c>
      <c r="H18" s="1479">
        <v>1572.4697999999999</v>
      </c>
      <c r="I18" s="1453">
        <v>0</v>
      </c>
      <c r="J18" s="280"/>
      <c r="O18" s="1468"/>
      <c r="P18" s="1468"/>
      <c r="Q18" s="1468"/>
      <c r="R18" s="1468"/>
      <c r="S18" s="1468"/>
    </row>
    <row r="19" spans="1:21" ht="11.85" customHeight="1">
      <c r="A19" s="2263" t="s">
        <v>2584</v>
      </c>
      <c r="B19" s="2263"/>
      <c r="C19" s="1590">
        <f>SUM(C20:C47)</f>
        <v>85635.973200000022</v>
      </c>
      <c r="D19" s="1590">
        <f t="shared" ref="D19:I19" si="0">SUM(D20:D47)</f>
        <v>810492.48520000023</v>
      </c>
      <c r="E19" s="1590">
        <f t="shared" si="0"/>
        <v>31932.87</v>
      </c>
      <c r="F19" s="1639">
        <f t="shared" si="0"/>
        <v>64338.299999999996</v>
      </c>
      <c r="G19" s="1590">
        <f t="shared" si="0"/>
        <v>2780.7999999999997</v>
      </c>
      <c r="H19" s="1590">
        <f t="shared" si="0"/>
        <v>17034.264512599999</v>
      </c>
      <c r="I19" s="1588">
        <f t="shared" si="0"/>
        <v>159.8389612</v>
      </c>
      <c r="O19" s="1468"/>
      <c r="P19" s="1468"/>
      <c r="Q19" s="1468"/>
      <c r="R19" s="1468"/>
      <c r="S19" s="1468"/>
    </row>
    <row r="20" spans="1:21" ht="11.85" customHeight="1">
      <c r="A20" s="2264" t="s">
        <v>2568</v>
      </c>
      <c r="B20" s="1446" t="s">
        <v>2569</v>
      </c>
      <c r="C20" s="1480">
        <v>171.8484</v>
      </c>
      <c r="D20" s="1480">
        <v>104.12</v>
      </c>
      <c r="E20" s="1480">
        <v>6.64</v>
      </c>
      <c r="F20" s="1454">
        <v>3.3</v>
      </c>
      <c r="G20" s="1641">
        <v>12.9</v>
      </c>
      <c r="H20" s="170">
        <v>0</v>
      </c>
      <c r="I20" s="170">
        <v>0</v>
      </c>
      <c r="O20" s="1468"/>
      <c r="P20" s="1468"/>
      <c r="Q20" s="1468"/>
      <c r="R20" s="1468"/>
      <c r="S20" s="1468"/>
      <c r="T20" s="1468"/>
      <c r="U20" s="1468"/>
    </row>
    <row r="21" spans="1:21" ht="11.85" customHeight="1">
      <c r="A21" s="2265"/>
      <c r="B21" s="1445" t="s">
        <v>2570</v>
      </c>
      <c r="C21" s="1481">
        <v>47.601199999999999</v>
      </c>
      <c r="D21" s="1481">
        <v>758.27</v>
      </c>
      <c r="E21" s="1481">
        <v>30.81</v>
      </c>
      <c r="F21" s="1457">
        <v>171.76</v>
      </c>
      <c r="G21" s="1642">
        <v>0</v>
      </c>
      <c r="H21" s="1453">
        <v>0</v>
      </c>
      <c r="I21" s="1453">
        <v>0</v>
      </c>
      <c r="O21" s="1468"/>
      <c r="P21" s="1468"/>
      <c r="Q21" s="1468"/>
      <c r="R21" s="1468"/>
      <c r="S21" s="1468"/>
    </row>
    <row r="22" spans="1:21" ht="11.85" customHeight="1">
      <c r="A22" s="2265"/>
      <c r="B22" s="1444" t="s">
        <v>2571</v>
      </c>
      <c r="C22" s="1483">
        <v>12495.718400000002</v>
      </c>
      <c r="D22" s="1483">
        <v>150381.62</v>
      </c>
      <c r="E22" s="1483">
        <v>5985.97</v>
      </c>
      <c r="F22" s="1483">
        <v>15398.27</v>
      </c>
      <c r="G22" s="1454">
        <v>82.3</v>
      </c>
      <c r="H22" s="1640">
        <v>1478.1418720000001</v>
      </c>
      <c r="I22" s="1477">
        <v>0</v>
      </c>
      <c r="O22" s="1468"/>
      <c r="P22" s="1468"/>
      <c r="Q22" s="1468"/>
      <c r="R22" s="1468"/>
      <c r="S22" s="1468"/>
    </row>
    <row r="23" spans="1:21" ht="11.85" customHeight="1">
      <c r="A23" s="2265"/>
      <c r="B23" s="1445" t="s">
        <v>2572</v>
      </c>
      <c r="C23" s="1481">
        <v>70.191600000000008</v>
      </c>
      <c r="D23" s="1481">
        <v>111.46</v>
      </c>
      <c r="E23" s="1481">
        <v>49.22</v>
      </c>
      <c r="F23" s="1481">
        <v>106.02</v>
      </c>
      <c r="G23" s="1457">
        <v>401.8</v>
      </c>
      <c r="H23" s="1479">
        <v>-5.6479220000000003</v>
      </c>
      <c r="I23" s="1453">
        <v>0</v>
      </c>
      <c r="O23" s="1468"/>
      <c r="P23" s="1468"/>
      <c r="Q23" s="1468"/>
      <c r="R23" s="1468"/>
      <c r="S23" s="1468"/>
    </row>
    <row r="24" spans="1:21" ht="11.85" customHeight="1">
      <c r="A24" s="2265"/>
      <c r="B24" s="1444" t="s">
        <v>2573</v>
      </c>
      <c r="C24" s="1483">
        <v>768.88040000000001</v>
      </c>
      <c r="D24" s="1483">
        <v>237.24</v>
      </c>
      <c r="E24" s="1483">
        <v>149.99</v>
      </c>
      <c r="F24" s="1483">
        <v>87.81</v>
      </c>
      <c r="G24" s="1456">
        <v>12.9</v>
      </c>
      <c r="H24" s="170">
        <v>0</v>
      </c>
      <c r="I24" s="170">
        <v>0</v>
      </c>
      <c r="O24" s="1468"/>
      <c r="P24" s="1468"/>
      <c r="Q24" s="1468"/>
      <c r="R24" s="1468"/>
      <c r="S24" s="1468"/>
    </row>
    <row r="25" spans="1:21" ht="11.85" customHeight="1">
      <c r="A25" s="2265"/>
      <c r="B25" s="1445" t="s">
        <v>2574</v>
      </c>
      <c r="C25" s="1481">
        <v>1129.52</v>
      </c>
      <c r="D25" s="1481">
        <v>11318.24</v>
      </c>
      <c r="E25" s="1481">
        <v>69.48</v>
      </c>
      <c r="F25" s="1481">
        <v>271.51</v>
      </c>
      <c r="G25" s="1457">
        <v>24.2</v>
      </c>
      <c r="H25" s="1479">
        <v>185.57458</v>
      </c>
      <c r="I25" s="1453">
        <v>0</v>
      </c>
      <c r="O25" s="1468"/>
      <c r="P25" s="1468"/>
      <c r="Q25" s="1468"/>
      <c r="R25" s="1468"/>
      <c r="S25" s="1468"/>
    </row>
    <row r="26" spans="1:21" ht="11.85" customHeight="1">
      <c r="A26" s="2266"/>
      <c r="B26" s="1444" t="s">
        <v>2575</v>
      </c>
      <c r="C26" s="1483">
        <v>688.20040000000006</v>
      </c>
      <c r="D26" s="1483">
        <v>1694.85</v>
      </c>
      <c r="E26" s="1483">
        <v>99.78</v>
      </c>
      <c r="F26" s="1483">
        <v>590.73</v>
      </c>
      <c r="G26" s="1456">
        <v>8.9</v>
      </c>
      <c r="H26" s="1478">
        <v>2805.4035420000005</v>
      </c>
      <c r="I26" s="170">
        <v>0</v>
      </c>
      <c r="O26" s="1468"/>
      <c r="P26" s="1468"/>
      <c r="Q26" s="1468"/>
      <c r="R26" s="1468"/>
      <c r="S26" s="1468"/>
    </row>
    <row r="27" spans="1:21" ht="11.85" customHeight="1">
      <c r="A27" s="2259" t="s">
        <v>2213</v>
      </c>
      <c r="B27" s="1577" t="s">
        <v>2569</v>
      </c>
      <c r="C27" s="1481">
        <v>135.32320000000001</v>
      </c>
      <c r="D27" s="1481">
        <v>74.540000000000006</v>
      </c>
      <c r="E27" s="1481">
        <v>13.41</v>
      </c>
      <c r="F27" s="1481">
        <v>3.23</v>
      </c>
      <c r="G27" s="1457">
        <v>15.5</v>
      </c>
      <c r="H27" s="1453">
        <v>0</v>
      </c>
      <c r="I27" s="1453">
        <v>0</v>
      </c>
      <c r="O27" s="1468"/>
      <c r="P27" s="1468"/>
      <c r="Q27" s="1468"/>
      <c r="R27" s="1468"/>
      <c r="S27" s="1468"/>
    </row>
    <row r="28" spans="1:21" s="280" customFormat="1" ht="11.85" customHeight="1">
      <c r="A28" s="2259" t="s">
        <v>2213</v>
      </c>
      <c r="B28" s="1582" t="s">
        <v>2570</v>
      </c>
      <c r="C28" s="1583">
        <v>117.38879999999999</v>
      </c>
      <c r="D28" s="1583">
        <v>1008.89</v>
      </c>
      <c r="E28" s="1583">
        <v>17.57</v>
      </c>
      <c r="F28" s="1583">
        <v>263.49</v>
      </c>
      <c r="G28" s="1584">
        <v>0.8</v>
      </c>
      <c r="H28" s="1585">
        <v>0</v>
      </c>
      <c r="I28" s="1585">
        <v>0</v>
      </c>
      <c r="O28" s="1586"/>
      <c r="P28" s="1586"/>
      <c r="Q28" s="1586"/>
      <c r="R28" s="1586"/>
      <c r="S28" s="1586"/>
    </row>
    <row r="29" spans="1:21" ht="11.85" customHeight="1">
      <c r="A29" s="2259" t="s">
        <v>2213</v>
      </c>
      <c r="B29" s="1577" t="s">
        <v>2571</v>
      </c>
      <c r="C29" s="1481">
        <v>16877.085600000002</v>
      </c>
      <c r="D29" s="1481">
        <v>186728.95</v>
      </c>
      <c r="E29" s="1481">
        <v>6805.55</v>
      </c>
      <c r="F29" s="1481">
        <v>15328.25</v>
      </c>
      <c r="G29" s="1457">
        <v>138.1</v>
      </c>
      <c r="H29" s="1479">
        <v>3647.2137480000001</v>
      </c>
      <c r="I29" s="1479">
        <v>8.9672219999999996</v>
      </c>
      <c r="O29" s="1468"/>
      <c r="P29" s="1468"/>
      <c r="Q29" s="1468"/>
      <c r="R29" s="1468"/>
      <c r="S29" s="1468"/>
    </row>
    <row r="30" spans="1:21" s="280" customFormat="1" ht="11.85" customHeight="1">
      <c r="A30" s="2259" t="s">
        <v>2213</v>
      </c>
      <c r="B30" s="1582" t="s">
        <v>2572</v>
      </c>
      <c r="C30" s="1583">
        <v>169.5616</v>
      </c>
      <c r="D30" s="1583">
        <v>147.09</v>
      </c>
      <c r="E30" s="1583">
        <v>59.24</v>
      </c>
      <c r="F30" s="1583">
        <v>70.61</v>
      </c>
      <c r="G30" s="1584">
        <v>469.4</v>
      </c>
      <c r="H30" s="1587">
        <v>4.0760100000000001</v>
      </c>
      <c r="I30" s="1585">
        <v>0</v>
      </c>
      <c r="O30" s="1586"/>
      <c r="P30" s="1586"/>
      <c r="Q30" s="1586"/>
      <c r="R30" s="1586"/>
      <c r="S30" s="1586"/>
    </row>
    <row r="31" spans="1:21" ht="11.85" customHeight="1">
      <c r="A31" s="2259" t="s">
        <v>2213</v>
      </c>
      <c r="B31" s="1577" t="s">
        <v>2573</v>
      </c>
      <c r="C31" s="1481">
        <v>874.70960000000014</v>
      </c>
      <c r="D31" s="1481">
        <v>161.9</v>
      </c>
      <c r="E31" s="1481">
        <v>205.86</v>
      </c>
      <c r="F31" s="1481">
        <v>115.43</v>
      </c>
      <c r="G31" s="1457">
        <v>12.2</v>
      </c>
      <c r="H31" s="1453">
        <v>0</v>
      </c>
      <c r="I31" s="1453">
        <v>0</v>
      </c>
      <c r="O31" s="1468"/>
      <c r="P31" s="1468"/>
      <c r="Q31" s="1468"/>
      <c r="R31" s="1468"/>
      <c r="S31" s="1468"/>
    </row>
    <row r="32" spans="1:21" s="280" customFormat="1" ht="11.85" customHeight="1">
      <c r="A32" s="2259" t="s">
        <v>2213</v>
      </c>
      <c r="B32" s="1582" t="s">
        <v>2574</v>
      </c>
      <c r="C32" s="1583">
        <v>2005.3920000000001</v>
      </c>
      <c r="D32" s="1583">
        <v>15650.35</v>
      </c>
      <c r="E32" s="1583">
        <v>100.87</v>
      </c>
      <c r="F32" s="1583">
        <v>302.18</v>
      </c>
      <c r="G32" s="1584">
        <v>26.1</v>
      </c>
      <c r="H32" s="1587">
        <v>165.486006</v>
      </c>
      <c r="I32" s="1585">
        <v>0</v>
      </c>
      <c r="O32" s="1586"/>
      <c r="P32" s="1586"/>
      <c r="Q32" s="1586"/>
      <c r="R32" s="1586"/>
      <c r="S32" s="1586"/>
    </row>
    <row r="33" spans="1:19" ht="11.85" customHeight="1">
      <c r="A33" s="2259" t="s">
        <v>2213</v>
      </c>
      <c r="B33" s="1577" t="s">
        <v>2575</v>
      </c>
      <c r="C33" s="1481">
        <v>701.07199999999989</v>
      </c>
      <c r="D33" s="1481">
        <v>1626.45</v>
      </c>
      <c r="E33" s="1481">
        <v>262.72000000000003</v>
      </c>
      <c r="F33" s="1481">
        <v>536.79999999999995</v>
      </c>
      <c r="G33" s="1457">
        <v>22.9</v>
      </c>
      <c r="H33" s="1479">
        <v>1454.3203680000001</v>
      </c>
      <c r="I33" s="1453">
        <v>0</v>
      </c>
      <c r="O33" s="1468"/>
      <c r="P33" s="1468"/>
      <c r="Q33" s="1468"/>
      <c r="R33" s="1468"/>
      <c r="S33" s="1468"/>
    </row>
    <row r="34" spans="1:19" s="280" customFormat="1" ht="11.85" customHeight="1">
      <c r="A34" s="2259" t="s">
        <v>1993</v>
      </c>
      <c r="B34" s="1582" t="s">
        <v>2569</v>
      </c>
      <c r="C34" s="1583">
        <v>161.03</v>
      </c>
      <c r="D34" s="1583">
        <v>228.94142000000002</v>
      </c>
      <c r="E34" s="1583">
        <v>8.0399999999999991</v>
      </c>
      <c r="F34" s="1583">
        <v>24.49</v>
      </c>
      <c r="G34" s="1584">
        <v>9.9</v>
      </c>
      <c r="H34" s="1585">
        <v>0</v>
      </c>
      <c r="I34" s="1585">
        <v>0</v>
      </c>
      <c r="O34" s="1586"/>
      <c r="P34" s="1586"/>
      <c r="Q34" s="1586"/>
      <c r="R34" s="1586"/>
      <c r="S34" s="1586"/>
    </row>
    <row r="35" spans="1:19" ht="11.85" customHeight="1">
      <c r="A35" s="2259" t="s">
        <v>1993</v>
      </c>
      <c r="B35" s="1577" t="s">
        <v>2570</v>
      </c>
      <c r="C35" s="1481">
        <v>61.61</v>
      </c>
      <c r="D35" s="1481">
        <v>956.53230000000008</v>
      </c>
      <c r="E35" s="1481">
        <v>24.9</v>
      </c>
      <c r="F35" s="1481">
        <v>420.75</v>
      </c>
      <c r="G35" s="1457">
        <v>4.0999999999999996</v>
      </c>
      <c r="H35" s="1453">
        <v>0</v>
      </c>
      <c r="I35" s="1453">
        <v>0</v>
      </c>
      <c r="O35" s="1468"/>
      <c r="P35" s="1468"/>
      <c r="Q35" s="1468"/>
      <c r="R35" s="1468"/>
      <c r="S35" s="1468"/>
    </row>
    <row r="36" spans="1:19" s="280" customFormat="1" ht="11.85" customHeight="1">
      <c r="A36" s="2259" t="s">
        <v>1993</v>
      </c>
      <c r="B36" s="1582" t="s">
        <v>2571</v>
      </c>
      <c r="C36" s="1583">
        <v>21137.91</v>
      </c>
      <c r="D36" s="1583">
        <v>210036.08050000001</v>
      </c>
      <c r="E36" s="1583">
        <v>7982.59</v>
      </c>
      <c r="F36" s="1583">
        <v>13362.42</v>
      </c>
      <c r="G36" s="1584">
        <v>82.1</v>
      </c>
      <c r="H36" s="1587">
        <v>3330.7837807999999</v>
      </c>
      <c r="I36" s="1585">
        <v>0</v>
      </c>
      <c r="O36" s="1586"/>
      <c r="P36" s="1586"/>
      <c r="Q36" s="1586"/>
      <c r="R36" s="1586"/>
      <c r="S36" s="1586"/>
    </row>
    <row r="37" spans="1:19" ht="11.85" customHeight="1">
      <c r="A37" s="2259" t="s">
        <v>1993</v>
      </c>
      <c r="B37" s="1577" t="s">
        <v>2572</v>
      </c>
      <c r="C37" s="1481">
        <v>72.290000000000006</v>
      </c>
      <c r="D37" s="1481">
        <v>800.28049999999996</v>
      </c>
      <c r="E37" s="1481">
        <v>33.450000000000003</v>
      </c>
      <c r="F37" s="1481">
        <v>46.6</v>
      </c>
      <c r="G37" s="1457">
        <v>596.1</v>
      </c>
      <c r="H37" s="1479">
        <v>13.2634496</v>
      </c>
      <c r="I37" s="1453">
        <v>0</v>
      </c>
      <c r="O37" s="1468"/>
      <c r="P37" s="1468"/>
      <c r="Q37" s="1468"/>
      <c r="R37" s="1468"/>
      <c r="S37" s="1468"/>
    </row>
    <row r="38" spans="1:19" s="280" customFormat="1" ht="11.85" customHeight="1">
      <c r="A38" s="2259" t="s">
        <v>1993</v>
      </c>
      <c r="B38" s="1582" t="s">
        <v>2573</v>
      </c>
      <c r="C38" s="1583">
        <v>905.69</v>
      </c>
      <c r="D38" s="1583">
        <v>216.55379000000002</v>
      </c>
      <c r="E38" s="1583">
        <v>370.83</v>
      </c>
      <c r="F38" s="1583">
        <v>102.75</v>
      </c>
      <c r="G38" s="1584">
        <v>7.5</v>
      </c>
      <c r="H38" s="1585">
        <v>0</v>
      </c>
      <c r="I38" s="1585">
        <v>0</v>
      </c>
      <c r="O38" s="1586"/>
      <c r="P38" s="1586"/>
      <c r="Q38" s="1586"/>
      <c r="R38" s="1586"/>
      <c r="S38" s="1586"/>
    </row>
    <row r="39" spans="1:19" ht="11.85" customHeight="1">
      <c r="A39" s="2259" t="s">
        <v>1993</v>
      </c>
      <c r="B39" s="1577" t="s">
        <v>2574</v>
      </c>
      <c r="C39" s="1481">
        <v>1766.11</v>
      </c>
      <c r="D39" s="1481">
        <v>14271.525669999999</v>
      </c>
      <c r="E39" s="1481">
        <v>39.229999999999997</v>
      </c>
      <c r="F39" s="1481">
        <v>385.25</v>
      </c>
      <c r="G39" s="1457">
        <v>28.2</v>
      </c>
      <c r="H39" s="1479">
        <v>228.79450559999995</v>
      </c>
      <c r="I39" s="1453">
        <v>0</v>
      </c>
      <c r="O39" s="1468"/>
      <c r="P39" s="1468"/>
      <c r="Q39" s="1468"/>
      <c r="R39" s="1468"/>
      <c r="S39" s="1468"/>
    </row>
    <row r="40" spans="1:19" s="280" customFormat="1" ht="11.85" customHeight="1">
      <c r="A40" s="2259" t="s">
        <v>1993</v>
      </c>
      <c r="B40" s="1582" t="s">
        <v>2575</v>
      </c>
      <c r="C40" s="1583">
        <v>598.12</v>
      </c>
      <c r="D40" s="1583">
        <v>1453.98677</v>
      </c>
      <c r="E40" s="1583">
        <v>233.8</v>
      </c>
      <c r="F40" s="1583">
        <v>536</v>
      </c>
      <c r="G40" s="1584">
        <v>10.8</v>
      </c>
      <c r="H40" s="1587">
        <v>518.93246559999989</v>
      </c>
      <c r="I40" s="1587">
        <v>150.87173920000001</v>
      </c>
      <c r="O40" s="1586"/>
      <c r="P40" s="1586"/>
      <c r="Q40" s="1586"/>
      <c r="R40" s="1586"/>
      <c r="S40" s="1586"/>
    </row>
    <row r="41" spans="1:19" ht="11.85" customHeight="1">
      <c r="A41" s="2259" t="s">
        <v>2576</v>
      </c>
      <c r="B41" s="1577" t="s">
        <v>2569</v>
      </c>
      <c r="C41" s="1481">
        <v>103.97</v>
      </c>
      <c r="D41" s="1481">
        <v>139.95716000000002</v>
      </c>
      <c r="E41" s="1481">
        <v>5.93</v>
      </c>
      <c r="F41" s="1481">
        <v>6.81</v>
      </c>
      <c r="G41" s="1457">
        <v>14.2</v>
      </c>
      <c r="H41" s="1453">
        <v>0</v>
      </c>
      <c r="I41" s="1453">
        <v>0</v>
      </c>
      <c r="O41" s="1468"/>
      <c r="P41" s="1468"/>
      <c r="Q41" s="1468"/>
      <c r="R41" s="1468"/>
      <c r="S41" s="1468"/>
    </row>
    <row r="42" spans="1:19" s="280" customFormat="1" ht="11.85" customHeight="1">
      <c r="A42" s="2259" t="s">
        <v>2576</v>
      </c>
      <c r="B42" s="1582" t="s">
        <v>2570</v>
      </c>
      <c r="C42" s="1583">
        <v>133.91</v>
      </c>
      <c r="D42" s="1583">
        <v>1546.9374599999999</v>
      </c>
      <c r="E42" s="1583">
        <v>18.760000000000002</v>
      </c>
      <c r="F42" s="1583">
        <v>427.59</v>
      </c>
      <c r="G42" s="1584">
        <v>2.5</v>
      </c>
      <c r="H42" s="1585">
        <v>0</v>
      </c>
      <c r="I42" s="1585">
        <v>0</v>
      </c>
      <c r="O42" s="1586"/>
      <c r="P42" s="1586"/>
      <c r="Q42" s="1586"/>
      <c r="R42" s="1586"/>
      <c r="S42" s="1586"/>
    </row>
    <row r="43" spans="1:19" ht="11.85" customHeight="1">
      <c r="A43" s="2259" t="s">
        <v>2576</v>
      </c>
      <c r="B43" s="1577" t="s">
        <v>2571</v>
      </c>
      <c r="C43" s="1481">
        <v>21366.91</v>
      </c>
      <c r="D43" s="1481">
        <v>187715.58228</v>
      </c>
      <c r="E43" s="1481">
        <v>8854.7800000000007</v>
      </c>
      <c r="F43" s="1481">
        <v>14711.65</v>
      </c>
      <c r="G43" s="1457">
        <v>111.7</v>
      </c>
      <c r="H43" s="1479">
        <v>1836.9083720000001</v>
      </c>
      <c r="I43" s="1453">
        <v>0</v>
      </c>
      <c r="O43" s="1468"/>
      <c r="P43" s="1468"/>
      <c r="Q43" s="1468"/>
      <c r="R43" s="1468"/>
      <c r="S43" s="1468"/>
    </row>
    <row r="44" spans="1:19" s="280" customFormat="1" ht="11.85" customHeight="1">
      <c r="A44" s="2259" t="s">
        <v>2576</v>
      </c>
      <c r="B44" s="1582" t="s">
        <v>2572</v>
      </c>
      <c r="C44" s="1583">
        <v>130.41999999999999</v>
      </c>
      <c r="D44" s="1583">
        <v>432.03287</v>
      </c>
      <c r="E44" s="1583">
        <v>31.36</v>
      </c>
      <c r="F44" s="1583">
        <v>59.93</v>
      </c>
      <c r="G44" s="1584">
        <v>628.29999999999995</v>
      </c>
      <c r="H44" s="1587">
        <v>0</v>
      </c>
      <c r="I44" s="1585">
        <v>0</v>
      </c>
      <c r="O44" s="1586"/>
      <c r="P44" s="1586"/>
      <c r="Q44" s="1586"/>
      <c r="R44" s="1586"/>
      <c r="S44" s="1586"/>
    </row>
    <row r="45" spans="1:19" ht="11.85" customHeight="1">
      <c r="A45" s="2259" t="s">
        <v>2576</v>
      </c>
      <c r="B45" s="1577" t="s">
        <v>2573</v>
      </c>
      <c r="C45" s="1481">
        <v>1176.19</v>
      </c>
      <c r="D45" s="1481">
        <v>161.37530999999998</v>
      </c>
      <c r="E45" s="1481">
        <v>199.77</v>
      </c>
      <c r="F45" s="1481">
        <v>57.32</v>
      </c>
      <c r="G45" s="1457">
        <v>8.3000000000000007</v>
      </c>
      <c r="H45" s="1453">
        <v>0</v>
      </c>
      <c r="I45" s="1453">
        <v>0</v>
      </c>
      <c r="O45" s="1468"/>
      <c r="P45" s="1468"/>
      <c r="Q45" s="1468"/>
      <c r="R45" s="1468"/>
      <c r="S45" s="1468"/>
    </row>
    <row r="46" spans="1:19" s="280" customFormat="1" ht="11.85" customHeight="1">
      <c r="A46" s="2259" t="s">
        <v>2576</v>
      </c>
      <c r="B46" s="1582" t="s">
        <v>2574</v>
      </c>
      <c r="C46" s="1583">
        <v>1165</v>
      </c>
      <c r="D46" s="1583">
        <v>20727.13638</v>
      </c>
      <c r="E46" s="1583">
        <v>64.48</v>
      </c>
      <c r="F46" s="1583">
        <v>381.26</v>
      </c>
      <c r="G46" s="1584">
        <v>30</v>
      </c>
      <c r="H46" s="1587">
        <v>279.20340500000003</v>
      </c>
      <c r="I46" s="1585">
        <v>0</v>
      </c>
      <c r="O46" s="1586"/>
      <c r="P46" s="1586"/>
      <c r="Q46" s="1586"/>
      <c r="R46" s="1586"/>
      <c r="S46" s="1586"/>
    </row>
    <row r="47" spans="1:19" ht="11.85" customHeight="1">
      <c r="A47" s="2260" t="s">
        <v>2576</v>
      </c>
      <c r="B47" s="1591" t="s">
        <v>2575</v>
      </c>
      <c r="C47" s="1592">
        <v>604.32000000000005</v>
      </c>
      <c r="D47" s="1592">
        <v>1801.5927900000002</v>
      </c>
      <c r="E47" s="1593">
        <v>207.84</v>
      </c>
      <c r="F47" s="1593">
        <v>566.09</v>
      </c>
      <c r="G47" s="1594">
        <v>19.100000000000001</v>
      </c>
      <c r="H47" s="1479">
        <v>1091.81033</v>
      </c>
      <c r="I47" s="1453">
        <v>0</v>
      </c>
      <c r="O47" s="1468"/>
      <c r="P47" s="1468"/>
      <c r="Q47" s="1468"/>
      <c r="R47" s="1468"/>
      <c r="S47" s="1468"/>
    </row>
    <row r="48" spans="1:19">
      <c r="A48" s="1348" t="s">
        <v>1874</v>
      </c>
      <c r="B48" s="1348" t="s">
        <v>2577</v>
      </c>
      <c r="C48" s="1452"/>
      <c r="D48" s="1452"/>
      <c r="E48" s="1452"/>
      <c r="F48" s="1452"/>
      <c r="G48" s="1452"/>
      <c r="H48" s="1"/>
      <c r="I48" s="4"/>
    </row>
    <row r="49" spans="1:9">
      <c r="A49" s="1"/>
      <c r="B49" s="1348" t="s">
        <v>2578</v>
      </c>
      <c r="C49" s="1452"/>
      <c r="D49" s="1452"/>
      <c r="G49" s="1451" t="s">
        <v>2579</v>
      </c>
      <c r="H49" s="1"/>
      <c r="I49" s="4"/>
    </row>
    <row r="50" spans="1:9" ht="13.5" customHeight="1">
      <c r="A50" s="1464" t="s">
        <v>441</v>
      </c>
      <c r="B50" s="1465" t="s">
        <v>2580</v>
      </c>
      <c r="C50" s="1451"/>
      <c r="D50" s="1451"/>
      <c r="E50" s="1451"/>
      <c r="F50" s="1451"/>
      <c r="G50" s="1451"/>
      <c r="H50" s="1"/>
      <c r="I50" s="4"/>
    </row>
    <row r="51" spans="1:9">
      <c r="A51" s="1348"/>
      <c r="B51" s="1465" t="s">
        <v>2581</v>
      </c>
      <c r="C51" s="1451"/>
      <c r="D51" s="1451"/>
      <c r="E51" s="1451"/>
      <c r="F51" s="1451"/>
      <c r="G51" s="1451"/>
      <c r="H51" s="1"/>
      <c r="I51" s="4"/>
    </row>
  </sheetData>
  <mergeCells count="10">
    <mergeCell ref="A34:A40"/>
    <mergeCell ref="A41:A47"/>
    <mergeCell ref="A1:H1"/>
    <mergeCell ref="A12:A18"/>
    <mergeCell ref="A19:B19"/>
    <mergeCell ref="A20:A26"/>
    <mergeCell ref="A27:A33"/>
    <mergeCell ref="A3:B3"/>
    <mergeCell ref="A4:B4"/>
    <mergeCell ref="A5:A11"/>
  </mergeCells>
  <pageMargins left="0.45" right="0" top="0.5" bottom="0.25" header="0.3" footer="0.3"/>
  <pageSetup paperSize="448" firstPageNumber="108" orientation="portrait" useFirstPageNumber="1" r:id="rId1"/>
  <headerFooter alignWithMargins="0">
    <oddFooter>&amp;C&amp;"Times New Roman,Regular"&amp;8&amp;P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5"/>
  <dimension ref="A1:BQ76"/>
  <sheetViews>
    <sheetView zoomScale="120" zoomScaleNormal="120" workbookViewId="0">
      <pane xSplit="1" ySplit="7" topLeftCell="B47" activePane="bottomRight" state="frozen"/>
      <selection pane="topRight" activeCell="C1" sqref="C1"/>
      <selection pane="bottomLeft" activeCell="A9" sqref="A9"/>
      <selection pane="bottomRight" activeCell="D59" sqref="D59"/>
    </sheetView>
  </sheetViews>
  <sheetFormatPr defaultColWidth="9.140625" defaultRowHeight="11.25"/>
  <cols>
    <col min="1" max="1" width="8.85546875" style="10" customWidth="1"/>
    <col min="2" max="3" width="9.28515625" style="10" customWidth="1"/>
    <col min="4" max="4" width="9.5703125" style="10" customWidth="1"/>
    <col min="5" max="5" width="9.28515625" style="10" customWidth="1"/>
    <col min="6" max="6" width="9.140625" style="10" customWidth="1"/>
    <col min="7" max="7" width="8" style="10" customWidth="1"/>
    <col min="8" max="8" width="6.42578125" style="10" customWidth="1"/>
    <col min="9" max="9" width="7" style="10" customWidth="1"/>
    <col min="10" max="10" width="6.7109375" style="10" customWidth="1"/>
    <col min="11" max="11" width="12.28515625" style="10" customWidth="1"/>
    <col min="12" max="12" width="14.5703125" style="10" customWidth="1"/>
    <col min="13" max="13" width="14.28515625" style="10" customWidth="1"/>
    <col min="14" max="14" width="14.140625" style="10" customWidth="1"/>
    <col min="15" max="15" width="15" style="10" customWidth="1"/>
    <col min="16" max="16" width="10.85546875" style="10" customWidth="1"/>
    <col min="17" max="16384" width="9.140625" style="10"/>
  </cols>
  <sheetData>
    <row r="1" spans="1:69" s="47" customFormat="1" ht="15.75">
      <c r="A1" s="1821"/>
      <c r="B1" s="1821"/>
      <c r="C1" s="1821"/>
      <c r="D1" s="1821"/>
      <c r="E1" s="1821"/>
      <c r="F1" s="1821"/>
      <c r="G1" s="1773" t="s">
        <v>164</v>
      </c>
      <c r="H1" s="1773"/>
      <c r="I1" s="1773"/>
      <c r="J1" s="1773"/>
      <c r="K1" s="57" t="s">
        <v>509</v>
      </c>
      <c r="L1" s="48"/>
      <c r="M1" s="48"/>
      <c r="N1" s="48"/>
      <c r="O1" s="1841" t="s">
        <v>244</v>
      </c>
      <c r="P1" s="1841"/>
      <c r="Q1" s="48"/>
      <c r="R1" s="48"/>
      <c r="S1" s="48"/>
    </row>
    <row r="2" spans="1:69" s="2" customFormat="1" ht="12.75" customHeight="1">
      <c r="A2" s="283"/>
      <c r="B2" s="283"/>
      <c r="C2" s="283"/>
      <c r="D2" s="283"/>
      <c r="E2" s="283"/>
      <c r="F2" s="1840" t="s">
        <v>1265</v>
      </c>
      <c r="G2" s="1840"/>
      <c r="H2" s="1840"/>
      <c r="I2" s="1840"/>
      <c r="J2" s="1840"/>
      <c r="K2" s="248" t="s">
        <v>2158</v>
      </c>
      <c r="L2" s="248"/>
      <c r="O2" s="1842"/>
      <c r="P2" s="1842"/>
    </row>
    <row r="3" spans="1:69" s="262" customFormat="1" ht="23.25" customHeight="1">
      <c r="A3" s="1839" t="s">
        <v>739</v>
      </c>
      <c r="B3" s="1833" t="s">
        <v>1339</v>
      </c>
      <c r="C3" s="1833"/>
      <c r="D3" s="1833"/>
      <c r="E3" s="1834"/>
      <c r="F3" s="1843" t="s">
        <v>837</v>
      </c>
      <c r="G3" s="1844"/>
      <c r="H3" s="1844"/>
      <c r="I3" s="1844"/>
      <c r="J3" s="1845"/>
      <c r="K3" s="1830" t="s">
        <v>984</v>
      </c>
      <c r="L3" s="1831"/>
      <c r="M3" s="1832"/>
      <c r="N3" s="1830" t="s">
        <v>470</v>
      </c>
      <c r="O3" s="1832"/>
      <c r="P3" s="1848" t="s">
        <v>739</v>
      </c>
    </row>
    <row r="4" spans="1:69" s="262" customFormat="1" ht="23.25" customHeight="1">
      <c r="A4" s="1839"/>
      <c r="B4" s="1835"/>
      <c r="C4" s="1835"/>
      <c r="D4" s="1835"/>
      <c r="E4" s="1836"/>
      <c r="F4" s="1816" t="s">
        <v>239</v>
      </c>
      <c r="G4" s="1816"/>
      <c r="H4" s="1801" t="s">
        <v>1356</v>
      </c>
      <c r="I4" s="1801"/>
      <c r="J4" s="1801"/>
      <c r="K4" s="1837" t="s">
        <v>240</v>
      </c>
      <c r="L4" s="1838"/>
      <c r="M4" s="1785" t="s">
        <v>1503</v>
      </c>
      <c r="N4" s="1846" t="s">
        <v>1892</v>
      </c>
      <c r="O4" s="1847"/>
      <c r="P4" s="1849"/>
    </row>
    <row r="5" spans="1:69" s="262" customFormat="1" ht="21.75" customHeight="1">
      <c r="A5" s="1839"/>
      <c r="B5" s="1827" t="s">
        <v>1335</v>
      </c>
      <c r="C5" s="1823" t="s">
        <v>1336</v>
      </c>
      <c r="D5" s="1823" t="s">
        <v>1337</v>
      </c>
      <c r="E5" s="1823" t="s">
        <v>1338</v>
      </c>
      <c r="F5" s="1816" t="s">
        <v>838</v>
      </c>
      <c r="G5" s="1816" t="s">
        <v>839</v>
      </c>
      <c r="H5" s="1816" t="s">
        <v>1340</v>
      </c>
      <c r="I5" s="1816" t="s">
        <v>238</v>
      </c>
      <c r="J5" s="1816" t="s">
        <v>748</v>
      </c>
      <c r="K5" s="1785" t="s">
        <v>1891</v>
      </c>
      <c r="L5" s="1785" t="s">
        <v>2109</v>
      </c>
      <c r="M5" s="1786"/>
      <c r="N5" s="1785" t="s">
        <v>1690</v>
      </c>
      <c r="O5" s="1785" t="s">
        <v>1689</v>
      </c>
      <c r="P5" s="1849"/>
    </row>
    <row r="6" spans="1:69" s="262" customFormat="1" ht="14.25" customHeight="1">
      <c r="A6" s="1839"/>
      <c r="B6" s="1828"/>
      <c r="C6" s="1824"/>
      <c r="D6" s="1824"/>
      <c r="E6" s="1824"/>
      <c r="F6" s="1817"/>
      <c r="G6" s="1817"/>
      <c r="H6" s="1817"/>
      <c r="I6" s="1817"/>
      <c r="J6" s="1817"/>
      <c r="K6" s="1787"/>
      <c r="L6" s="1787"/>
      <c r="M6" s="1787"/>
      <c r="N6" s="1787"/>
      <c r="O6" s="1787"/>
      <c r="P6" s="1849"/>
    </row>
    <row r="7" spans="1:69" s="38" customFormat="1" ht="12.75" customHeight="1">
      <c r="A7" s="1839"/>
      <c r="B7" s="1106">
        <v>1</v>
      </c>
      <c r="C7" s="49">
        <v>2</v>
      </c>
      <c r="D7" s="49">
        <v>3</v>
      </c>
      <c r="E7" s="49">
        <v>4</v>
      </c>
      <c r="F7" s="49">
        <v>5</v>
      </c>
      <c r="G7" s="49">
        <v>6</v>
      </c>
      <c r="H7" s="49">
        <v>7</v>
      </c>
      <c r="I7" s="49">
        <v>8</v>
      </c>
      <c r="J7" s="49">
        <v>9</v>
      </c>
      <c r="K7" s="49">
        <v>10</v>
      </c>
      <c r="L7" s="49">
        <v>11</v>
      </c>
      <c r="M7" s="49">
        <v>12</v>
      </c>
      <c r="N7" s="49">
        <v>13</v>
      </c>
      <c r="O7" s="49">
        <v>14</v>
      </c>
      <c r="P7" s="1850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  <c r="AC7" s="35"/>
      <c r="AD7" s="35"/>
      <c r="AE7" s="35"/>
      <c r="AF7" s="35"/>
      <c r="AG7" s="35"/>
      <c r="AH7" s="35"/>
      <c r="AI7" s="35"/>
      <c r="AJ7" s="35"/>
      <c r="AK7" s="35"/>
      <c r="AL7" s="35"/>
      <c r="AM7" s="35"/>
      <c r="AN7" s="35"/>
      <c r="AO7" s="35"/>
      <c r="AP7" s="35"/>
      <c r="AQ7" s="35"/>
      <c r="AR7" s="35"/>
      <c r="AS7" s="35"/>
      <c r="AT7" s="35"/>
      <c r="AU7" s="35"/>
      <c r="AV7" s="35"/>
      <c r="AW7" s="35"/>
      <c r="AX7" s="35"/>
      <c r="AY7" s="35"/>
      <c r="AZ7" s="35"/>
      <c r="BA7" s="35"/>
      <c r="BB7" s="35"/>
      <c r="BC7" s="35"/>
      <c r="BD7" s="35"/>
      <c r="BE7" s="35"/>
      <c r="BF7" s="35"/>
      <c r="BG7" s="35"/>
      <c r="BH7" s="35"/>
      <c r="BI7" s="35"/>
      <c r="BJ7" s="35"/>
      <c r="BK7" s="35"/>
      <c r="BL7" s="35"/>
      <c r="BM7" s="35"/>
      <c r="BN7" s="35"/>
      <c r="BO7" s="35"/>
      <c r="BP7" s="35"/>
      <c r="BQ7" s="35"/>
    </row>
    <row r="8" spans="1:69" s="142" customFormat="1" ht="9.75" customHeight="1">
      <c r="A8" s="491" t="s">
        <v>98</v>
      </c>
      <c r="B8" s="433" t="s">
        <v>481</v>
      </c>
      <c r="C8" s="434">
        <v>8.6999999999999993</v>
      </c>
      <c r="D8" s="433" t="s">
        <v>481</v>
      </c>
      <c r="E8" s="434">
        <v>7.31</v>
      </c>
      <c r="F8" s="433" t="s">
        <v>481</v>
      </c>
      <c r="G8" s="433" t="s">
        <v>481</v>
      </c>
      <c r="H8" s="433">
        <v>442</v>
      </c>
      <c r="I8" s="433">
        <v>65</v>
      </c>
      <c r="J8" s="433">
        <v>517</v>
      </c>
      <c r="K8" s="433">
        <v>16204.7</v>
      </c>
      <c r="L8" s="427">
        <v>23738.400000000001</v>
      </c>
      <c r="M8" s="427">
        <v>10749.7</v>
      </c>
      <c r="N8" s="537">
        <v>69.184200000000004</v>
      </c>
      <c r="O8" s="537">
        <v>69.441000000000003</v>
      </c>
      <c r="P8" s="538" t="s">
        <v>98</v>
      </c>
    </row>
    <row r="9" spans="1:69" s="547" customFormat="1" ht="9.75" customHeight="1">
      <c r="A9" s="534" t="s">
        <v>241</v>
      </c>
      <c r="B9" s="328">
        <v>11.14</v>
      </c>
      <c r="C9" s="328">
        <v>10.17</v>
      </c>
      <c r="D9" s="328" t="s">
        <v>481</v>
      </c>
      <c r="E9" s="511">
        <v>8.8000000000000007</v>
      </c>
      <c r="F9" s="328" t="s">
        <v>481</v>
      </c>
      <c r="G9" s="328" t="s">
        <v>481</v>
      </c>
      <c r="H9" s="708">
        <v>520.5</v>
      </c>
      <c r="I9" s="708">
        <v>58.416666666666664</v>
      </c>
      <c r="J9" s="708">
        <v>596.14806625547919</v>
      </c>
      <c r="K9" s="337">
        <v>22928.2</v>
      </c>
      <c r="L9" s="337">
        <v>33657.5</v>
      </c>
      <c r="M9" s="337">
        <v>10911.6</v>
      </c>
      <c r="N9" s="546">
        <v>71.216399999999993</v>
      </c>
      <c r="O9" s="546">
        <v>74.149299999999997</v>
      </c>
      <c r="P9" s="545" t="s">
        <v>241</v>
      </c>
    </row>
    <row r="10" spans="1:69" s="547" customFormat="1" ht="9.75" customHeight="1">
      <c r="A10" s="491" t="s">
        <v>1142</v>
      </c>
      <c r="B10" s="433">
        <v>5.54</v>
      </c>
      <c r="C10" s="433">
        <v>8.56</v>
      </c>
      <c r="D10" s="433" t="s">
        <v>481</v>
      </c>
      <c r="E10" s="434">
        <v>10.62</v>
      </c>
      <c r="F10" s="433" t="s">
        <v>481</v>
      </c>
      <c r="G10" s="433" t="s">
        <v>481</v>
      </c>
      <c r="H10" s="435">
        <v>570.41666666666663</v>
      </c>
      <c r="I10" s="435">
        <v>73.75</v>
      </c>
      <c r="J10" s="435">
        <v>651.7398366887777</v>
      </c>
      <c r="K10" s="427">
        <v>24302.000000000004</v>
      </c>
      <c r="L10" s="427">
        <v>35516.300000000003</v>
      </c>
      <c r="M10" s="427">
        <v>10364.4</v>
      </c>
      <c r="N10" s="537">
        <v>79.2102</v>
      </c>
      <c r="O10" s="537">
        <v>81.815799999999996</v>
      </c>
      <c r="P10" s="538" t="s">
        <v>1142</v>
      </c>
    </row>
    <row r="11" spans="1:69" s="547" customFormat="1" ht="9.75" customHeight="1">
      <c r="A11" s="386" t="s">
        <v>1333</v>
      </c>
      <c r="B11" s="388">
        <v>8.0500000000000007</v>
      </c>
      <c r="C11" s="388">
        <v>7.97</v>
      </c>
      <c r="D11" s="388">
        <v>6.78</v>
      </c>
      <c r="E11" s="389">
        <v>7.7</v>
      </c>
      <c r="F11" s="388" t="s">
        <v>481</v>
      </c>
      <c r="G11" s="388" t="s">
        <v>481</v>
      </c>
      <c r="H11" s="577">
        <v>620.91666666666663</v>
      </c>
      <c r="I11" s="577">
        <v>83.75</v>
      </c>
      <c r="J11" s="577">
        <v>708.87122270064776</v>
      </c>
      <c r="K11" s="343">
        <v>27027.45</v>
      </c>
      <c r="L11" s="343">
        <v>34083.599999999999</v>
      </c>
      <c r="M11" s="343">
        <v>15315.2</v>
      </c>
      <c r="N11" s="551">
        <v>79.935900000000004</v>
      </c>
      <c r="O11" s="551">
        <v>77.759299999999996</v>
      </c>
      <c r="P11" s="574" t="s">
        <v>1333</v>
      </c>
    </row>
    <row r="12" spans="1:69" s="388" customFormat="1" ht="9.75" customHeight="1">
      <c r="A12" s="491" t="s">
        <v>1664</v>
      </c>
      <c r="B12" s="434">
        <v>6.97</v>
      </c>
      <c r="C12" s="434" t="s">
        <v>481</v>
      </c>
      <c r="D12" s="434">
        <v>7.35</v>
      </c>
      <c r="E12" s="434" t="s">
        <v>481</v>
      </c>
      <c r="F12" s="434" t="s">
        <v>481</v>
      </c>
      <c r="G12" s="434" t="s">
        <v>481</v>
      </c>
      <c r="H12" s="434" t="s">
        <v>481</v>
      </c>
      <c r="I12" s="434" t="s">
        <v>481</v>
      </c>
      <c r="J12" s="434" t="s">
        <v>481</v>
      </c>
      <c r="K12" s="427">
        <v>30186.62</v>
      </c>
      <c r="L12" s="427">
        <v>40731.9</v>
      </c>
      <c r="M12" s="427">
        <v>21507.992999999999</v>
      </c>
      <c r="N12" s="537">
        <v>77.72</v>
      </c>
      <c r="O12" s="537">
        <v>77.63</v>
      </c>
      <c r="P12" s="538" t="s">
        <v>1664</v>
      </c>
    </row>
    <row r="13" spans="1:69" s="388" customFormat="1" ht="9.75" customHeight="1">
      <c r="A13" s="386" t="s">
        <v>1754</v>
      </c>
      <c r="B13" s="389">
        <v>6.25</v>
      </c>
      <c r="C13" s="389" t="s">
        <v>481</v>
      </c>
      <c r="D13" s="389">
        <v>6.4</v>
      </c>
      <c r="E13" s="389" t="s">
        <v>481</v>
      </c>
      <c r="F13" s="389" t="s">
        <v>481</v>
      </c>
      <c r="G13" s="389" t="s">
        <v>481</v>
      </c>
      <c r="H13" s="389" t="s">
        <v>481</v>
      </c>
      <c r="I13" s="389" t="s">
        <v>481</v>
      </c>
      <c r="J13" s="389" t="s">
        <v>481</v>
      </c>
      <c r="K13" s="343">
        <v>31208.949999999997</v>
      </c>
      <c r="L13" s="343">
        <v>40579.300000000003</v>
      </c>
      <c r="M13" s="343">
        <v>25025.200000000001</v>
      </c>
      <c r="N13" s="551">
        <v>77.674999999999997</v>
      </c>
      <c r="O13" s="551">
        <v>77.800399999999996</v>
      </c>
      <c r="P13" s="574" t="s">
        <v>1754</v>
      </c>
    </row>
    <row r="14" spans="1:69" s="388" customFormat="1" ht="9.75" customHeight="1">
      <c r="A14" s="548" t="s">
        <v>1954</v>
      </c>
      <c r="B14" s="510">
        <v>5.53</v>
      </c>
      <c r="C14" s="510" t="s">
        <v>481</v>
      </c>
      <c r="D14" s="510">
        <v>5.92</v>
      </c>
      <c r="E14" s="510" t="s">
        <v>481</v>
      </c>
      <c r="F14" s="510" t="s">
        <v>481</v>
      </c>
      <c r="G14" s="510" t="s">
        <v>481</v>
      </c>
      <c r="H14" s="510" t="s">
        <v>481</v>
      </c>
      <c r="I14" s="510" t="s">
        <v>481</v>
      </c>
      <c r="J14" s="510" t="s">
        <v>481</v>
      </c>
      <c r="K14" s="509">
        <v>34257.18</v>
      </c>
      <c r="L14" s="509">
        <v>40097.399999999994</v>
      </c>
      <c r="M14" s="509">
        <v>30168.23</v>
      </c>
      <c r="N14" s="797">
        <v>78.268600000000006</v>
      </c>
      <c r="O14" s="797">
        <v>78.400000000000006</v>
      </c>
      <c r="P14" s="549" t="s">
        <v>1954</v>
      </c>
    </row>
    <row r="15" spans="1:69" s="388" customFormat="1" ht="9.75" customHeight="1">
      <c r="A15" s="550" t="s">
        <v>2046</v>
      </c>
      <c r="B15" s="523">
        <f>B27</f>
        <v>5.94</v>
      </c>
      <c r="C15" s="523" t="s">
        <v>481</v>
      </c>
      <c r="D15" s="523">
        <f>D27</f>
        <v>5.44</v>
      </c>
      <c r="E15" s="523" t="s">
        <v>481</v>
      </c>
      <c r="F15" s="523" t="s">
        <v>481</v>
      </c>
      <c r="G15" s="523" t="s">
        <v>481</v>
      </c>
      <c r="H15" s="523" t="s">
        <v>481</v>
      </c>
      <c r="I15" s="523" t="s">
        <v>481</v>
      </c>
      <c r="J15" s="523" t="s">
        <v>481</v>
      </c>
      <c r="K15" s="522">
        <f>SUM(K16:K27)</f>
        <v>34655.899999999994</v>
      </c>
      <c r="L15" s="522">
        <f>SUM(L16:L27)</f>
        <v>43540.840000000004</v>
      </c>
      <c r="M15" s="522">
        <f>M27</f>
        <v>33492.949999999997</v>
      </c>
      <c r="N15" s="729">
        <v>79.132999999999996</v>
      </c>
      <c r="O15" s="729">
        <f>O27</f>
        <v>80.598799999999997</v>
      </c>
      <c r="P15" s="552" t="s">
        <v>2046</v>
      </c>
    </row>
    <row r="16" spans="1:69" s="388" customFormat="1" ht="9.75" customHeight="1">
      <c r="A16" s="491" t="s">
        <v>818</v>
      </c>
      <c r="B16" s="434">
        <v>5.4</v>
      </c>
      <c r="C16" s="434" t="s">
        <v>481</v>
      </c>
      <c r="D16" s="434">
        <v>5.84</v>
      </c>
      <c r="E16" s="434" t="s">
        <v>481</v>
      </c>
      <c r="F16" s="434" t="s">
        <v>481</v>
      </c>
      <c r="G16" s="434" t="s">
        <v>481</v>
      </c>
      <c r="H16" s="434" t="s">
        <v>481</v>
      </c>
      <c r="I16" s="434" t="s">
        <v>481</v>
      </c>
      <c r="J16" s="434" t="s">
        <v>481</v>
      </c>
      <c r="K16" s="427">
        <v>2534.31</v>
      </c>
      <c r="L16" s="427">
        <v>2980.7999999999997</v>
      </c>
      <c r="M16" s="427">
        <v>30039.29</v>
      </c>
      <c r="N16" s="537">
        <v>78.400000000000006</v>
      </c>
      <c r="O16" s="537">
        <v>78.400000000000006</v>
      </c>
      <c r="P16" s="538" t="s">
        <v>818</v>
      </c>
    </row>
    <row r="17" spans="1:16" s="388" customFormat="1" ht="9.75" customHeight="1">
      <c r="A17" s="386" t="s">
        <v>819</v>
      </c>
      <c r="B17" s="389">
        <v>5.37</v>
      </c>
      <c r="C17" s="389" t="s">
        <v>481</v>
      </c>
      <c r="D17" s="389">
        <v>5.77</v>
      </c>
      <c r="E17" s="389" t="s">
        <v>481</v>
      </c>
      <c r="F17" s="389" t="s">
        <v>481</v>
      </c>
      <c r="G17" s="389" t="s">
        <v>481</v>
      </c>
      <c r="H17" s="389" t="s">
        <v>481</v>
      </c>
      <c r="I17" s="389" t="s">
        <v>481</v>
      </c>
      <c r="J17" s="389" t="s">
        <v>481</v>
      </c>
      <c r="K17" s="343">
        <v>3288.65</v>
      </c>
      <c r="L17" s="343">
        <v>3461.8</v>
      </c>
      <c r="M17" s="343">
        <v>31165.06</v>
      </c>
      <c r="N17" s="551">
        <v>78.400000000000006</v>
      </c>
      <c r="O17" s="551">
        <v>78.400000000000006</v>
      </c>
      <c r="P17" s="574" t="s">
        <v>819</v>
      </c>
    </row>
    <row r="18" spans="1:16" s="388" customFormat="1" ht="9.75" customHeight="1">
      <c r="A18" s="491" t="s">
        <v>813</v>
      </c>
      <c r="B18" s="434">
        <v>5.53</v>
      </c>
      <c r="C18" s="434" t="s">
        <v>481</v>
      </c>
      <c r="D18" s="434">
        <v>5.71</v>
      </c>
      <c r="E18" s="434" t="s">
        <v>481</v>
      </c>
      <c r="F18" s="434" t="s">
        <v>481</v>
      </c>
      <c r="G18" s="434" t="s">
        <v>481</v>
      </c>
      <c r="H18" s="434" t="s">
        <v>481</v>
      </c>
      <c r="I18" s="434" t="s">
        <v>481</v>
      </c>
      <c r="J18" s="434" t="s">
        <v>481</v>
      </c>
      <c r="K18" s="427">
        <v>2255.86</v>
      </c>
      <c r="L18" s="427">
        <v>3192.2999999999997</v>
      </c>
      <c r="M18" s="427">
        <v>31385.87</v>
      </c>
      <c r="N18" s="537">
        <v>78.400000000000006</v>
      </c>
      <c r="O18" s="537">
        <v>78.400000000000006</v>
      </c>
      <c r="P18" s="538" t="s">
        <v>813</v>
      </c>
    </row>
    <row r="19" spans="1:16" s="388" customFormat="1" ht="9.75" customHeight="1">
      <c r="A19" s="386" t="s">
        <v>820</v>
      </c>
      <c r="B19" s="389">
        <v>5.57</v>
      </c>
      <c r="C19" s="389" t="s">
        <v>481</v>
      </c>
      <c r="D19" s="389">
        <v>5.66</v>
      </c>
      <c r="E19" s="389" t="s">
        <v>481</v>
      </c>
      <c r="F19" s="389" t="s">
        <v>481</v>
      </c>
      <c r="G19" s="389" t="s">
        <v>481</v>
      </c>
      <c r="H19" s="389" t="s">
        <v>481</v>
      </c>
      <c r="I19" s="389" t="s">
        <v>481</v>
      </c>
      <c r="J19" s="389" t="s">
        <v>481</v>
      </c>
      <c r="K19" s="343">
        <v>2671.54</v>
      </c>
      <c r="L19" s="343">
        <v>3587.0000000000005</v>
      </c>
      <c r="M19" s="343">
        <v>31895.31</v>
      </c>
      <c r="N19" s="551">
        <v>78.400800000000004</v>
      </c>
      <c r="O19" s="551">
        <v>78.4148</v>
      </c>
      <c r="P19" s="574" t="s">
        <v>820</v>
      </c>
    </row>
    <row r="20" spans="1:16" s="388" customFormat="1" ht="9.75" customHeight="1">
      <c r="A20" s="491" t="s">
        <v>821</v>
      </c>
      <c r="B20" s="434">
        <v>5.38</v>
      </c>
      <c r="C20" s="434" t="s">
        <v>481</v>
      </c>
      <c r="D20" s="434">
        <v>5.6</v>
      </c>
      <c r="E20" s="434" t="s">
        <v>481</v>
      </c>
      <c r="F20" s="434" t="s">
        <v>481</v>
      </c>
      <c r="G20" s="434" t="s">
        <v>481</v>
      </c>
      <c r="H20" s="434" t="s">
        <v>481</v>
      </c>
      <c r="I20" s="434" t="s">
        <v>481</v>
      </c>
      <c r="J20" s="434" t="s">
        <v>481</v>
      </c>
      <c r="K20" s="432">
        <v>2878.09</v>
      </c>
      <c r="L20" s="427">
        <v>4018.1</v>
      </c>
      <c r="M20" s="427">
        <v>31370.880000000001</v>
      </c>
      <c r="N20" s="537">
        <v>78.547200000000004</v>
      </c>
      <c r="O20" s="537">
        <v>78.719700000000003</v>
      </c>
      <c r="P20" s="538" t="s">
        <v>821</v>
      </c>
    </row>
    <row r="21" spans="1:16" s="388" customFormat="1" ht="9.75" customHeight="1">
      <c r="A21" s="386" t="s">
        <v>814</v>
      </c>
      <c r="B21" s="389">
        <v>5.03</v>
      </c>
      <c r="C21" s="389" t="s">
        <v>481</v>
      </c>
      <c r="D21" s="389">
        <v>5.51</v>
      </c>
      <c r="E21" s="389" t="s">
        <v>481</v>
      </c>
      <c r="F21" s="389" t="s">
        <v>481</v>
      </c>
      <c r="G21" s="389" t="s">
        <v>481</v>
      </c>
      <c r="H21" s="389" t="s">
        <v>481</v>
      </c>
      <c r="I21" s="389" t="s">
        <v>481</v>
      </c>
      <c r="J21" s="389" t="s">
        <v>481</v>
      </c>
      <c r="K21" s="78">
        <v>3092.6</v>
      </c>
      <c r="L21" s="343">
        <v>3654.9000000000005</v>
      </c>
      <c r="M21" s="343">
        <v>32092.19</v>
      </c>
      <c r="N21" s="551">
        <v>78.804000000000002</v>
      </c>
      <c r="O21" s="551">
        <v>78.702200000000005</v>
      </c>
      <c r="P21" s="574" t="s">
        <v>814</v>
      </c>
    </row>
    <row r="22" spans="1:16" s="388" customFormat="1" ht="9.75" customHeight="1">
      <c r="A22" s="491" t="s">
        <v>822</v>
      </c>
      <c r="B22" s="434">
        <v>5.15</v>
      </c>
      <c r="C22" s="434" t="s">
        <v>481</v>
      </c>
      <c r="D22" s="434">
        <v>5.44</v>
      </c>
      <c r="E22" s="434" t="s">
        <v>481</v>
      </c>
      <c r="F22" s="434" t="s">
        <v>481</v>
      </c>
      <c r="G22" s="434" t="s">
        <v>481</v>
      </c>
      <c r="H22" s="434" t="s">
        <v>481</v>
      </c>
      <c r="I22" s="434" t="s">
        <v>481</v>
      </c>
      <c r="J22" s="434" t="s">
        <v>481</v>
      </c>
      <c r="K22" s="432">
        <v>3292.23</v>
      </c>
      <c r="L22" s="427">
        <v>4161.7</v>
      </c>
      <c r="M22" s="427">
        <v>31724.17</v>
      </c>
      <c r="N22" s="537">
        <v>78.853399999999993</v>
      </c>
      <c r="O22" s="537">
        <v>79.069500000000005</v>
      </c>
      <c r="P22" s="538" t="s">
        <v>822</v>
      </c>
    </row>
    <row r="23" spans="1:16" s="388" customFormat="1" ht="9.75" customHeight="1">
      <c r="A23" s="386" t="s">
        <v>823</v>
      </c>
      <c r="B23" s="389">
        <v>5.31</v>
      </c>
      <c r="C23" s="389" t="s">
        <v>481</v>
      </c>
      <c r="D23" s="389">
        <v>5.41</v>
      </c>
      <c r="E23" s="389" t="s">
        <v>481</v>
      </c>
      <c r="F23" s="389" t="s">
        <v>481</v>
      </c>
      <c r="G23" s="389" t="s">
        <v>481</v>
      </c>
      <c r="H23" s="389" t="s">
        <v>481</v>
      </c>
      <c r="I23" s="389" t="s">
        <v>481</v>
      </c>
      <c r="J23" s="389" t="s">
        <v>481</v>
      </c>
      <c r="K23" s="78">
        <v>2705.99</v>
      </c>
      <c r="L23" s="343">
        <v>3448.94</v>
      </c>
      <c r="M23" s="343">
        <v>32556.66</v>
      </c>
      <c r="N23" s="551">
        <v>79.236000000000004</v>
      </c>
      <c r="O23" s="551">
        <v>79.369699999999995</v>
      </c>
      <c r="P23" s="574" t="s">
        <v>823</v>
      </c>
    </row>
    <row r="24" spans="1:16" s="388" customFormat="1" ht="9.75" customHeight="1">
      <c r="A24" s="491" t="s">
        <v>815</v>
      </c>
      <c r="B24" s="434">
        <v>5.39</v>
      </c>
      <c r="C24" s="434" t="s">
        <v>481</v>
      </c>
      <c r="D24" s="434">
        <v>5.39</v>
      </c>
      <c r="E24" s="434" t="s">
        <v>481</v>
      </c>
      <c r="F24" s="434" t="s">
        <v>481</v>
      </c>
      <c r="G24" s="434" t="s">
        <v>481</v>
      </c>
      <c r="H24" s="434" t="s">
        <v>481</v>
      </c>
      <c r="I24" s="434" t="s">
        <v>481</v>
      </c>
      <c r="J24" s="434" t="s">
        <v>481</v>
      </c>
      <c r="K24" s="432">
        <v>3097.33</v>
      </c>
      <c r="L24" s="427">
        <v>3926.2</v>
      </c>
      <c r="M24" s="427">
        <v>32215.19</v>
      </c>
      <c r="N24" s="537">
        <v>79.535200000000003</v>
      </c>
      <c r="O24" s="537">
        <v>79.67</v>
      </c>
      <c r="P24" s="538" t="s">
        <v>815</v>
      </c>
    </row>
    <row r="25" spans="1:16" s="388" customFormat="1" ht="9.75" customHeight="1">
      <c r="A25" s="386" t="s">
        <v>824</v>
      </c>
      <c r="B25" s="389">
        <v>5.47</v>
      </c>
      <c r="C25" s="389" t="s">
        <v>481</v>
      </c>
      <c r="D25" s="389">
        <v>5.38</v>
      </c>
      <c r="E25" s="389" t="s">
        <v>481</v>
      </c>
      <c r="F25" s="389" t="s">
        <v>481</v>
      </c>
      <c r="G25" s="389" t="s">
        <v>481</v>
      </c>
      <c r="H25" s="389" t="s">
        <v>481</v>
      </c>
      <c r="I25" s="389" t="s">
        <v>481</v>
      </c>
      <c r="J25" s="389" t="s">
        <v>481</v>
      </c>
      <c r="K25" s="78">
        <v>2758.6</v>
      </c>
      <c r="L25" s="343">
        <v>3868.9</v>
      </c>
      <c r="M25" s="343">
        <v>32518.77</v>
      </c>
      <c r="N25" s="551">
        <v>79.8322</v>
      </c>
      <c r="O25" s="551">
        <v>80.23</v>
      </c>
      <c r="P25" s="574" t="s">
        <v>824</v>
      </c>
    </row>
    <row r="26" spans="1:16" s="388" customFormat="1" ht="9.75" customHeight="1">
      <c r="A26" s="491" t="s">
        <v>825</v>
      </c>
      <c r="B26" s="434">
        <v>5.76</v>
      </c>
      <c r="C26" s="434" t="s">
        <v>481</v>
      </c>
      <c r="D26" s="434">
        <v>5.41</v>
      </c>
      <c r="E26" s="434" t="s">
        <v>481</v>
      </c>
      <c r="F26" s="434" t="s">
        <v>481</v>
      </c>
      <c r="G26" s="434" t="s">
        <v>481</v>
      </c>
      <c r="H26" s="434" t="s">
        <v>481</v>
      </c>
      <c r="I26" s="434" t="s">
        <v>481</v>
      </c>
      <c r="J26" s="434" t="s">
        <v>481</v>
      </c>
      <c r="K26" s="432">
        <v>3047.67</v>
      </c>
      <c r="L26" s="427">
        <v>3944.2999999999993</v>
      </c>
      <c r="M26" s="427">
        <v>32245.69</v>
      </c>
      <c r="N26" s="537">
        <v>80.492599999999996</v>
      </c>
      <c r="O26" s="537">
        <v>80.551599999999993</v>
      </c>
      <c r="P26" s="538" t="s">
        <v>825</v>
      </c>
    </row>
    <row r="27" spans="1:16" s="388" customFormat="1" ht="9.75" customHeight="1">
      <c r="A27" s="386" t="s">
        <v>816</v>
      </c>
      <c r="B27" s="389">
        <v>5.94</v>
      </c>
      <c r="C27" s="389" t="s">
        <v>481</v>
      </c>
      <c r="D27" s="389">
        <v>5.44</v>
      </c>
      <c r="E27" s="389" t="s">
        <v>481</v>
      </c>
      <c r="F27" s="389" t="s">
        <v>481</v>
      </c>
      <c r="G27" s="389" t="s">
        <v>481</v>
      </c>
      <c r="H27" s="389" t="s">
        <v>481</v>
      </c>
      <c r="I27" s="389" t="s">
        <v>481</v>
      </c>
      <c r="J27" s="389" t="s">
        <v>481</v>
      </c>
      <c r="K27" s="78">
        <v>3033.03</v>
      </c>
      <c r="L27" s="343">
        <v>3295.8999999999996</v>
      </c>
      <c r="M27" s="343">
        <v>33492.949999999997</v>
      </c>
      <c r="N27" s="551">
        <v>80.587400000000002</v>
      </c>
      <c r="O27" s="551">
        <v>80.598799999999997</v>
      </c>
      <c r="P27" s="574" t="s">
        <v>816</v>
      </c>
    </row>
    <row r="28" spans="1:16" s="388" customFormat="1" ht="9.75" customHeight="1">
      <c r="A28" s="548" t="s">
        <v>2268</v>
      </c>
      <c r="B28" s="510">
        <f>B40</f>
        <v>5.54</v>
      </c>
      <c r="C28" s="510" t="s">
        <v>481</v>
      </c>
      <c r="D28" s="510">
        <f>D40</f>
        <v>5.78</v>
      </c>
      <c r="E28" s="510" t="s">
        <v>481</v>
      </c>
      <c r="F28" s="510" t="s">
        <v>481</v>
      </c>
      <c r="G28" s="510" t="s">
        <v>481</v>
      </c>
      <c r="H28" s="510" t="s">
        <v>481</v>
      </c>
      <c r="I28" s="510" t="s">
        <v>481</v>
      </c>
      <c r="J28" s="510" t="s">
        <v>481</v>
      </c>
      <c r="K28" s="509">
        <f>SUM(K29:K40)</f>
        <v>36668.170000000006</v>
      </c>
      <c r="L28" s="509">
        <f>SUM(L29:L40)</f>
        <v>52939.600000000006</v>
      </c>
      <c r="M28" s="509">
        <f>M40</f>
        <v>32943.46</v>
      </c>
      <c r="N28" s="797">
        <v>82.107699999999994</v>
      </c>
      <c r="O28" s="797">
        <f>O40</f>
        <v>83.702200000000005</v>
      </c>
      <c r="P28" s="549" t="s">
        <v>2268</v>
      </c>
    </row>
    <row r="29" spans="1:16" s="388" customFormat="1" ht="9.75" customHeight="1">
      <c r="A29" s="386" t="s">
        <v>818</v>
      </c>
      <c r="B29" s="389">
        <v>5.57</v>
      </c>
      <c r="C29" s="389" t="s">
        <v>481</v>
      </c>
      <c r="D29" s="389">
        <v>5.45</v>
      </c>
      <c r="E29" s="389" t="s">
        <v>481</v>
      </c>
      <c r="F29" s="389" t="s">
        <v>481</v>
      </c>
      <c r="G29" s="389" t="s">
        <v>481</v>
      </c>
      <c r="H29" s="389" t="s">
        <v>481</v>
      </c>
      <c r="I29" s="389" t="s">
        <v>481</v>
      </c>
      <c r="J29" s="389" t="s">
        <v>481</v>
      </c>
      <c r="K29" s="78">
        <v>2987.66</v>
      </c>
      <c r="L29" s="343">
        <v>3997.2</v>
      </c>
      <c r="M29" s="343">
        <v>32993.980000000003</v>
      </c>
      <c r="N29" s="551">
        <v>80.626300000000001</v>
      </c>
      <c r="O29" s="551">
        <v>80.66</v>
      </c>
      <c r="P29" s="574" t="s">
        <v>818</v>
      </c>
    </row>
    <row r="30" spans="1:16" s="388" customFormat="1" ht="9.75" customHeight="1">
      <c r="A30" s="491" t="s">
        <v>819</v>
      </c>
      <c r="B30" s="434">
        <v>5.89</v>
      </c>
      <c r="C30" s="434" t="s">
        <v>481</v>
      </c>
      <c r="D30" s="434">
        <v>5.5</v>
      </c>
      <c r="E30" s="434" t="s">
        <v>481</v>
      </c>
      <c r="F30" s="434" t="s">
        <v>481</v>
      </c>
      <c r="G30" s="434" t="s">
        <v>481</v>
      </c>
      <c r="H30" s="434" t="s">
        <v>481</v>
      </c>
      <c r="I30" s="434" t="s">
        <v>481</v>
      </c>
      <c r="J30" s="434" t="s">
        <v>481</v>
      </c>
      <c r="K30" s="432">
        <v>3640.94</v>
      </c>
      <c r="L30" s="427">
        <v>4045.6</v>
      </c>
      <c r="M30" s="427">
        <v>33596.25</v>
      </c>
      <c r="N30" s="537">
        <v>80.693899999999999</v>
      </c>
      <c r="O30" s="537">
        <v>80.7</v>
      </c>
      <c r="P30" s="538" t="s">
        <v>819</v>
      </c>
    </row>
    <row r="31" spans="1:16" s="388" customFormat="1" ht="9.75" customHeight="1">
      <c r="A31" s="386" t="s">
        <v>813</v>
      </c>
      <c r="B31" s="389">
        <v>6.12</v>
      </c>
      <c r="C31" s="389" t="s">
        <v>481</v>
      </c>
      <c r="D31" s="389">
        <v>5.55</v>
      </c>
      <c r="E31" s="389" t="s">
        <v>481</v>
      </c>
      <c r="F31" s="389" t="s">
        <v>481</v>
      </c>
      <c r="G31" s="389" t="s">
        <v>481</v>
      </c>
      <c r="H31" s="389" t="s">
        <v>481</v>
      </c>
      <c r="I31" s="389" t="s">
        <v>481</v>
      </c>
      <c r="J31" s="389" t="s">
        <v>481</v>
      </c>
      <c r="K31" s="78">
        <v>2034.13</v>
      </c>
      <c r="L31" s="343">
        <v>3848.4</v>
      </c>
      <c r="M31" s="343">
        <v>32816.589999999997</v>
      </c>
      <c r="N31" s="551">
        <v>80.737700000000004</v>
      </c>
      <c r="O31" s="551">
        <v>80.8</v>
      </c>
      <c r="P31" s="574" t="s">
        <v>813</v>
      </c>
    </row>
    <row r="32" spans="1:16" s="388" customFormat="1" ht="9.75" customHeight="1">
      <c r="A32" s="491" t="s">
        <v>820</v>
      </c>
      <c r="B32" s="434">
        <v>6.04</v>
      </c>
      <c r="C32" s="434" t="s">
        <v>481</v>
      </c>
      <c r="D32" s="434">
        <v>5.59</v>
      </c>
      <c r="E32" s="434" t="s">
        <v>481</v>
      </c>
      <c r="F32" s="434" t="s">
        <v>481</v>
      </c>
      <c r="G32" s="434" t="s">
        <v>481</v>
      </c>
      <c r="H32" s="434" t="s">
        <v>481</v>
      </c>
      <c r="I32" s="434" t="s">
        <v>481</v>
      </c>
      <c r="J32" s="434" t="s">
        <v>481</v>
      </c>
      <c r="K32" s="432">
        <v>2843.07</v>
      </c>
      <c r="L32" s="427">
        <v>4400.3</v>
      </c>
      <c r="M32" s="427">
        <v>33452.9</v>
      </c>
      <c r="N32" s="537">
        <v>80.821700000000007</v>
      </c>
      <c r="O32" s="537">
        <v>80.868099999999998</v>
      </c>
      <c r="P32" s="538" t="s">
        <v>820</v>
      </c>
    </row>
    <row r="33" spans="1:18" s="388" customFormat="1" ht="9.75" customHeight="1">
      <c r="A33" s="386" t="s">
        <v>821</v>
      </c>
      <c r="B33" s="389">
        <v>5.91</v>
      </c>
      <c r="C33" s="389" t="s">
        <v>481</v>
      </c>
      <c r="D33" s="389">
        <v>5.64</v>
      </c>
      <c r="E33" s="389" t="s">
        <v>481</v>
      </c>
      <c r="F33" s="389" t="s">
        <v>481</v>
      </c>
      <c r="G33" s="389" t="s">
        <v>481</v>
      </c>
      <c r="H33" s="389" t="s">
        <v>481</v>
      </c>
      <c r="I33" s="389" t="s">
        <v>481</v>
      </c>
      <c r="J33" s="389" t="s">
        <v>481</v>
      </c>
      <c r="K33" s="78">
        <v>3057.11</v>
      </c>
      <c r="L33" s="343">
        <v>4448.3999999999996</v>
      </c>
      <c r="M33" s="343">
        <v>32623.86</v>
      </c>
      <c r="N33" s="551">
        <v>81.284199999999998</v>
      </c>
      <c r="O33" s="551">
        <v>82.3</v>
      </c>
      <c r="P33" s="574" t="s">
        <v>821</v>
      </c>
    </row>
    <row r="34" spans="1:18" s="388" customFormat="1" ht="9.75" customHeight="1">
      <c r="A34" s="491" t="s">
        <v>814</v>
      </c>
      <c r="B34" s="434">
        <v>5.83</v>
      </c>
      <c r="C34" s="434" t="s">
        <v>481</v>
      </c>
      <c r="D34" s="434">
        <v>5.7</v>
      </c>
      <c r="E34" s="434" t="s">
        <v>481</v>
      </c>
      <c r="F34" s="434" t="s">
        <v>481</v>
      </c>
      <c r="G34" s="434" t="s">
        <v>481</v>
      </c>
      <c r="H34" s="434" t="s">
        <v>481</v>
      </c>
      <c r="I34" s="434" t="s">
        <v>481</v>
      </c>
      <c r="J34" s="434" t="s">
        <v>481</v>
      </c>
      <c r="K34" s="432">
        <v>3353.11</v>
      </c>
      <c r="L34" s="427">
        <v>4171.7</v>
      </c>
      <c r="M34" s="427">
        <v>33226.86</v>
      </c>
      <c r="N34" s="537">
        <v>82.549899999999994</v>
      </c>
      <c r="O34" s="537">
        <v>82.7</v>
      </c>
      <c r="P34" s="538" t="s">
        <v>814</v>
      </c>
      <c r="R34" s="1391"/>
    </row>
    <row r="35" spans="1:18" s="388" customFormat="1" ht="9.75" customHeight="1">
      <c r="A35" s="386" t="s">
        <v>822</v>
      </c>
      <c r="B35" s="389">
        <v>5.88</v>
      </c>
      <c r="C35" s="389" t="s">
        <v>481</v>
      </c>
      <c r="D35" s="389">
        <v>5.7633200488242498</v>
      </c>
      <c r="E35" s="389" t="s">
        <v>481</v>
      </c>
      <c r="F35" s="389" t="s">
        <v>481</v>
      </c>
      <c r="G35" s="389" t="s">
        <v>481</v>
      </c>
      <c r="H35" s="389" t="s">
        <v>481</v>
      </c>
      <c r="I35" s="389" t="s">
        <v>481</v>
      </c>
      <c r="J35" s="389" t="s">
        <v>481</v>
      </c>
      <c r="K35" s="78">
        <v>3408.88</v>
      </c>
      <c r="L35" s="343">
        <v>5054.5</v>
      </c>
      <c r="M35" s="343">
        <v>32694.69</v>
      </c>
      <c r="N35" s="551">
        <v>82.816800000000001</v>
      </c>
      <c r="O35" s="551">
        <v>82.9</v>
      </c>
      <c r="P35" s="574" t="s">
        <v>822</v>
      </c>
      <c r="R35" s="389"/>
    </row>
    <row r="36" spans="1:18" s="388" customFormat="1" ht="9.75" customHeight="1">
      <c r="A36" s="491" t="s">
        <v>823</v>
      </c>
      <c r="B36" s="434">
        <v>5.72</v>
      </c>
      <c r="C36" s="434" t="s">
        <v>481</v>
      </c>
      <c r="D36" s="434">
        <v>5.7965868408144328</v>
      </c>
      <c r="E36" s="434" t="s">
        <v>481</v>
      </c>
      <c r="F36" s="434" t="s">
        <v>481</v>
      </c>
      <c r="G36" s="434" t="s">
        <v>481</v>
      </c>
      <c r="H36" s="434" t="s">
        <v>481</v>
      </c>
      <c r="I36" s="434" t="s">
        <v>481</v>
      </c>
      <c r="J36" s="434" t="s">
        <v>481</v>
      </c>
      <c r="K36" s="432">
        <v>3072.15</v>
      </c>
      <c r="L36" s="427">
        <v>4369.5</v>
      </c>
      <c r="M36" s="427">
        <v>33368.99</v>
      </c>
      <c r="N36" s="537">
        <v>82.92</v>
      </c>
      <c r="O36" s="537">
        <v>82.96</v>
      </c>
      <c r="P36" s="538" t="s">
        <v>823</v>
      </c>
    </row>
    <row r="37" spans="1:18" s="388" customFormat="1" ht="9.75" customHeight="1">
      <c r="A37" s="386" t="s">
        <v>815</v>
      </c>
      <c r="B37" s="389">
        <v>5.68</v>
      </c>
      <c r="C37" s="389" t="s">
        <v>481</v>
      </c>
      <c r="D37" s="389">
        <v>5.8192592808566257</v>
      </c>
      <c r="E37" s="389" t="s">
        <v>481</v>
      </c>
      <c r="F37" s="389" t="s">
        <v>481</v>
      </c>
      <c r="G37" s="389" t="s">
        <v>481</v>
      </c>
      <c r="H37" s="389" t="s">
        <v>481</v>
      </c>
      <c r="I37" s="389" t="s">
        <v>481</v>
      </c>
      <c r="J37" s="389" t="s">
        <v>481</v>
      </c>
      <c r="K37" s="78">
        <v>3054.65</v>
      </c>
      <c r="L37" s="343">
        <v>4459.5</v>
      </c>
      <c r="M37" s="343">
        <v>32403.15</v>
      </c>
      <c r="N37" s="551">
        <v>82.96</v>
      </c>
      <c r="O37" s="551">
        <v>82.96</v>
      </c>
      <c r="P37" s="574" t="s">
        <v>815</v>
      </c>
    </row>
    <row r="38" spans="1:18" s="388" customFormat="1" ht="9.75" customHeight="1">
      <c r="A38" s="491" t="s">
        <v>824</v>
      </c>
      <c r="B38" s="434">
        <v>5.63</v>
      </c>
      <c r="C38" s="434" t="s">
        <v>481</v>
      </c>
      <c r="D38" s="434">
        <v>5.8319394201079122</v>
      </c>
      <c r="E38" s="434" t="s">
        <v>481</v>
      </c>
      <c r="F38" s="434" t="s">
        <v>481</v>
      </c>
      <c r="G38" s="434" t="s">
        <v>481</v>
      </c>
      <c r="H38" s="434" t="s">
        <v>481</v>
      </c>
      <c r="I38" s="434" t="s">
        <v>481</v>
      </c>
      <c r="J38" s="434" t="s">
        <v>481</v>
      </c>
      <c r="K38" s="432">
        <v>2954.71</v>
      </c>
      <c r="L38" s="427">
        <v>4870.5</v>
      </c>
      <c r="M38" s="427">
        <v>33094.26</v>
      </c>
      <c r="N38" s="537">
        <v>82.975200000000001</v>
      </c>
      <c r="O38" s="537">
        <v>82.98</v>
      </c>
      <c r="P38" s="538" t="s">
        <v>824</v>
      </c>
    </row>
    <row r="39" spans="1:18" s="388" customFormat="1" ht="9.75" customHeight="1">
      <c r="A39" s="386" t="s">
        <v>825</v>
      </c>
      <c r="B39" s="389">
        <v>5.57</v>
      </c>
      <c r="C39" s="389" t="s">
        <v>481</v>
      </c>
      <c r="D39" s="389">
        <v>5.82</v>
      </c>
      <c r="E39" s="389" t="s">
        <v>481</v>
      </c>
      <c r="F39" s="389" t="s">
        <v>481</v>
      </c>
      <c r="G39" s="389" t="s">
        <v>481</v>
      </c>
      <c r="H39" s="389" t="s">
        <v>481</v>
      </c>
      <c r="I39" s="389" t="s">
        <v>481</v>
      </c>
      <c r="J39" s="389" t="s">
        <v>481</v>
      </c>
      <c r="K39" s="78">
        <v>3322.41</v>
      </c>
      <c r="L39" s="343">
        <v>5435.2</v>
      </c>
      <c r="M39" s="343">
        <v>32348.09</v>
      </c>
      <c r="N39" s="551">
        <v>83.413700000000006</v>
      </c>
      <c r="O39" s="551">
        <v>83.7</v>
      </c>
      <c r="P39" s="574" t="s">
        <v>825</v>
      </c>
    </row>
    <row r="40" spans="1:18" s="388" customFormat="1" ht="9.75" customHeight="1">
      <c r="A40" s="491" t="s">
        <v>816</v>
      </c>
      <c r="B40" s="434">
        <v>5.54</v>
      </c>
      <c r="C40" s="434" t="s">
        <v>481</v>
      </c>
      <c r="D40" s="434">
        <v>5.78</v>
      </c>
      <c r="E40" s="434" t="s">
        <v>481</v>
      </c>
      <c r="F40" s="434" t="s">
        <v>481</v>
      </c>
      <c r="G40" s="434" t="s">
        <v>481</v>
      </c>
      <c r="H40" s="434" t="s">
        <v>481</v>
      </c>
      <c r="I40" s="434" t="s">
        <v>481</v>
      </c>
      <c r="J40" s="434" t="s">
        <v>481</v>
      </c>
      <c r="K40" s="432">
        <v>2939.35</v>
      </c>
      <c r="L40" s="427">
        <v>3838.8</v>
      </c>
      <c r="M40" s="427">
        <v>32943.46</v>
      </c>
      <c r="N40" s="537">
        <v>83.721699999999998</v>
      </c>
      <c r="O40" s="537">
        <v>83.702200000000005</v>
      </c>
      <c r="P40" s="538" t="s">
        <v>816</v>
      </c>
    </row>
    <row r="41" spans="1:18" s="388" customFormat="1" ht="9.75" customHeight="1">
      <c r="A41" s="550" t="s">
        <v>2522</v>
      </c>
      <c r="B41" s="389"/>
      <c r="C41" s="389"/>
      <c r="D41" s="389"/>
      <c r="E41" s="389"/>
      <c r="F41" s="389"/>
      <c r="G41" s="389"/>
      <c r="H41" s="389"/>
      <c r="I41" s="389"/>
      <c r="J41" s="389"/>
      <c r="K41" s="78"/>
      <c r="L41" s="343"/>
      <c r="M41" s="343"/>
      <c r="N41" s="551"/>
      <c r="O41" s="551"/>
      <c r="P41" s="552" t="s">
        <v>2522</v>
      </c>
    </row>
    <row r="42" spans="1:18" s="388" customFormat="1" ht="9.75" customHeight="1">
      <c r="A42" s="491" t="s">
        <v>818</v>
      </c>
      <c r="B42" s="434">
        <v>5.51</v>
      </c>
      <c r="C42" s="434" t="s">
        <v>481</v>
      </c>
      <c r="D42" s="434">
        <v>5.78</v>
      </c>
      <c r="E42" s="434" t="s">
        <v>481</v>
      </c>
      <c r="F42" s="434" t="s">
        <v>481</v>
      </c>
      <c r="G42" s="434" t="s">
        <v>481</v>
      </c>
      <c r="H42" s="434" t="s">
        <v>481</v>
      </c>
      <c r="I42" s="434" t="s">
        <v>481</v>
      </c>
      <c r="J42" s="434" t="s">
        <v>481</v>
      </c>
      <c r="K42" s="432">
        <v>3581.48</v>
      </c>
      <c r="L42" s="427">
        <v>4562.5</v>
      </c>
      <c r="M42" s="427">
        <v>32105.45</v>
      </c>
      <c r="N42" s="537">
        <v>83.748400000000004</v>
      </c>
      <c r="O42" s="537">
        <v>83.75</v>
      </c>
      <c r="P42" s="538" t="s">
        <v>818</v>
      </c>
    </row>
    <row r="43" spans="1:18" s="388" customFormat="1" ht="9.75" customHeight="1">
      <c r="A43" s="386" t="s">
        <v>819</v>
      </c>
      <c r="B43" s="389">
        <v>5.48</v>
      </c>
      <c r="C43" s="389" t="s">
        <v>481</v>
      </c>
      <c r="D43" s="389">
        <v>5.74</v>
      </c>
      <c r="E43" s="389" t="s">
        <v>481</v>
      </c>
      <c r="F43" s="389" t="s">
        <v>481</v>
      </c>
      <c r="G43" s="389" t="s">
        <v>481</v>
      </c>
      <c r="H43" s="389" t="s">
        <v>481</v>
      </c>
      <c r="I43" s="389" t="s">
        <v>481</v>
      </c>
      <c r="J43" s="389" t="s">
        <v>481</v>
      </c>
      <c r="K43" s="78">
        <v>3213.54</v>
      </c>
      <c r="L43" s="343">
        <v>3963.4</v>
      </c>
      <c r="M43" s="343">
        <v>32926.51</v>
      </c>
      <c r="N43" s="551">
        <v>83.75</v>
      </c>
      <c r="O43" s="551">
        <v>83.75</v>
      </c>
      <c r="P43" s="574" t="s">
        <v>819</v>
      </c>
    </row>
    <row r="44" spans="1:18" s="388" customFormat="1" ht="9.75" customHeight="1">
      <c r="A44" s="491" t="s">
        <v>813</v>
      </c>
      <c r="B44" s="434">
        <v>5.43</v>
      </c>
      <c r="C44" s="434" t="s">
        <v>481</v>
      </c>
      <c r="D44" s="434">
        <v>5.68</v>
      </c>
      <c r="E44" s="434" t="s">
        <v>481</v>
      </c>
      <c r="F44" s="434" t="s">
        <v>481</v>
      </c>
      <c r="G44" s="434" t="s">
        <v>481</v>
      </c>
      <c r="H44" s="434" t="s">
        <v>481</v>
      </c>
      <c r="I44" s="434" t="s">
        <v>481</v>
      </c>
      <c r="J44" s="434" t="s">
        <v>481</v>
      </c>
      <c r="K44" s="427">
        <v>3145.58</v>
      </c>
      <c r="L44" s="427">
        <v>4745.1000000000004</v>
      </c>
      <c r="M44" s="427">
        <v>31957.74</v>
      </c>
      <c r="N44" s="537">
        <v>83.75</v>
      </c>
      <c r="O44" s="537">
        <v>83.75</v>
      </c>
      <c r="P44" s="538" t="s">
        <v>813</v>
      </c>
    </row>
    <row r="45" spans="1:18" s="388" customFormat="1" ht="9.75" customHeight="1">
      <c r="A45" s="386" t="s">
        <v>820</v>
      </c>
      <c r="B45" s="389">
        <v>5.4</v>
      </c>
      <c r="C45" s="389" t="s">
        <v>481</v>
      </c>
      <c r="D45" s="389">
        <v>5.63</v>
      </c>
      <c r="E45" s="389" t="s">
        <v>481</v>
      </c>
      <c r="F45" s="389" t="s">
        <v>481</v>
      </c>
      <c r="G45" s="389" t="s">
        <v>481</v>
      </c>
      <c r="H45" s="389" t="s">
        <v>481</v>
      </c>
      <c r="I45" s="389" t="s">
        <v>481</v>
      </c>
      <c r="J45" s="389" t="s">
        <v>481</v>
      </c>
      <c r="K45" s="343">
        <v>3711.18</v>
      </c>
      <c r="L45" s="343">
        <v>5085.6000000000004</v>
      </c>
      <c r="M45" s="343">
        <v>32077.96</v>
      </c>
      <c r="N45" s="551">
        <v>83.816999999999993</v>
      </c>
      <c r="O45" s="551">
        <v>83.85</v>
      </c>
      <c r="P45" s="574" t="s">
        <v>820</v>
      </c>
    </row>
    <row r="46" spans="1:18" s="388" customFormat="1" ht="9.75" customHeight="1">
      <c r="A46" s="491" t="s">
        <v>821</v>
      </c>
      <c r="B46" s="434">
        <v>5.37</v>
      </c>
      <c r="C46" s="434" t="s">
        <v>481</v>
      </c>
      <c r="D46" s="434">
        <v>5.58</v>
      </c>
      <c r="E46" s="434" t="s">
        <v>481</v>
      </c>
      <c r="F46" s="434" t="s">
        <v>481</v>
      </c>
      <c r="G46" s="434" t="s">
        <v>481</v>
      </c>
      <c r="H46" s="434" t="s">
        <v>481</v>
      </c>
      <c r="I46" s="434" t="s">
        <v>481</v>
      </c>
      <c r="J46" s="434" t="s">
        <v>481</v>
      </c>
      <c r="K46" s="427">
        <v>3421.98</v>
      </c>
      <c r="L46" s="427">
        <v>4460.8</v>
      </c>
      <c r="M46" s="427">
        <v>31056.04</v>
      </c>
      <c r="N46" s="537">
        <v>83.872500000000002</v>
      </c>
      <c r="O46" s="537">
        <v>83.9</v>
      </c>
      <c r="P46" s="538" t="s">
        <v>821</v>
      </c>
    </row>
    <row r="47" spans="1:18" s="388" customFormat="1" ht="9.75" customHeight="1">
      <c r="A47" s="386" t="s">
        <v>814</v>
      </c>
      <c r="B47" s="389">
        <v>5.35</v>
      </c>
      <c r="C47" s="389" t="s">
        <v>481</v>
      </c>
      <c r="D47" s="389">
        <v>5.5443199798807408</v>
      </c>
      <c r="E47" s="389" t="s">
        <v>481</v>
      </c>
      <c r="F47" s="389" t="s">
        <v>481</v>
      </c>
      <c r="G47" s="389" t="s">
        <v>481</v>
      </c>
      <c r="H47" s="389" t="s">
        <v>481</v>
      </c>
      <c r="I47" s="389" t="s">
        <v>481</v>
      </c>
      <c r="J47" s="389" t="s">
        <v>481</v>
      </c>
      <c r="K47" s="343">
        <v>3426.11</v>
      </c>
      <c r="L47" s="343">
        <v>4556.1000000000004</v>
      </c>
      <c r="M47" s="343">
        <v>32016.25</v>
      </c>
      <c r="N47" s="551">
        <v>83.9</v>
      </c>
      <c r="O47" s="551">
        <v>83.9</v>
      </c>
      <c r="P47" s="574" t="s">
        <v>814</v>
      </c>
    </row>
    <row r="48" spans="1:18" s="388" customFormat="1" ht="9.75" customHeight="1">
      <c r="A48" s="491" t="s">
        <v>822</v>
      </c>
      <c r="B48" s="434">
        <v>5.42</v>
      </c>
      <c r="C48" s="434" t="s">
        <v>481</v>
      </c>
      <c r="D48" s="434">
        <v>5.51</v>
      </c>
      <c r="E48" s="434" t="s">
        <v>481</v>
      </c>
      <c r="F48" s="434" t="s">
        <v>481</v>
      </c>
      <c r="G48" s="434" t="s">
        <v>481</v>
      </c>
      <c r="H48" s="434" t="s">
        <v>481</v>
      </c>
      <c r="I48" s="434" t="s">
        <v>481</v>
      </c>
      <c r="J48" s="434" t="s">
        <v>481</v>
      </c>
      <c r="K48" s="427">
        <v>3679.72</v>
      </c>
      <c r="L48" s="427">
        <v>5543.1</v>
      </c>
      <c r="M48" s="427">
        <v>31279.69</v>
      </c>
      <c r="N48" s="537">
        <v>83.941400000000002</v>
      </c>
      <c r="O48" s="537">
        <v>83.95</v>
      </c>
      <c r="P48" s="538" t="s">
        <v>822</v>
      </c>
    </row>
    <row r="49" spans="1:17" s="388" customFormat="1" ht="9.75" customHeight="1">
      <c r="A49" s="386" t="s">
        <v>823</v>
      </c>
      <c r="B49" s="389">
        <v>5.47</v>
      </c>
      <c r="C49" s="389" t="s">
        <v>481</v>
      </c>
      <c r="D49" s="389">
        <v>5.49</v>
      </c>
      <c r="E49" s="389" t="s">
        <v>481</v>
      </c>
      <c r="F49" s="389" t="s">
        <v>481</v>
      </c>
      <c r="G49" s="389" t="s">
        <v>481</v>
      </c>
      <c r="H49" s="389" t="s">
        <v>481</v>
      </c>
      <c r="I49" s="389" t="s">
        <v>481</v>
      </c>
      <c r="J49" s="389" t="s">
        <v>481</v>
      </c>
      <c r="K49" s="343">
        <v>3383.2</v>
      </c>
      <c r="L49" s="343">
        <v>4118.2</v>
      </c>
      <c r="M49" s="343">
        <v>32235.68</v>
      </c>
      <c r="N49" s="551">
        <v>84.031899999999993</v>
      </c>
      <c r="O49" s="551">
        <v>84.15</v>
      </c>
      <c r="P49" s="574" t="s">
        <v>823</v>
      </c>
    </row>
    <row r="50" spans="1:17" s="388" customFormat="1" ht="9.75" customHeight="1">
      <c r="A50" s="491" t="s">
        <v>815</v>
      </c>
      <c r="B50" s="434">
        <v>5.55</v>
      </c>
      <c r="C50" s="434" t="s">
        <v>481</v>
      </c>
      <c r="D50" s="434">
        <v>5.48</v>
      </c>
      <c r="E50" s="434" t="s">
        <v>481</v>
      </c>
      <c r="F50" s="434" t="s">
        <v>481</v>
      </c>
      <c r="G50" s="434" t="s">
        <v>481</v>
      </c>
      <c r="H50" s="434" t="s">
        <v>481</v>
      </c>
      <c r="I50" s="434" t="s">
        <v>481</v>
      </c>
      <c r="J50" s="434" t="s">
        <v>481</v>
      </c>
      <c r="K50" s="427">
        <v>3340.23</v>
      </c>
      <c r="L50" s="427">
        <v>4951.7</v>
      </c>
      <c r="M50" s="427">
        <v>31787.21</v>
      </c>
      <c r="N50" s="537">
        <v>84.206000000000003</v>
      </c>
      <c r="O50" s="537">
        <v>84.25</v>
      </c>
      <c r="P50" s="538" t="s">
        <v>815</v>
      </c>
    </row>
    <row r="51" spans="1:17" s="388" customFormat="1" ht="9.75" customHeight="1">
      <c r="A51" s="386" t="s">
        <v>824</v>
      </c>
      <c r="B51" s="389">
        <v>5.58</v>
      </c>
      <c r="C51" s="389" t="s">
        <v>481</v>
      </c>
      <c r="D51" s="389">
        <v>5.47</v>
      </c>
      <c r="E51" s="389" t="s">
        <v>481</v>
      </c>
      <c r="F51" s="389" t="s">
        <v>481</v>
      </c>
      <c r="G51" s="389" t="s">
        <v>481</v>
      </c>
      <c r="H51" s="389" t="s">
        <v>481</v>
      </c>
      <c r="I51" s="389" t="s">
        <v>481</v>
      </c>
      <c r="J51" s="389" t="s">
        <v>481</v>
      </c>
      <c r="K51" s="343">
        <v>3034.21</v>
      </c>
      <c r="L51" s="343">
        <v>5103.6000000000004</v>
      </c>
      <c r="M51" s="343">
        <v>32122.87</v>
      </c>
      <c r="N51" s="551">
        <v>84.328500000000005</v>
      </c>
      <c r="O51" s="551">
        <v>84.45</v>
      </c>
      <c r="P51" s="574" t="s">
        <v>824</v>
      </c>
    </row>
    <row r="52" spans="1:17" s="388" customFormat="1" ht="9.75" customHeight="1" thickBot="1">
      <c r="A52" s="1088" t="s">
        <v>825</v>
      </c>
      <c r="B52" s="707" t="s">
        <v>481</v>
      </c>
      <c r="C52" s="707" t="s">
        <v>481</v>
      </c>
      <c r="D52" s="707" t="s">
        <v>481</v>
      </c>
      <c r="E52" s="707" t="s">
        <v>481</v>
      </c>
      <c r="F52" s="707" t="s">
        <v>481</v>
      </c>
      <c r="G52" s="707" t="s">
        <v>481</v>
      </c>
      <c r="H52" s="707" t="s">
        <v>481</v>
      </c>
      <c r="I52" s="707" t="s">
        <v>481</v>
      </c>
      <c r="J52" s="707" t="s">
        <v>481</v>
      </c>
      <c r="K52" s="1105">
        <v>3813.37</v>
      </c>
      <c r="L52" s="1105" t="s">
        <v>481</v>
      </c>
      <c r="M52" s="1105">
        <v>31344.79</v>
      </c>
      <c r="N52" s="1690">
        <v>84.492900000000006</v>
      </c>
      <c r="O52" s="1690">
        <v>84.5</v>
      </c>
      <c r="P52" s="1691" t="s">
        <v>825</v>
      </c>
    </row>
    <row r="53" spans="1:17" s="305" customFormat="1" ht="11.1" customHeight="1">
      <c r="A53" s="386"/>
      <c r="B53" s="389"/>
      <c r="C53" s="389"/>
      <c r="D53" s="389"/>
      <c r="E53" s="389"/>
      <c r="F53" s="389"/>
      <c r="G53" s="389"/>
      <c r="H53" s="389"/>
      <c r="I53" s="389"/>
      <c r="J53" s="389"/>
      <c r="K53" s="343"/>
      <c r="L53" s="343"/>
      <c r="M53" s="343"/>
      <c r="N53" s="551"/>
      <c r="O53" s="551"/>
      <c r="P53" s="574"/>
      <c r="Q53" s="218"/>
    </row>
    <row r="54" spans="1:17" s="52" customFormat="1" ht="11.1" customHeight="1">
      <c r="A54" s="553" t="s">
        <v>2334</v>
      </c>
      <c r="B54" s="1825" t="s">
        <v>2222</v>
      </c>
      <c r="C54" s="1825"/>
      <c r="D54" s="1825"/>
      <c r="E54" s="1825"/>
      <c r="F54" s="1825"/>
      <c r="G54" s="218"/>
      <c r="H54" s="218"/>
      <c r="I54" s="218"/>
      <c r="J54" s="218"/>
      <c r="K54" s="554" t="s">
        <v>2336</v>
      </c>
      <c r="L54" s="1825" t="s">
        <v>2223</v>
      </c>
      <c r="M54" s="1825"/>
      <c r="N54" s="1825"/>
      <c r="O54" s="1825"/>
      <c r="P54" s="1825"/>
      <c r="Q54" s="66"/>
    </row>
    <row r="55" spans="1:17" s="52" customFormat="1" ht="16.5" customHeight="1">
      <c r="B55" s="1829" t="s">
        <v>2221</v>
      </c>
      <c r="C55" s="1829"/>
      <c r="D55" s="1829"/>
      <c r="E55" s="1829"/>
      <c r="F55" s="1829"/>
      <c r="G55" s="1829"/>
      <c r="H55" s="1829"/>
      <c r="I55" s="1829"/>
      <c r="J55" s="66"/>
      <c r="K55" s="158"/>
      <c r="L55" s="1825" t="s">
        <v>2224</v>
      </c>
      <c r="M55" s="1825"/>
      <c r="N55" s="1825"/>
      <c r="O55" s="1825"/>
      <c r="Q55" s="66"/>
    </row>
    <row r="56" spans="1:17" s="52" customFormat="1" ht="11.1" customHeight="1">
      <c r="B56" s="1104" t="s">
        <v>2220</v>
      </c>
      <c r="C56" s="1104"/>
      <c r="D56" s="1104"/>
      <c r="E56" s="1104"/>
      <c r="F56" s="1104"/>
      <c r="G56" s="1104"/>
      <c r="H56" s="246"/>
      <c r="I56" s="246"/>
      <c r="J56" s="246"/>
      <c r="K56" s="158"/>
      <c r="L56" s="1826" t="s">
        <v>2119</v>
      </c>
      <c r="M56" s="1826"/>
      <c r="N56" s="1826"/>
      <c r="O56" s="1826"/>
      <c r="P56" s="1826"/>
    </row>
    <row r="57" spans="1:17" s="52" customFormat="1" ht="11.1" customHeight="1">
      <c r="B57" s="1256" t="s">
        <v>2219</v>
      </c>
      <c r="C57" s="1256"/>
      <c r="D57" s="1256"/>
      <c r="E57" s="1256"/>
      <c r="F57" s="1256"/>
      <c r="G57" s="1256"/>
      <c r="H57" s="1256"/>
      <c r="I57" s="1256"/>
      <c r="J57" s="246"/>
      <c r="K57" s="158"/>
      <c r="L57" s="1826" t="s">
        <v>2492</v>
      </c>
      <c r="M57" s="1826"/>
      <c r="N57" s="1826"/>
      <c r="O57" s="1826"/>
      <c r="P57" s="66"/>
    </row>
    <row r="58" spans="1:17" s="52" customFormat="1" ht="11.1" customHeight="1">
      <c r="A58" s="200"/>
      <c r="B58" s="66" t="s">
        <v>2330</v>
      </c>
      <c r="C58" s="66"/>
      <c r="D58" s="66"/>
      <c r="E58" s="66"/>
      <c r="F58" s="66"/>
      <c r="H58" s="51"/>
      <c r="K58" s="247" t="s">
        <v>2337</v>
      </c>
      <c r="L58" s="61" t="s">
        <v>2225</v>
      </c>
      <c r="M58" s="61"/>
      <c r="N58" s="61"/>
      <c r="P58" s="218"/>
      <c r="Q58" s="66"/>
    </row>
    <row r="59" spans="1:17" s="52" customFormat="1" ht="11.1" customHeight="1">
      <c r="A59" s="200" t="s">
        <v>2335</v>
      </c>
      <c r="B59" s="1826" t="s">
        <v>242</v>
      </c>
      <c r="C59" s="1826"/>
      <c r="D59" s="66"/>
      <c r="E59" s="52" t="s">
        <v>2255</v>
      </c>
      <c r="F59" s="66"/>
      <c r="K59" s="246" t="s">
        <v>243</v>
      </c>
      <c r="L59" s="1822" t="s">
        <v>2226</v>
      </c>
      <c r="M59" s="1822"/>
      <c r="N59" s="1822"/>
      <c r="O59" s="1822"/>
      <c r="P59" s="1822"/>
      <c r="Q59" s="66"/>
    </row>
    <row r="60" spans="1:17" s="52" customFormat="1" ht="12.75" customHeight="1">
      <c r="B60" s="10"/>
      <c r="K60" s="1491"/>
      <c r="L60" s="399"/>
    </row>
    <row r="61" spans="1:17" ht="13.5" customHeight="1">
      <c r="A61" s="52"/>
      <c r="C61" s="52"/>
      <c r="D61" s="52"/>
      <c r="E61" s="52"/>
      <c r="F61" s="52"/>
      <c r="G61" s="52"/>
      <c r="H61" s="52"/>
      <c r="I61" s="51"/>
      <c r="J61" s="52"/>
      <c r="K61" s="1010"/>
      <c r="L61" s="1620"/>
      <c r="M61" s="52"/>
      <c r="N61" s="52"/>
      <c r="O61" s="52"/>
      <c r="P61" s="52"/>
    </row>
    <row r="62" spans="1:17" ht="12.75">
      <c r="C62" s="11"/>
      <c r="D62" s="11"/>
      <c r="E62" s="11"/>
      <c r="F62" s="11"/>
      <c r="G62" s="11"/>
      <c r="H62" s="11"/>
      <c r="I62" s="11"/>
      <c r="J62" s="11"/>
      <c r="K62" s="1010"/>
      <c r="L62" s="119"/>
      <c r="M62" s="2"/>
      <c r="N62" s="214"/>
      <c r="O62" s="11"/>
      <c r="P62" s="11"/>
    </row>
    <row r="63" spans="1:17" ht="12.75">
      <c r="C63" s="11"/>
      <c r="D63" s="11"/>
      <c r="E63" s="11"/>
      <c r="F63" s="11"/>
      <c r="G63" s="11"/>
      <c r="H63" s="11"/>
      <c r="I63" s="11"/>
      <c r="J63" s="11"/>
      <c r="K63" s="1382"/>
      <c r="L63" s="1383"/>
      <c r="M63" s="1395"/>
      <c r="N63" s="214"/>
      <c r="O63" s="11"/>
      <c r="P63" s="11"/>
    </row>
    <row r="64" spans="1:17">
      <c r="C64" s="11"/>
      <c r="D64" s="11"/>
      <c r="E64" s="11"/>
      <c r="F64" s="11"/>
      <c r="G64" s="11"/>
      <c r="H64" s="11"/>
      <c r="I64" s="11"/>
      <c r="J64" s="11"/>
      <c r="K64" s="245"/>
      <c r="L64" s="11"/>
      <c r="M64" s="1689"/>
      <c r="N64" s="214"/>
      <c r="O64" s="11"/>
      <c r="P64" s="11"/>
    </row>
    <row r="65" spans="3:16">
      <c r="C65" s="11"/>
      <c r="D65" s="11"/>
      <c r="E65" s="11"/>
      <c r="F65" s="11"/>
      <c r="G65" s="214"/>
      <c r="H65" s="214"/>
      <c r="I65" s="214"/>
      <c r="J65" s="214"/>
      <c r="K65" s="1492"/>
      <c r="L65" s="245"/>
      <c r="M65" s="245"/>
      <c r="N65" s="214"/>
      <c r="O65" s="214"/>
      <c r="P65" s="11"/>
    </row>
    <row r="66" spans="3:16">
      <c r="C66" s="11"/>
      <c r="D66" s="11"/>
      <c r="E66" s="11"/>
      <c r="F66" s="11"/>
      <c r="G66" s="11"/>
      <c r="H66" s="11"/>
      <c r="I66" s="11"/>
      <c r="J66" s="328"/>
      <c r="K66" s="21"/>
      <c r="L66" s="245"/>
      <c r="M66" s="245"/>
      <c r="N66" s="214"/>
      <c r="O66" s="11"/>
      <c r="P66" s="11"/>
    </row>
    <row r="67" spans="3:16">
      <c r="C67" s="11"/>
      <c r="D67" s="11"/>
      <c r="E67" s="11"/>
      <c r="F67" s="11"/>
      <c r="G67" s="11"/>
      <c r="H67" s="11"/>
      <c r="I67" s="11"/>
      <c r="J67" s="11"/>
      <c r="K67" s="35"/>
      <c r="L67" s="11"/>
      <c r="M67" s="11"/>
      <c r="N67" s="214"/>
      <c r="O67" s="11"/>
      <c r="P67" s="11"/>
    </row>
    <row r="68" spans="3:16">
      <c r="C68" s="11"/>
      <c r="D68" s="11"/>
      <c r="E68" s="11"/>
      <c r="F68" s="11"/>
      <c r="G68" s="11"/>
      <c r="H68" s="11"/>
      <c r="I68" s="11"/>
      <c r="J68" s="11"/>
      <c r="K68" s="35"/>
      <c r="L68" s="245"/>
      <c r="M68" s="11"/>
      <c r="N68" s="214"/>
      <c r="O68" s="11"/>
      <c r="P68" s="11"/>
    </row>
    <row r="69" spans="3:16">
      <c r="C69" s="11"/>
      <c r="D69" s="11"/>
      <c r="E69" s="11"/>
      <c r="F69" s="11"/>
      <c r="G69" s="11"/>
      <c r="H69" s="11"/>
      <c r="I69" s="11"/>
      <c r="J69" s="11"/>
      <c r="K69" s="214"/>
      <c r="L69" s="11"/>
      <c r="M69" s="11"/>
      <c r="N69" s="214"/>
      <c r="O69" s="11"/>
      <c r="P69" s="11"/>
    </row>
    <row r="70" spans="3:16">
      <c r="C70" s="11"/>
      <c r="D70" s="11"/>
      <c r="E70" s="11"/>
      <c r="F70" s="11"/>
      <c r="G70" s="11"/>
      <c r="H70" s="11"/>
      <c r="I70" s="11"/>
      <c r="J70" s="11"/>
      <c r="K70" s="35"/>
      <c r="L70" s="11"/>
      <c r="M70" s="11"/>
      <c r="N70" s="214"/>
      <c r="O70" s="11"/>
      <c r="P70" s="11"/>
    </row>
    <row r="71" spans="3:16">
      <c r="C71" s="11"/>
      <c r="D71" s="11"/>
      <c r="E71" s="11"/>
      <c r="F71" s="11"/>
      <c r="G71" s="11"/>
      <c r="H71" s="11"/>
      <c r="I71" s="11"/>
      <c r="J71" s="11"/>
      <c r="K71" s="35"/>
      <c r="L71" s="11"/>
      <c r="M71" s="11"/>
      <c r="N71" s="214"/>
      <c r="O71" s="11"/>
      <c r="P71" s="11"/>
    </row>
    <row r="72" spans="3:16">
      <c r="K72" s="34"/>
      <c r="N72" s="214"/>
    </row>
    <row r="73" spans="3:16">
      <c r="K73" s="35"/>
      <c r="N73" s="214"/>
    </row>
    <row r="74" spans="3:16">
      <c r="K74" s="35"/>
    </row>
    <row r="75" spans="3:16">
      <c r="K75" s="35"/>
    </row>
    <row r="76" spans="3:16">
      <c r="K76" s="35"/>
    </row>
  </sheetData>
  <mergeCells count="37">
    <mergeCell ref="G1:J1"/>
    <mergeCell ref="E5:E6"/>
    <mergeCell ref="A3:A7"/>
    <mergeCell ref="L54:P54"/>
    <mergeCell ref="N5:N6"/>
    <mergeCell ref="F5:F6"/>
    <mergeCell ref="J5:J6"/>
    <mergeCell ref="F2:J2"/>
    <mergeCell ref="O1:P1"/>
    <mergeCell ref="O2:P2"/>
    <mergeCell ref="F3:J3"/>
    <mergeCell ref="N4:O4"/>
    <mergeCell ref="G5:G6"/>
    <mergeCell ref="N3:O3"/>
    <mergeCell ref="K5:K6"/>
    <mergeCell ref="P3:P7"/>
    <mergeCell ref="L5:L6"/>
    <mergeCell ref="M4:M6"/>
    <mergeCell ref="H4:J4"/>
    <mergeCell ref="K4:L4"/>
    <mergeCell ref="F4:G4"/>
    <mergeCell ref="A1:F1"/>
    <mergeCell ref="H5:H6"/>
    <mergeCell ref="L59:P59"/>
    <mergeCell ref="C5:C6"/>
    <mergeCell ref="L55:O55"/>
    <mergeCell ref="L56:P56"/>
    <mergeCell ref="L57:O57"/>
    <mergeCell ref="B5:B6"/>
    <mergeCell ref="D5:D6"/>
    <mergeCell ref="B54:F54"/>
    <mergeCell ref="B55:I55"/>
    <mergeCell ref="B59:C59"/>
    <mergeCell ref="O5:O6"/>
    <mergeCell ref="K3:M3"/>
    <mergeCell ref="B3:E4"/>
    <mergeCell ref="I5:I6"/>
  </mergeCells>
  <phoneticPr fontId="0" type="noConversion"/>
  <pageMargins left="0.43307086614173201" right="0.23622047244094499" top="0.511811023622047" bottom="0.511811023622047" header="0" footer="0.183070866"/>
  <pageSetup paperSize="448" firstPageNumber="10" orientation="portrait" useFirstPageNumber="1" r:id="rId1"/>
  <headerFooter alignWithMargins="0">
    <oddFooter>&amp;C&amp;"Times New Roman,Regular"&amp;8&amp;P</oddFooter>
  </headerFooter>
</worksheet>
</file>

<file path=xl/worksheets/sheet40.xml><?xml version="1.0" encoding="utf-8"?>
<worksheet xmlns="http://schemas.openxmlformats.org/spreadsheetml/2006/main" xmlns:r="http://schemas.openxmlformats.org/officeDocument/2006/relationships">
  <dimension ref="A1:Y39"/>
  <sheetViews>
    <sheetView topLeftCell="A34" zoomScale="140" zoomScaleNormal="140" workbookViewId="0">
      <selection activeCell="K50" sqref="K50"/>
    </sheetView>
  </sheetViews>
  <sheetFormatPr defaultRowHeight="12.75"/>
  <cols>
    <col min="1" max="1" width="4.28515625" customWidth="1"/>
    <col min="2" max="2" width="7.5703125" customWidth="1"/>
  </cols>
  <sheetData>
    <row r="1" spans="1:25">
      <c r="A1" s="2271" t="s">
        <v>2607</v>
      </c>
      <c r="B1" s="2271"/>
      <c r="C1" s="2271"/>
      <c r="D1" s="2271"/>
      <c r="E1" s="2271"/>
      <c r="F1" s="2271"/>
      <c r="G1" s="2271"/>
      <c r="H1" s="1474"/>
      <c r="I1" s="16" t="s">
        <v>2605</v>
      </c>
    </row>
    <row r="2" spans="1:25" ht="15.75">
      <c r="A2" s="1458"/>
      <c r="B2" s="1458"/>
      <c r="C2" s="1459"/>
      <c r="D2" s="1459"/>
      <c r="E2" s="1459"/>
      <c r="F2" s="1459"/>
      <c r="G2" s="2273" t="s">
        <v>2604</v>
      </c>
      <c r="H2" s="2273"/>
      <c r="I2" s="2273"/>
    </row>
    <row r="3" spans="1:25" ht="45">
      <c r="A3" s="2275" t="s">
        <v>2599</v>
      </c>
      <c r="B3" s="2276"/>
      <c r="C3" s="1462" t="s">
        <v>2587</v>
      </c>
      <c r="D3" s="1462" t="s">
        <v>2588</v>
      </c>
      <c r="E3" s="1462" t="s">
        <v>2589</v>
      </c>
      <c r="F3" s="1462" t="s">
        <v>2590</v>
      </c>
      <c r="G3" s="1475" t="s">
        <v>2591</v>
      </c>
      <c r="H3" s="1475" t="s">
        <v>2592</v>
      </c>
      <c r="I3" s="1475" t="s">
        <v>2593</v>
      </c>
    </row>
    <row r="4" spans="1:25">
      <c r="A4" s="1460" t="s">
        <v>2790</v>
      </c>
      <c r="B4" s="1460"/>
      <c r="C4" s="1461"/>
      <c r="D4" s="1461"/>
      <c r="E4" s="1461"/>
      <c r="F4" s="1461"/>
      <c r="G4" s="2274"/>
      <c r="H4" s="2274"/>
      <c r="I4" s="1461"/>
    </row>
    <row r="5" spans="1:25">
      <c r="A5" s="2272" t="s">
        <v>1995</v>
      </c>
      <c r="B5" s="1469" t="s">
        <v>2594</v>
      </c>
      <c r="C5" s="1472">
        <v>255.87</v>
      </c>
      <c r="D5" s="1472">
        <v>1640.92</v>
      </c>
      <c r="E5" s="1472" t="s">
        <v>2595</v>
      </c>
      <c r="F5" s="1472">
        <v>-17</v>
      </c>
      <c r="G5" s="1476" t="s">
        <v>2598</v>
      </c>
      <c r="H5" s="1476" t="s">
        <v>2598</v>
      </c>
      <c r="I5" s="1476" t="s">
        <v>2595</v>
      </c>
      <c r="R5" s="1005"/>
      <c r="S5" s="1005"/>
      <c r="T5" s="1005"/>
      <c r="U5" s="1005"/>
      <c r="V5" s="1005"/>
      <c r="W5" s="1005"/>
      <c r="X5" s="1005"/>
      <c r="Y5" s="1005"/>
    </row>
    <row r="6" spans="1:25">
      <c r="A6" s="2272"/>
      <c r="B6" s="1470" t="s">
        <v>2596</v>
      </c>
      <c r="C6" s="1471">
        <v>8549</v>
      </c>
      <c r="D6" s="1471">
        <v>12199</v>
      </c>
      <c r="E6" s="1471">
        <v>87602.86</v>
      </c>
      <c r="F6" s="1471">
        <v>507.15</v>
      </c>
      <c r="G6" s="1486">
        <v>32816.589999999997</v>
      </c>
      <c r="H6" s="1471">
        <v>5.55</v>
      </c>
      <c r="I6" s="1471">
        <v>80.739999999999995</v>
      </c>
      <c r="R6" s="1005"/>
      <c r="S6" s="1005"/>
      <c r="T6" s="1005"/>
      <c r="U6" s="1005"/>
      <c r="V6" s="1005"/>
      <c r="W6" s="1005"/>
      <c r="X6" s="1005"/>
      <c r="Y6" s="1005"/>
    </row>
    <row r="7" spans="1:25">
      <c r="A7" s="2272"/>
      <c r="B7" s="1469" t="s">
        <v>2570</v>
      </c>
      <c r="C7" s="1472">
        <v>12140.68</v>
      </c>
      <c r="D7" s="1472">
        <v>13494.19</v>
      </c>
      <c r="E7" s="1472" t="s">
        <v>2598</v>
      </c>
      <c r="F7" s="1472">
        <v>78.64</v>
      </c>
      <c r="G7" s="1472">
        <v>99516.76</v>
      </c>
      <c r="H7" s="1472" t="s">
        <v>2598</v>
      </c>
      <c r="I7" s="1472">
        <v>65.36</v>
      </c>
      <c r="R7" s="1005"/>
      <c r="S7" s="1005"/>
      <c r="T7" s="1005"/>
      <c r="U7" s="1005"/>
      <c r="V7" s="1005"/>
      <c r="W7" s="1005"/>
      <c r="X7" s="1005"/>
      <c r="Y7" s="1005"/>
    </row>
    <row r="8" spans="1:25">
      <c r="A8" s="2272"/>
      <c r="B8" s="1470" t="s">
        <v>2571</v>
      </c>
      <c r="C8" s="1471">
        <v>74214.84</v>
      </c>
      <c r="D8" s="1471">
        <v>108248.627725</v>
      </c>
      <c r="E8" s="1471">
        <v>404009.32137000002</v>
      </c>
      <c r="F8" s="1471">
        <v>12411.381767999999</v>
      </c>
      <c r="G8" s="1471">
        <v>400205.3</v>
      </c>
      <c r="H8" s="1471">
        <v>2.976499</v>
      </c>
      <c r="I8" s="1471">
        <v>64.293565999999998</v>
      </c>
      <c r="R8" s="1005"/>
      <c r="S8" s="1005"/>
      <c r="T8" s="1005"/>
      <c r="U8" s="1005"/>
      <c r="V8" s="1005"/>
      <c r="W8" s="1005"/>
      <c r="X8" s="1005"/>
      <c r="Y8" s="1005"/>
    </row>
    <row r="9" spans="1:25">
      <c r="A9" s="2272"/>
      <c r="B9" s="1469" t="s">
        <v>2572</v>
      </c>
      <c r="C9" s="1472">
        <v>57.29</v>
      </c>
      <c r="D9" s="1472">
        <v>573.28</v>
      </c>
      <c r="E9" s="1472" t="s">
        <v>2598</v>
      </c>
      <c r="F9" s="1472" t="s">
        <v>2598</v>
      </c>
      <c r="G9" s="1472">
        <v>519.36</v>
      </c>
      <c r="H9" s="1472">
        <v>2.89</v>
      </c>
      <c r="I9" s="1472">
        <v>15.41</v>
      </c>
      <c r="R9" s="1005"/>
      <c r="S9" s="1005"/>
      <c r="T9" s="1005"/>
      <c r="U9" s="1005"/>
      <c r="V9" s="1005"/>
      <c r="W9" s="1005"/>
      <c r="X9" s="1005"/>
      <c r="Y9" s="1005"/>
    </row>
    <row r="10" spans="1:25">
      <c r="A10" s="2272"/>
      <c r="B10" s="1470" t="s">
        <v>2573</v>
      </c>
      <c r="C10" s="1471">
        <v>198.3</v>
      </c>
      <c r="D10" s="1471">
        <v>2503.4</v>
      </c>
      <c r="E10" s="1471">
        <v>4016.3</v>
      </c>
      <c r="F10" s="1471" t="s">
        <v>2598</v>
      </c>
      <c r="G10" s="1471">
        <v>10864.3</v>
      </c>
      <c r="H10" s="1471" t="s">
        <v>2598</v>
      </c>
      <c r="I10" s="1471">
        <v>103</v>
      </c>
      <c r="R10" s="1005"/>
      <c r="S10" s="1005"/>
      <c r="T10" s="1005"/>
      <c r="U10" s="1005"/>
      <c r="V10" s="1005"/>
      <c r="W10" s="1005"/>
      <c r="X10" s="1005"/>
      <c r="Y10" s="1005"/>
    </row>
    <row r="11" spans="1:25">
      <c r="A11" s="2272"/>
      <c r="B11" s="1469" t="s">
        <v>2574</v>
      </c>
      <c r="C11" s="1472">
        <v>5155.5200000000004</v>
      </c>
      <c r="D11" s="1472">
        <v>14169.96</v>
      </c>
      <c r="E11" s="1472">
        <v>55723</v>
      </c>
      <c r="F11" s="1472">
        <v>700</v>
      </c>
      <c r="G11" s="1472">
        <v>13857</v>
      </c>
      <c r="H11" s="1472">
        <v>4</v>
      </c>
      <c r="I11" s="1472">
        <v>105.35</v>
      </c>
      <c r="R11" s="1005"/>
      <c r="S11" s="1005"/>
      <c r="T11" s="1005"/>
      <c r="U11" s="1005"/>
      <c r="V11" s="1005"/>
      <c r="W11" s="1005"/>
      <c r="X11" s="1005"/>
      <c r="Y11" s="1005"/>
    </row>
    <row r="12" spans="1:25">
      <c r="A12" s="2272"/>
      <c r="B12" s="1470" t="s">
        <v>2575</v>
      </c>
      <c r="C12" s="1471">
        <v>3026.85</v>
      </c>
      <c r="D12" s="1471">
        <v>5114.68</v>
      </c>
      <c r="E12" s="1471" t="s">
        <v>2598</v>
      </c>
      <c r="F12" s="1471">
        <v>-28.59</v>
      </c>
      <c r="G12" s="1471">
        <v>7279.84</v>
      </c>
      <c r="H12" s="1471">
        <v>5.8</v>
      </c>
      <c r="I12" s="1471">
        <v>153.26</v>
      </c>
      <c r="R12" s="1005"/>
      <c r="S12" s="1005"/>
      <c r="T12" s="1005"/>
      <c r="U12" s="1005"/>
      <c r="V12" s="1005"/>
      <c r="W12" s="1005"/>
      <c r="X12" s="1005"/>
      <c r="Y12" s="1005"/>
    </row>
    <row r="13" spans="1:25">
      <c r="A13" s="2272" t="s">
        <v>2213</v>
      </c>
      <c r="B13" s="1469" t="s">
        <v>2594</v>
      </c>
      <c r="C13" s="1472">
        <v>299.33</v>
      </c>
      <c r="D13" s="1472">
        <v>1926.93</v>
      </c>
      <c r="E13" s="1472" t="s">
        <v>2595</v>
      </c>
      <c r="F13" s="1472">
        <v>-13.78</v>
      </c>
      <c r="G13" s="1472" t="s">
        <v>2598</v>
      </c>
      <c r="H13" s="1472" t="s">
        <v>2598</v>
      </c>
      <c r="I13" s="1472" t="s">
        <v>2595</v>
      </c>
      <c r="R13" s="1005"/>
      <c r="S13" s="1005"/>
      <c r="T13" s="1005"/>
      <c r="U13" s="1005"/>
      <c r="V13" s="1005"/>
      <c r="W13" s="1005"/>
      <c r="X13" s="1005"/>
      <c r="Y13" s="1005"/>
    </row>
    <row r="14" spans="1:25">
      <c r="A14" s="2272"/>
      <c r="B14" s="1470" t="s">
        <v>2596</v>
      </c>
      <c r="C14" s="1471">
        <v>9137</v>
      </c>
      <c r="D14" s="1471">
        <v>14115</v>
      </c>
      <c r="E14" s="1471">
        <v>92216.27</v>
      </c>
      <c r="F14" s="1471">
        <v>657.32</v>
      </c>
      <c r="G14" s="1486">
        <v>33226.86</v>
      </c>
      <c r="H14" s="1471">
        <v>5.7</v>
      </c>
      <c r="I14" s="1471">
        <v>81.52</v>
      </c>
      <c r="R14" s="1005"/>
      <c r="S14" s="1005"/>
      <c r="T14" s="1005"/>
      <c r="U14" s="1005"/>
      <c r="V14" s="1005"/>
      <c r="W14" s="1005"/>
      <c r="X14" s="1005"/>
      <c r="Y14" s="1005"/>
    </row>
    <row r="15" spans="1:25">
      <c r="A15" s="2272"/>
      <c r="B15" s="1469" t="s">
        <v>2570</v>
      </c>
      <c r="C15" s="1472">
        <v>9550.74</v>
      </c>
      <c r="D15" s="1472">
        <v>21452.26</v>
      </c>
      <c r="E15" s="1472" t="s">
        <v>2598</v>
      </c>
      <c r="F15" s="1472">
        <v>139.24</v>
      </c>
      <c r="G15" s="1472">
        <v>99007.34</v>
      </c>
      <c r="H15" s="1472" t="s">
        <v>2598</v>
      </c>
      <c r="I15" s="1472">
        <v>63.93</v>
      </c>
      <c r="R15" s="1005"/>
      <c r="S15" s="1005"/>
      <c r="T15" s="1005"/>
      <c r="U15" s="1005"/>
      <c r="V15" s="1005"/>
      <c r="W15" s="1005"/>
      <c r="X15" s="1005"/>
      <c r="Y15" s="1005"/>
    </row>
    <row r="16" spans="1:25">
      <c r="A16" s="2272"/>
      <c r="B16" s="1470" t="s">
        <v>2571</v>
      </c>
      <c r="C16" s="1471">
        <v>77013.919999999998</v>
      </c>
      <c r="D16" s="1471">
        <v>120920.696064</v>
      </c>
      <c r="E16" s="1471">
        <v>412053.22295800003</v>
      </c>
      <c r="F16" s="1471">
        <v>4323.3409849999998</v>
      </c>
      <c r="G16" s="1471">
        <v>409072.2</v>
      </c>
      <c r="H16" s="1471">
        <v>4.556546</v>
      </c>
      <c r="I16" s="1471">
        <v>64.735433</v>
      </c>
      <c r="R16" s="1005"/>
      <c r="S16" s="1005"/>
      <c r="T16" s="1005"/>
      <c r="U16" s="1005"/>
      <c r="V16" s="1005"/>
      <c r="W16" s="1005"/>
      <c r="X16" s="1005"/>
      <c r="Y16" s="1005"/>
    </row>
    <row r="17" spans="1:25">
      <c r="A17" s="2272"/>
      <c r="B17" s="1469" t="s">
        <v>2572</v>
      </c>
      <c r="C17" s="1472">
        <v>89.76</v>
      </c>
      <c r="D17" s="1472">
        <v>614.67999999999995</v>
      </c>
      <c r="E17" s="1472" t="s">
        <v>2598</v>
      </c>
      <c r="F17" s="1472" t="s">
        <v>2598</v>
      </c>
      <c r="G17" s="1472">
        <v>586.1</v>
      </c>
      <c r="H17" s="1472">
        <v>0.86</v>
      </c>
      <c r="I17" s="1472">
        <v>15.41</v>
      </c>
      <c r="R17" s="1005"/>
      <c r="S17" s="1005"/>
      <c r="T17" s="1005"/>
      <c r="U17" s="1005"/>
      <c r="V17" s="1005"/>
      <c r="W17" s="1005"/>
      <c r="X17" s="1005"/>
      <c r="Y17" s="1005"/>
    </row>
    <row r="18" spans="1:25">
      <c r="A18" s="2272"/>
      <c r="B18" s="1470" t="s">
        <v>2573</v>
      </c>
      <c r="C18" s="1471">
        <v>200.9</v>
      </c>
      <c r="D18" s="1471">
        <v>2669.3</v>
      </c>
      <c r="E18" s="1471">
        <v>4193.3999999999996</v>
      </c>
      <c r="F18" s="1471" t="s">
        <v>2598</v>
      </c>
      <c r="G18" s="1471">
        <v>10866.7</v>
      </c>
      <c r="H18" s="1471" t="s">
        <v>2598</v>
      </c>
      <c r="I18" s="1471">
        <v>103.1</v>
      </c>
      <c r="R18" s="1005"/>
      <c r="S18" s="1005"/>
      <c r="T18" s="1005"/>
      <c r="U18" s="1005"/>
      <c r="V18" s="1005"/>
      <c r="W18" s="1005"/>
      <c r="X18" s="1005"/>
      <c r="Y18" s="1005"/>
    </row>
    <row r="19" spans="1:25">
      <c r="A19" s="2272"/>
      <c r="B19" s="1469" t="s">
        <v>2574</v>
      </c>
      <c r="C19" s="1472">
        <v>5820.83</v>
      </c>
      <c r="D19" s="1472">
        <v>14524.94</v>
      </c>
      <c r="E19" s="1472">
        <v>56265</v>
      </c>
      <c r="F19" s="1472">
        <v>795</v>
      </c>
      <c r="G19" s="1472">
        <v>14107</v>
      </c>
      <c r="H19" s="1472">
        <v>4.0999999999999996</v>
      </c>
      <c r="I19" s="1472">
        <v>106.47</v>
      </c>
      <c r="R19" s="1005"/>
      <c r="S19" s="1005"/>
      <c r="T19" s="1005"/>
      <c r="U19" s="1005"/>
      <c r="V19" s="1005"/>
      <c r="W19" s="1005"/>
      <c r="X19" s="1005"/>
      <c r="Y19" s="1005"/>
    </row>
    <row r="20" spans="1:25">
      <c r="A20" s="2272"/>
      <c r="B20" s="1470" t="s">
        <v>2575</v>
      </c>
      <c r="C20" s="1471">
        <v>2936.01</v>
      </c>
      <c r="D20" s="1471">
        <v>5716.12</v>
      </c>
      <c r="E20" s="1471" t="s">
        <v>2598</v>
      </c>
      <c r="F20" s="1471">
        <v>-945.62</v>
      </c>
      <c r="G20" s="1471">
        <v>7958.65</v>
      </c>
      <c r="H20" s="1471">
        <v>6.6</v>
      </c>
      <c r="I20" s="1471">
        <v>153.44999999999999</v>
      </c>
      <c r="R20" s="1005"/>
      <c r="S20" s="1005"/>
      <c r="T20" s="1005"/>
      <c r="U20" s="1005"/>
      <c r="V20" s="1005"/>
      <c r="W20" s="1005"/>
      <c r="X20" s="1005"/>
      <c r="Y20" s="1005"/>
    </row>
    <row r="21" spans="1:25">
      <c r="A21" s="2272" t="s">
        <v>1993</v>
      </c>
      <c r="B21" s="1469" t="s">
        <v>2594</v>
      </c>
      <c r="C21" s="1472" t="s">
        <v>2595</v>
      </c>
      <c r="D21" s="1472" t="s">
        <v>2595</v>
      </c>
      <c r="E21" s="1472" t="s">
        <v>2595</v>
      </c>
      <c r="F21" s="1472" t="s">
        <v>2595</v>
      </c>
      <c r="G21" s="1472" t="s">
        <v>2595</v>
      </c>
      <c r="H21" s="1472" t="s">
        <v>2595</v>
      </c>
      <c r="I21" s="1472" t="s">
        <v>2595</v>
      </c>
      <c r="R21" s="1005"/>
      <c r="S21" s="1005"/>
      <c r="T21" s="1005"/>
      <c r="U21" s="1005"/>
      <c r="V21" s="1005"/>
      <c r="W21" s="1005"/>
      <c r="X21" s="1005"/>
      <c r="Y21" s="1005"/>
    </row>
    <row r="22" spans="1:25">
      <c r="A22" s="2272"/>
      <c r="B22" s="1470" t="s">
        <v>2596</v>
      </c>
      <c r="C22" s="1471">
        <v>9412</v>
      </c>
      <c r="D22" s="1471">
        <v>13986</v>
      </c>
      <c r="E22" s="1471">
        <v>92818.22</v>
      </c>
      <c r="F22" s="1471">
        <v>503.78</v>
      </c>
      <c r="G22" s="1486">
        <v>32403.15</v>
      </c>
      <c r="H22" s="1471">
        <v>5.82</v>
      </c>
      <c r="I22" s="1471">
        <v>82.9</v>
      </c>
      <c r="R22" s="1005"/>
      <c r="S22" s="1005"/>
      <c r="T22" s="1005"/>
      <c r="U22" s="1005"/>
      <c r="V22" s="1005"/>
      <c r="W22" s="1005"/>
      <c r="X22" s="1005"/>
      <c r="Y22" s="1005"/>
    </row>
    <row r="23" spans="1:25">
      <c r="A23" s="2272"/>
      <c r="B23" s="1469" t="s">
        <v>2570</v>
      </c>
      <c r="C23" s="1472">
        <v>7329.24</v>
      </c>
      <c r="D23" s="1472">
        <v>21974.25</v>
      </c>
      <c r="E23" s="1472" t="s">
        <v>2598</v>
      </c>
      <c r="F23" s="1472">
        <v>24.42</v>
      </c>
      <c r="G23" s="1472">
        <v>80764.36</v>
      </c>
      <c r="H23" s="1472" t="s">
        <v>2598</v>
      </c>
      <c r="I23" s="1472">
        <v>65.040000000000006</v>
      </c>
      <c r="R23" s="1005"/>
      <c r="S23" s="1005"/>
      <c r="T23" s="1005"/>
      <c r="U23" s="1005"/>
      <c r="V23" s="1005"/>
      <c r="W23" s="1005"/>
      <c r="X23" s="1005"/>
      <c r="Y23" s="1005"/>
    </row>
    <row r="24" spans="1:25">
      <c r="A24" s="2272"/>
      <c r="B24" s="1470" t="s">
        <v>2571</v>
      </c>
      <c r="C24" s="1471">
        <v>80605.495318999994</v>
      </c>
      <c r="D24" s="1471">
        <v>121373.646786</v>
      </c>
      <c r="E24" s="1471">
        <v>414990.29120199999</v>
      </c>
      <c r="F24" s="1471">
        <v>6407.5815240000002</v>
      </c>
      <c r="G24" s="1471">
        <v>424544.8</v>
      </c>
      <c r="H24" s="1471">
        <v>4.5947829999999996</v>
      </c>
      <c r="I24" s="1471">
        <v>64.307561000000007</v>
      </c>
      <c r="R24" s="1005"/>
      <c r="S24" s="1005"/>
      <c r="T24" s="1005"/>
      <c r="U24" s="1005"/>
      <c r="V24" s="1005"/>
      <c r="W24" s="1005"/>
      <c r="X24" s="1005"/>
      <c r="Y24" s="1005"/>
    </row>
    <row r="25" spans="1:25">
      <c r="A25" s="2272"/>
      <c r="B25" s="1469" t="s">
        <v>2572</v>
      </c>
      <c r="C25" s="1472">
        <v>88.78</v>
      </c>
      <c r="D25" s="1472">
        <v>756.16</v>
      </c>
      <c r="E25" s="1472" t="s">
        <v>2598</v>
      </c>
      <c r="F25" s="1472" t="s">
        <v>2598</v>
      </c>
      <c r="G25" s="1472">
        <v>723.94</v>
      </c>
      <c r="H25" s="1472">
        <v>0.75</v>
      </c>
      <c r="I25" s="1472">
        <v>15.41</v>
      </c>
      <c r="R25" s="1005"/>
      <c r="S25" s="1005"/>
      <c r="T25" s="1005"/>
      <c r="U25" s="1005"/>
      <c r="V25" s="1005"/>
      <c r="W25" s="1005"/>
      <c r="X25" s="1005"/>
      <c r="Y25" s="1005"/>
    </row>
    <row r="26" spans="1:25">
      <c r="A26" s="2272"/>
      <c r="B26" s="1470" t="s">
        <v>2573</v>
      </c>
      <c r="C26" s="1471">
        <v>179.8</v>
      </c>
      <c r="D26" s="1471">
        <v>3112.2</v>
      </c>
      <c r="E26" s="1471">
        <v>4356.7</v>
      </c>
      <c r="F26" s="1471" t="s">
        <v>2598</v>
      </c>
      <c r="G26" s="1471">
        <v>10436.5</v>
      </c>
      <c r="H26" s="1471" t="s">
        <v>2598</v>
      </c>
      <c r="I26" s="1471">
        <v>103.33</v>
      </c>
      <c r="R26" s="1005"/>
      <c r="S26" s="1005"/>
      <c r="T26" s="1005"/>
      <c r="U26" s="1005"/>
      <c r="V26" s="1005"/>
      <c r="W26" s="1005"/>
      <c r="X26" s="1005"/>
      <c r="Y26" s="1005"/>
    </row>
    <row r="27" spans="1:25">
      <c r="A27" s="2272"/>
      <c r="B27" s="1469" t="s">
        <v>2574</v>
      </c>
      <c r="C27" s="1472">
        <v>6088.11</v>
      </c>
      <c r="D27" s="1472">
        <v>15585.95</v>
      </c>
      <c r="E27" s="1472">
        <v>56835</v>
      </c>
      <c r="F27" s="1472">
        <v>600</v>
      </c>
      <c r="G27" s="1472">
        <v>11602</v>
      </c>
      <c r="H27" s="1472">
        <v>4</v>
      </c>
      <c r="I27" s="1472">
        <v>110.97</v>
      </c>
      <c r="R27" s="1005"/>
      <c r="S27" s="1005"/>
      <c r="T27" s="1005"/>
      <c r="U27" s="1005"/>
      <c r="V27" s="1005"/>
      <c r="W27" s="1005"/>
      <c r="X27" s="1005"/>
      <c r="Y27" s="1005"/>
    </row>
    <row r="28" spans="1:25">
      <c r="A28" s="2272"/>
      <c r="B28" s="1470" t="s">
        <v>2575</v>
      </c>
      <c r="C28" s="1471">
        <v>2988.68</v>
      </c>
      <c r="D28" s="1471">
        <v>5971.01</v>
      </c>
      <c r="E28" s="1471" t="s">
        <v>2598</v>
      </c>
      <c r="F28" s="1471">
        <v>-334.3</v>
      </c>
      <c r="G28" s="1471">
        <v>7319.75</v>
      </c>
      <c r="H28" s="1471">
        <v>6.1</v>
      </c>
      <c r="I28" s="1471">
        <v>154.79</v>
      </c>
      <c r="R28" s="1005"/>
      <c r="S28" s="1005"/>
      <c r="T28" s="1005"/>
      <c r="U28" s="1005"/>
      <c r="V28" s="1005"/>
      <c r="W28" s="1005"/>
      <c r="X28" s="1005"/>
      <c r="Y28" s="1005"/>
    </row>
    <row r="29" spans="1:25">
      <c r="A29" s="2272" t="s">
        <v>1994</v>
      </c>
      <c r="B29" s="1469" t="s">
        <v>2594</v>
      </c>
      <c r="C29" s="1472" t="s">
        <v>2595</v>
      </c>
      <c r="D29" s="1472" t="s">
        <v>2595</v>
      </c>
      <c r="E29" s="1472" t="s">
        <v>2595</v>
      </c>
      <c r="F29" s="1472" t="s">
        <v>2595</v>
      </c>
      <c r="G29" s="1472" t="s">
        <v>2595</v>
      </c>
      <c r="H29" s="1472" t="s">
        <v>2595</v>
      </c>
      <c r="I29" s="1472" t="s">
        <v>2595</v>
      </c>
      <c r="R29" s="1005"/>
      <c r="S29" s="1005"/>
      <c r="T29" s="1005"/>
      <c r="U29" s="1005"/>
      <c r="V29" s="1005"/>
      <c r="W29" s="1005"/>
      <c r="X29" s="1005"/>
      <c r="Y29" s="1005"/>
    </row>
    <row r="30" spans="1:25">
      <c r="A30" s="2272"/>
      <c r="B30" s="1470" t="s">
        <v>2596</v>
      </c>
      <c r="C30" s="1471">
        <v>9107</v>
      </c>
      <c r="D30" s="1471">
        <v>14163</v>
      </c>
      <c r="E30" s="1471">
        <v>96351.65</v>
      </c>
      <c r="F30" s="1471">
        <v>912.19</v>
      </c>
      <c r="G30" s="1486">
        <v>32943.46</v>
      </c>
      <c r="H30" s="1471">
        <v>5.78</v>
      </c>
      <c r="I30" s="1471">
        <v>83.34</v>
      </c>
      <c r="R30" s="1005"/>
      <c r="S30" s="1005"/>
      <c r="T30" s="1005"/>
      <c r="U30" s="1005"/>
      <c r="V30" s="1005"/>
      <c r="W30" s="1005"/>
      <c r="X30" s="1005"/>
      <c r="Y30" s="1005"/>
    </row>
    <row r="31" spans="1:25">
      <c r="A31" s="2272"/>
      <c r="B31" s="1469" t="s">
        <v>2570</v>
      </c>
      <c r="C31" s="1472" t="s">
        <v>2595</v>
      </c>
      <c r="D31" s="1472" t="s">
        <v>2595</v>
      </c>
      <c r="E31" s="1472" t="s">
        <v>2595</v>
      </c>
      <c r="F31" s="1472" t="s">
        <v>2595</v>
      </c>
      <c r="G31" s="1472" t="s">
        <v>2595</v>
      </c>
      <c r="H31" s="1472" t="s">
        <v>2595</v>
      </c>
      <c r="I31" s="1472" t="s">
        <v>2595</v>
      </c>
      <c r="R31" s="1005"/>
      <c r="S31" s="1005"/>
      <c r="T31" s="1005"/>
      <c r="U31" s="1005"/>
      <c r="V31" s="1005"/>
      <c r="W31" s="1005"/>
      <c r="X31" s="1005"/>
      <c r="Y31" s="1005"/>
    </row>
    <row r="32" spans="1:25">
      <c r="A32" s="2272"/>
      <c r="B32" s="1470" t="s">
        <v>2571</v>
      </c>
      <c r="C32" s="1471">
        <v>81653.789999999994</v>
      </c>
      <c r="D32" s="1471">
        <v>128281.27</v>
      </c>
      <c r="E32" s="1471">
        <v>385226.45908900001</v>
      </c>
      <c r="F32" s="1471">
        <v>9696.43</v>
      </c>
      <c r="G32" s="1471">
        <v>405740.3</v>
      </c>
      <c r="H32" s="1471" t="s">
        <v>2595</v>
      </c>
      <c r="I32" s="1471">
        <v>67.040000000000006</v>
      </c>
      <c r="R32" s="1005"/>
      <c r="S32" s="1005"/>
      <c r="T32" s="1005"/>
      <c r="U32" s="1005"/>
      <c r="V32" s="1005"/>
      <c r="W32" s="1005"/>
      <c r="X32" s="1005"/>
      <c r="Y32" s="1005"/>
    </row>
    <row r="33" spans="1:25">
      <c r="A33" s="2272"/>
      <c r="B33" s="1469" t="s">
        <v>2572</v>
      </c>
      <c r="C33" s="1472">
        <v>70.63</v>
      </c>
      <c r="D33" s="1472">
        <v>684.78</v>
      </c>
      <c r="E33" s="1472" t="s">
        <v>2598</v>
      </c>
      <c r="F33" s="1472" t="s">
        <v>2598</v>
      </c>
      <c r="G33" s="1472">
        <v>773.27</v>
      </c>
      <c r="H33" s="1472">
        <v>-1.53</v>
      </c>
      <c r="I33" s="1472">
        <v>15.4</v>
      </c>
      <c r="R33" s="1005"/>
      <c r="S33" s="1005"/>
      <c r="T33" s="1005"/>
      <c r="U33" s="1005"/>
      <c r="V33" s="1005"/>
      <c r="W33" s="1005"/>
      <c r="X33" s="1005"/>
      <c r="Y33" s="1005"/>
    </row>
    <row r="34" spans="1:25">
      <c r="A34" s="2272"/>
      <c r="B34" s="1470" t="s">
        <v>2573</v>
      </c>
      <c r="C34" s="1471" t="s">
        <v>2595</v>
      </c>
      <c r="D34" s="1471" t="s">
        <v>2595</v>
      </c>
      <c r="E34" s="1471" t="s">
        <v>2595</v>
      </c>
      <c r="F34" s="1471" t="s">
        <v>2595</v>
      </c>
      <c r="G34" s="1471" t="s">
        <v>2595</v>
      </c>
      <c r="H34" s="1471" t="s">
        <v>2595</v>
      </c>
      <c r="I34" s="1471" t="s">
        <v>2595</v>
      </c>
      <c r="R34" s="1005"/>
      <c r="S34" s="1005"/>
      <c r="T34" s="1005"/>
      <c r="U34" s="1005"/>
      <c r="V34" s="1005"/>
      <c r="W34" s="1005"/>
      <c r="X34" s="1005"/>
      <c r="Y34" s="1005"/>
    </row>
    <row r="35" spans="1:25">
      <c r="A35" s="2272"/>
      <c r="B35" s="1469" t="s">
        <v>2574</v>
      </c>
      <c r="C35" s="1472">
        <v>6157.51</v>
      </c>
      <c r="D35" s="1472">
        <v>16586.54</v>
      </c>
      <c r="E35" s="1472">
        <v>56987</v>
      </c>
      <c r="F35" s="1472">
        <v>673</v>
      </c>
      <c r="G35" s="1472">
        <v>9789</v>
      </c>
      <c r="H35" s="1472">
        <v>3.9</v>
      </c>
      <c r="I35" s="1472">
        <v>116.59</v>
      </c>
      <c r="R35" s="1005"/>
      <c r="S35" s="1005"/>
      <c r="T35" s="1005"/>
      <c r="U35" s="1005"/>
      <c r="V35" s="1005"/>
      <c r="W35" s="1005"/>
      <c r="X35" s="1005"/>
      <c r="Y35" s="1005"/>
    </row>
    <row r="36" spans="1:25">
      <c r="A36" s="2272"/>
      <c r="B36" s="1470" t="s">
        <v>2575</v>
      </c>
      <c r="C36" s="1471">
        <v>2743.18</v>
      </c>
      <c r="D36" s="1471">
        <v>5470.07</v>
      </c>
      <c r="E36" s="1471" t="s">
        <v>2598</v>
      </c>
      <c r="F36" s="1471">
        <v>-701.05</v>
      </c>
      <c r="G36" s="1471">
        <v>9267.02</v>
      </c>
      <c r="H36" s="1471">
        <v>5.6</v>
      </c>
      <c r="I36" s="1471">
        <v>157.71</v>
      </c>
      <c r="R36" s="1005"/>
      <c r="S36" s="1005"/>
      <c r="T36" s="1005"/>
      <c r="U36" s="1005"/>
      <c r="V36" s="1005"/>
      <c r="W36" s="1005"/>
      <c r="X36" s="1005"/>
      <c r="Y36" s="1005"/>
    </row>
    <row r="38" spans="1:25" ht="15">
      <c r="A38" s="1473" t="s">
        <v>22</v>
      </c>
      <c r="B38" s="1473" t="s">
        <v>2121</v>
      </c>
      <c r="D38" s="393"/>
      <c r="E38" s="1473" t="s">
        <v>2255</v>
      </c>
      <c r="F38" s="393"/>
      <c r="H38" s="1324"/>
      <c r="J38" s="1324"/>
    </row>
    <row r="39" spans="1:25">
      <c r="E39" s="1473" t="s">
        <v>608</v>
      </c>
    </row>
  </sheetData>
  <mergeCells count="8">
    <mergeCell ref="A1:G1"/>
    <mergeCell ref="A29:A36"/>
    <mergeCell ref="G2:I2"/>
    <mergeCell ref="G4:H4"/>
    <mergeCell ref="A5:A12"/>
    <mergeCell ref="A13:A20"/>
    <mergeCell ref="A21:A28"/>
    <mergeCell ref="A3:B3"/>
  </mergeCells>
  <pageMargins left="0.7" right="0.7" top="0.75" bottom="0.75" header="0.3" footer="0.3"/>
  <pageSetup paperSize="448" firstPageNumber="109" orientation="portrait" useFirstPageNumber="1" r:id="rId1"/>
  <headerFooter alignWithMargins="0">
    <oddFooter>&amp;C&amp;"Times New Roman,Regular"&amp;8&amp;P</oddFooter>
  </headerFooter>
</worksheet>
</file>

<file path=xl/worksheets/sheet41.xml><?xml version="1.0" encoding="utf-8"?>
<worksheet xmlns="http://schemas.openxmlformats.org/spreadsheetml/2006/main" xmlns:r="http://schemas.openxmlformats.org/officeDocument/2006/relationships">
  <sheetPr codeName="Sheet39"/>
  <dimension ref="B1:H39"/>
  <sheetViews>
    <sheetView topLeftCell="A19" workbookViewId="0">
      <selection activeCell="L16" sqref="L16"/>
    </sheetView>
  </sheetViews>
  <sheetFormatPr defaultRowHeight="12.75"/>
  <cols>
    <col min="1" max="1" width="5.140625" customWidth="1"/>
    <col min="2" max="2" width="11.85546875" customWidth="1"/>
    <col min="3" max="3" width="3.85546875" customWidth="1"/>
    <col min="4" max="4" width="15" customWidth="1"/>
    <col min="5" max="5" width="5.85546875" customWidth="1"/>
    <col min="6" max="6" width="10.42578125" customWidth="1"/>
    <col min="7" max="7" width="4" customWidth="1"/>
    <col min="8" max="8" width="19.5703125" customWidth="1"/>
  </cols>
  <sheetData>
    <row r="1" spans="2:8" ht="15.75">
      <c r="B1" s="2277" t="s">
        <v>546</v>
      </c>
      <c r="C1" s="2277"/>
      <c r="D1" s="2277"/>
      <c r="E1" s="2277"/>
      <c r="F1" s="2277"/>
      <c r="G1" s="2277"/>
      <c r="H1" s="2277"/>
    </row>
    <row r="2" spans="2:8" s="4" customFormat="1" ht="12">
      <c r="B2" s="2278" t="s">
        <v>2204</v>
      </c>
      <c r="C2" s="2278"/>
      <c r="D2" s="2278"/>
      <c r="E2" s="2278"/>
      <c r="F2" s="2278"/>
      <c r="G2" s="2278"/>
      <c r="H2" s="2278"/>
    </row>
    <row r="3" spans="2:8">
      <c r="B3" s="274"/>
      <c r="C3" s="274"/>
      <c r="D3" s="274"/>
      <c r="E3" s="274"/>
      <c r="F3" s="274"/>
      <c r="G3" s="274"/>
      <c r="H3" s="274"/>
    </row>
    <row r="4" spans="2:8">
      <c r="B4" s="275"/>
      <c r="C4" s="275"/>
      <c r="D4" s="275"/>
      <c r="E4" s="275"/>
      <c r="F4" s="275"/>
      <c r="G4" s="275"/>
      <c r="H4" s="275"/>
    </row>
    <row r="5" spans="2:8" ht="15" customHeight="1">
      <c r="B5" s="276" t="s">
        <v>631</v>
      </c>
      <c r="C5" s="277" t="s">
        <v>632</v>
      </c>
      <c r="D5" s="275" t="s">
        <v>633</v>
      </c>
      <c r="E5" s="275"/>
      <c r="F5" s="275" t="s">
        <v>634</v>
      </c>
      <c r="G5" s="275" t="s">
        <v>632</v>
      </c>
      <c r="H5" s="275" t="s">
        <v>635</v>
      </c>
    </row>
    <row r="6" spans="2:8" ht="15" customHeight="1">
      <c r="B6" s="275"/>
      <c r="C6" s="277" t="s">
        <v>632</v>
      </c>
      <c r="D6" s="277" t="s">
        <v>636</v>
      </c>
      <c r="E6" s="277"/>
      <c r="F6" s="277"/>
      <c r="G6" s="277" t="s">
        <v>632</v>
      </c>
      <c r="H6" s="277" t="s">
        <v>637</v>
      </c>
    </row>
    <row r="7" spans="2:8" ht="15" customHeight="1">
      <c r="B7" s="275"/>
      <c r="C7" s="275"/>
      <c r="D7" s="277"/>
      <c r="E7" s="277"/>
      <c r="F7" s="277"/>
      <c r="G7" s="277"/>
      <c r="H7" s="277"/>
    </row>
    <row r="8" spans="2:8" ht="15" customHeight="1">
      <c r="B8" s="277" t="s">
        <v>638</v>
      </c>
      <c r="C8" s="277" t="s">
        <v>632</v>
      </c>
      <c r="D8" s="277" t="s">
        <v>639</v>
      </c>
      <c r="E8" s="277"/>
      <c r="F8" s="277" t="s">
        <v>640</v>
      </c>
      <c r="G8" s="277" t="s">
        <v>632</v>
      </c>
      <c r="H8" s="277" t="s">
        <v>641</v>
      </c>
    </row>
    <row r="9" spans="2:8" ht="15" customHeight="1">
      <c r="B9" s="275"/>
      <c r="C9" s="277"/>
      <c r="D9" s="277"/>
      <c r="E9" s="277"/>
      <c r="F9" s="277"/>
      <c r="G9" s="277" t="s">
        <v>632</v>
      </c>
      <c r="H9" s="277" t="s">
        <v>643</v>
      </c>
    </row>
    <row r="10" spans="2:8" ht="15" customHeight="1">
      <c r="B10" s="275"/>
      <c r="C10" s="277"/>
      <c r="D10" s="277"/>
      <c r="E10" s="277"/>
      <c r="F10" s="277"/>
      <c r="G10" s="277"/>
      <c r="H10" s="277"/>
    </row>
    <row r="11" spans="2:8" ht="15" customHeight="1">
      <c r="B11" s="277" t="s">
        <v>644</v>
      </c>
      <c r="C11" s="277" t="s">
        <v>632</v>
      </c>
      <c r="D11" s="277" t="s">
        <v>645</v>
      </c>
      <c r="E11" s="277"/>
      <c r="F11" s="277" t="s">
        <v>646</v>
      </c>
      <c r="G11" s="277" t="s">
        <v>632</v>
      </c>
      <c r="H11" s="277" t="s">
        <v>647</v>
      </c>
    </row>
    <row r="12" spans="2:8" ht="15" customHeight="1">
      <c r="B12" s="277" t="s">
        <v>648</v>
      </c>
      <c r="C12" s="277" t="s">
        <v>632</v>
      </c>
      <c r="D12" s="277" t="s">
        <v>649</v>
      </c>
      <c r="E12" s="277"/>
      <c r="F12" s="277"/>
      <c r="G12" s="277" t="s">
        <v>632</v>
      </c>
      <c r="H12" s="277" t="s">
        <v>650</v>
      </c>
    </row>
    <row r="13" spans="2:8" ht="15" customHeight="1">
      <c r="B13" s="277"/>
      <c r="C13" s="277"/>
      <c r="D13" s="277"/>
      <c r="E13" s="277"/>
      <c r="F13" s="277"/>
      <c r="G13" s="277"/>
      <c r="H13" s="277"/>
    </row>
    <row r="14" spans="2:8" ht="15" customHeight="1">
      <c r="B14" s="277"/>
      <c r="C14" s="277"/>
      <c r="D14" s="277"/>
      <c r="E14" s="277"/>
      <c r="F14" s="277" t="s">
        <v>651</v>
      </c>
      <c r="G14" s="277" t="s">
        <v>632</v>
      </c>
      <c r="H14" s="277" t="s">
        <v>652</v>
      </c>
    </row>
    <row r="15" spans="2:8" ht="15" customHeight="1">
      <c r="B15" s="277" t="s">
        <v>653</v>
      </c>
      <c r="C15" s="277" t="s">
        <v>632</v>
      </c>
      <c r="D15" s="277" t="s">
        <v>654</v>
      </c>
      <c r="E15" s="277"/>
      <c r="F15" s="277"/>
      <c r="G15" s="277" t="s">
        <v>632</v>
      </c>
      <c r="H15" s="277" t="s">
        <v>655</v>
      </c>
    </row>
    <row r="16" spans="2:8" ht="15" customHeight="1">
      <c r="B16" s="277"/>
      <c r="C16" s="277" t="s">
        <v>632</v>
      </c>
      <c r="D16" s="277" t="s">
        <v>656</v>
      </c>
      <c r="E16" s="277"/>
      <c r="F16" s="277"/>
      <c r="G16" s="277"/>
      <c r="H16" s="277"/>
    </row>
    <row r="17" spans="2:8" ht="15" customHeight="1">
      <c r="B17" s="277"/>
      <c r="C17" s="277"/>
      <c r="E17" s="277"/>
      <c r="F17" s="277" t="s">
        <v>657</v>
      </c>
      <c r="G17" s="277" t="s">
        <v>632</v>
      </c>
      <c r="H17" s="277" t="s">
        <v>658</v>
      </c>
    </row>
    <row r="18" spans="2:8" ht="15" customHeight="1">
      <c r="B18" s="278" t="s">
        <v>659</v>
      </c>
      <c r="C18" s="277" t="s">
        <v>632</v>
      </c>
      <c r="D18" s="277" t="s">
        <v>662</v>
      </c>
      <c r="E18" s="277"/>
      <c r="F18" s="277" t="s">
        <v>660</v>
      </c>
      <c r="G18" s="277" t="s">
        <v>632</v>
      </c>
      <c r="H18" s="277" t="s">
        <v>661</v>
      </c>
    </row>
    <row r="19" spans="2:8" ht="15" customHeight="1">
      <c r="B19" s="2"/>
      <c r="C19" s="277" t="s">
        <v>632</v>
      </c>
      <c r="D19" s="278" t="s">
        <v>2009</v>
      </c>
      <c r="E19" s="277"/>
      <c r="F19" s="277" t="s">
        <v>732</v>
      </c>
      <c r="G19" s="277" t="s">
        <v>632</v>
      </c>
      <c r="H19" s="277" t="s">
        <v>663</v>
      </c>
    </row>
    <row r="20" spans="2:8" ht="15" customHeight="1">
      <c r="B20" s="277" t="s">
        <v>664</v>
      </c>
      <c r="C20" s="277" t="s">
        <v>632</v>
      </c>
      <c r="D20" s="277" t="s">
        <v>665</v>
      </c>
      <c r="E20" s="277"/>
      <c r="F20" s="277" t="s">
        <v>666</v>
      </c>
      <c r="G20" s="277" t="s">
        <v>632</v>
      </c>
      <c r="H20" s="277" t="s">
        <v>667</v>
      </c>
    </row>
    <row r="21" spans="2:8" ht="15" customHeight="1">
      <c r="B21" s="277"/>
      <c r="C21" s="277" t="s">
        <v>632</v>
      </c>
      <c r="D21" s="277" t="s">
        <v>668</v>
      </c>
      <c r="E21" s="277"/>
      <c r="F21" s="277" t="s">
        <v>669</v>
      </c>
      <c r="G21" s="277" t="s">
        <v>632</v>
      </c>
      <c r="H21" s="277" t="s">
        <v>670</v>
      </c>
    </row>
    <row r="22" spans="2:8" ht="15" customHeight="1">
      <c r="B22" s="277"/>
      <c r="C22" s="277" t="s">
        <v>632</v>
      </c>
      <c r="D22" s="277" t="s">
        <v>671</v>
      </c>
      <c r="E22" s="277"/>
      <c r="F22" s="277"/>
      <c r="G22" s="277" t="s">
        <v>632</v>
      </c>
      <c r="H22" s="277" t="s">
        <v>674</v>
      </c>
    </row>
    <row r="23" spans="2:8" ht="15" customHeight="1">
      <c r="B23" s="277"/>
      <c r="C23" s="277" t="s">
        <v>632</v>
      </c>
      <c r="D23" s="277" t="s">
        <v>675</v>
      </c>
      <c r="E23" s="277"/>
      <c r="F23" s="277"/>
      <c r="G23" s="277"/>
      <c r="H23" s="277"/>
    </row>
    <row r="24" spans="2:8" ht="15" customHeight="1">
      <c r="B24" s="277"/>
      <c r="C24" s="277"/>
      <c r="D24" s="277"/>
      <c r="E24" s="277"/>
      <c r="F24" s="277" t="s">
        <v>730</v>
      </c>
      <c r="G24" s="277" t="s">
        <v>632</v>
      </c>
      <c r="H24" s="277" t="s">
        <v>679</v>
      </c>
    </row>
    <row r="25" spans="2:8" ht="15" customHeight="1">
      <c r="B25" s="277" t="s">
        <v>680</v>
      </c>
      <c r="C25" s="277" t="s">
        <v>632</v>
      </c>
      <c r="D25" s="277" t="s">
        <v>681</v>
      </c>
      <c r="E25" s="277"/>
      <c r="F25" s="277"/>
      <c r="G25" s="277" t="s">
        <v>632</v>
      </c>
      <c r="H25" s="277" t="s">
        <v>682</v>
      </c>
    </row>
    <row r="26" spans="2:8" ht="15" customHeight="1">
      <c r="B26" s="277"/>
      <c r="C26" s="277" t="s">
        <v>632</v>
      </c>
      <c r="D26" s="277" t="s">
        <v>683</v>
      </c>
      <c r="E26" s="277"/>
      <c r="F26" s="277"/>
      <c r="G26" s="277" t="s">
        <v>632</v>
      </c>
      <c r="H26" s="277" t="s">
        <v>684</v>
      </c>
    </row>
    <row r="27" spans="2:8" ht="15" customHeight="1">
      <c r="B27" s="277"/>
      <c r="C27" s="279" t="s">
        <v>632</v>
      </c>
      <c r="D27" s="279" t="s">
        <v>685</v>
      </c>
      <c r="E27" s="277"/>
      <c r="F27" s="277"/>
      <c r="G27" s="277"/>
      <c r="H27" s="277"/>
    </row>
    <row r="28" spans="2:8" ht="15" customHeight="1">
      <c r="B28" s="277"/>
      <c r="C28" s="277"/>
      <c r="D28" s="277"/>
      <c r="E28" s="277"/>
      <c r="F28" s="277" t="s">
        <v>686</v>
      </c>
      <c r="G28" s="277" t="s">
        <v>632</v>
      </c>
      <c r="H28" s="277" t="s">
        <v>687</v>
      </c>
    </row>
    <row r="29" spans="2:8" ht="15" customHeight="1">
      <c r="B29" s="277" t="s">
        <v>688</v>
      </c>
      <c r="C29" s="277" t="s">
        <v>632</v>
      </c>
      <c r="D29" s="277" t="s">
        <v>689</v>
      </c>
      <c r="E29" s="277"/>
      <c r="F29" s="277" t="s">
        <v>690</v>
      </c>
      <c r="G29" s="277" t="s">
        <v>632</v>
      </c>
      <c r="H29" s="277" t="s">
        <v>691</v>
      </c>
    </row>
    <row r="30" spans="2:8" ht="15" customHeight="1">
      <c r="B30" s="277"/>
      <c r="C30" s="277" t="s">
        <v>632</v>
      </c>
      <c r="D30" s="277" t="s">
        <v>692</v>
      </c>
      <c r="E30" s="277"/>
      <c r="F30" s="277"/>
      <c r="G30" s="277" t="s">
        <v>632</v>
      </c>
      <c r="H30" s="277" t="s">
        <v>693</v>
      </c>
    </row>
    <row r="31" spans="2:8" ht="15" customHeight="1">
      <c r="B31" s="277"/>
      <c r="C31" s="277"/>
      <c r="D31" s="277"/>
      <c r="E31" s="277"/>
      <c r="F31" s="277"/>
      <c r="G31" s="277" t="s">
        <v>632</v>
      </c>
      <c r="H31" s="277" t="s">
        <v>731</v>
      </c>
    </row>
    <row r="32" spans="2:8" ht="15" customHeight="1">
      <c r="B32" s="277" t="s">
        <v>694</v>
      </c>
      <c r="C32" s="277" t="s">
        <v>632</v>
      </c>
      <c r="D32" s="277" t="s">
        <v>695</v>
      </c>
      <c r="E32" s="277"/>
      <c r="F32" s="277"/>
      <c r="G32" s="277" t="s">
        <v>632</v>
      </c>
      <c r="H32" s="277" t="s">
        <v>545</v>
      </c>
    </row>
    <row r="33" spans="2:8" ht="15" customHeight="1">
      <c r="B33" s="277"/>
      <c r="C33" s="277" t="s">
        <v>632</v>
      </c>
      <c r="D33" s="277" t="s">
        <v>696</v>
      </c>
      <c r="E33" s="277"/>
    </row>
    <row r="34" spans="2:8" ht="15" customHeight="1">
      <c r="B34" s="277"/>
      <c r="C34" s="277" t="s">
        <v>632</v>
      </c>
      <c r="D34" s="277" t="s">
        <v>699</v>
      </c>
      <c r="E34" s="277"/>
      <c r="F34" s="277" t="s">
        <v>697</v>
      </c>
      <c r="G34" s="277" t="s">
        <v>632</v>
      </c>
      <c r="H34" s="277" t="s">
        <v>698</v>
      </c>
    </row>
    <row r="35" spans="2:8" ht="15" customHeight="1">
      <c r="B35" s="277"/>
      <c r="C35" s="277"/>
      <c r="D35" s="277"/>
      <c r="E35" s="277"/>
      <c r="F35" s="277" t="s">
        <v>543</v>
      </c>
      <c r="G35" s="277" t="s">
        <v>632</v>
      </c>
      <c r="H35" s="277" t="s">
        <v>544</v>
      </c>
    </row>
    <row r="36" spans="2:8" ht="15" customHeight="1">
      <c r="B36" s="277" t="s">
        <v>700</v>
      </c>
      <c r="C36" s="277" t="s">
        <v>632</v>
      </c>
      <c r="D36" s="277" t="s">
        <v>701</v>
      </c>
      <c r="E36" s="277"/>
      <c r="F36" s="277" t="s">
        <v>1145</v>
      </c>
      <c r="G36" s="277" t="s">
        <v>632</v>
      </c>
      <c r="H36" s="277" t="s">
        <v>542</v>
      </c>
    </row>
    <row r="37" spans="2:8" ht="15" customHeight="1" thickBot="1">
      <c r="B37" s="518"/>
      <c r="C37" s="518"/>
      <c r="D37" s="519"/>
      <c r="E37" s="519"/>
      <c r="F37" s="519"/>
      <c r="G37" s="519"/>
      <c r="H37" s="519"/>
    </row>
    <row r="38" spans="2:8" ht="15" customHeight="1">
      <c r="B38" s="2279" t="s">
        <v>2205</v>
      </c>
      <c r="C38" s="2279"/>
      <c r="D38" s="2279"/>
      <c r="E38" s="2279"/>
      <c r="F38" s="2279"/>
      <c r="G38" s="2279"/>
      <c r="H38" s="2279"/>
    </row>
    <row r="39" spans="2:8">
      <c r="B39" s="2"/>
      <c r="C39" s="2"/>
      <c r="D39" s="2"/>
      <c r="E39" s="2"/>
      <c r="F39" s="2"/>
      <c r="G39" s="2"/>
      <c r="H39" s="2"/>
    </row>
  </sheetData>
  <mergeCells count="3">
    <mergeCell ref="B1:H1"/>
    <mergeCell ref="B2:H2"/>
    <mergeCell ref="B38:H38"/>
  </mergeCells>
  <pageMargins left="0.70866141732283505" right="0.70866141732283505" top="0.74803149606299202" bottom="0.74803149606299202" header="0.31496062992126" footer="0.31496062992126"/>
  <pageSetup paperSize="448" firstPageNumber="111" orientation="portrait" useFirstPageNumber="1" r:id="rId1"/>
  <headerFooter>
    <oddFooter>&amp;C&amp;"Times New Roman,Regular"&amp;8&amp;P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6"/>
  <dimension ref="A1:R81"/>
  <sheetViews>
    <sheetView zoomScale="170" zoomScaleNormal="170" workbookViewId="0">
      <pane xSplit="1" ySplit="8" topLeftCell="B50" activePane="bottomRight" state="frozen"/>
      <selection pane="topRight" activeCell="B1" sqref="B1"/>
      <selection pane="bottomLeft" activeCell="A10" sqref="A10"/>
      <selection pane="bottomRight" activeCell="D57" sqref="D57"/>
    </sheetView>
  </sheetViews>
  <sheetFormatPr defaultColWidth="9.140625" defaultRowHeight="11.25"/>
  <cols>
    <col min="1" max="1" width="8.5703125" style="10" customWidth="1"/>
    <col min="2" max="2" width="9.5703125" style="10" customWidth="1"/>
    <col min="3" max="3" width="10.140625" style="10" customWidth="1"/>
    <col min="4" max="4" width="12" style="10" bestFit="1" customWidth="1"/>
    <col min="5" max="5" width="10.85546875" style="10" customWidth="1"/>
    <col min="6" max="6" width="10.28515625" style="10" customWidth="1"/>
    <col min="7" max="7" width="8" style="10" customWidth="1"/>
    <col min="8" max="8" width="9.140625" style="10"/>
    <col min="9" max="9" width="9.140625" style="10" customWidth="1"/>
    <col min="10" max="10" width="10" style="10" customWidth="1"/>
    <col min="11" max="11" width="10.28515625" style="10" customWidth="1"/>
    <col min="12" max="12" width="10.140625" style="10" customWidth="1"/>
    <col min="13" max="13" width="8.5703125" style="10" customWidth="1"/>
    <col min="14" max="14" width="8.42578125" style="10" customWidth="1"/>
    <col min="15" max="15" width="9.28515625" style="10" customWidth="1"/>
    <col min="16" max="16" width="9" style="10" customWidth="1"/>
    <col min="17" max="16384" width="9.140625" style="10"/>
  </cols>
  <sheetData>
    <row r="1" spans="1:16" s="47" customFormat="1" ht="15" customHeight="1">
      <c r="A1" s="1821"/>
      <c r="B1" s="1821"/>
      <c r="C1" s="1821"/>
      <c r="D1" s="57"/>
      <c r="G1" s="1841" t="s">
        <v>616</v>
      </c>
      <c r="H1" s="1841"/>
      <c r="I1" s="1857" t="s">
        <v>2306</v>
      </c>
      <c r="J1" s="1857"/>
      <c r="K1" s="48"/>
      <c r="L1" s="48"/>
      <c r="M1" s="48"/>
      <c r="N1" s="48"/>
      <c r="O1" s="1841" t="s">
        <v>245</v>
      </c>
      <c r="P1" s="1841"/>
    </row>
    <row r="2" spans="1:16" ht="12">
      <c r="A2" s="63"/>
      <c r="O2" s="1851" t="s">
        <v>31</v>
      </c>
      <c r="P2" s="1852"/>
    </row>
    <row r="3" spans="1:16" s="259" customFormat="1" ht="12.75" customHeight="1">
      <c r="A3" s="1769" t="s">
        <v>1463</v>
      </c>
      <c r="B3" s="1864" t="s">
        <v>740</v>
      </c>
      <c r="C3" s="1864"/>
      <c r="D3" s="1865"/>
      <c r="E3" s="1872" t="s">
        <v>524</v>
      </c>
      <c r="F3" s="1864"/>
      <c r="G3" s="1864"/>
      <c r="H3" s="1864"/>
      <c r="I3" s="1864" t="s">
        <v>828</v>
      </c>
      <c r="J3" s="1864"/>
      <c r="K3" s="1864"/>
      <c r="L3" s="1082"/>
      <c r="M3" s="1855" t="s">
        <v>1466</v>
      </c>
      <c r="N3" s="1855" t="s">
        <v>1467</v>
      </c>
      <c r="O3" s="1853" t="s">
        <v>2307</v>
      </c>
      <c r="P3" s="1769" t="s">
        <v>1463</v>
      </c>
    </row>
    <row r="4" spans="1:16" s="259" customFormat="1" ht="15.75" customHeight="1">
      <c r="A4" s="1770"/>
      <c r="B4" s="1866" t="s">
        <v>166</v>
      </c>
      <c r="C4" s="1855" t="s">
        <v>167</v>
      </c>
      <c r="D4" s="1855" t="s">
        <v>1682</v>
      </c>
      <c r="E4" s="1861" t="s">
        <v>225</v>
      </c>
      <c r="F4" s="1862"/>
      <c r="G4" s="1862"/>
      <c r="H4" s="1862"/>
      <c r="I4" s="1862"/>
      <c r="J4" s="1863"/>
      <c r="K4" s="1859" t="s">
        <v>1465</v>
      </c>
      <c r="L4" s="1855" t="s">
        <v>858</v>
      </c>
      <c r="M4" s="1856"/>
      <c r="N4" s="1856"/>
      <c r="O4" s="1854"/>
      <c r="P4" s="1770"/>
    </row>
    <row r="5" spans="1:16" s="259" customFormat="1" ht="12" customHeight="1">
      <c r="A5" s="1770"/>
      <c r="B5" s="1867"/>
      <c r="C5" s="1856"/>
      <c r="D5" s="1856"/>
      <c r="E5" s="1877" t="s">
        <v>742</v>
      </c>
      <c r="F5" s="1878"/>
      <c r="G5" s="1879"/>
      <c r="H5" s="1868" t="s">
        <v>231</v>
      </c>
      <c r="I5" s="1869"/>
      <c r="J5" s="1866"/>
      <c r="K5" s="1860"/>
      <c r="L5" s="1856"/>
      <c r="M5" s="1856"/>
      <c r="N5" s="1856"/>
      <c r="O5" s="1854"/>
      <c r="P5" s="1770"/>
    </row>
    <row r="6" spans="1:16" s="259" customFormat="1" ht="24" customHeight="1">
      <c r="A6" s="1770"/>
      <c r="B6" s="1867"/>
      <c r="C6" s="1856"/>
      <c r="D6" s="1856"/>
      <c r="E6" s="1855" t="s">
        <v>166</v>
      </c>
      <c r="F6" s="1855" t="s">
        <v>167</v>
      </c>
      <c r="G6" s="1853" t="s">
        <v>2289</v>
      </c>
      <c r="H6" s="1785" t="s">
        <v>166</v>
      </c>
      <c r="I6" s="1785" t="s">
        <v>167</v>
      </c>
      <c r="J6" s="1870" t="s">
        <v>1464</v>
      </c>
      <c r="K6" s="1860"/>
      <c r="L6" s="1856"/>
      <c r="M6" s="1856"/>
      <c r="N6" s="1856"/>
      <c r="O6" s="1854"/>
      <c r="P6" s="1770"/>
    </row>
    <row r="7" spans="1:16" s="259" customFormat="1" ht="15.75" customHeight="1">
      <c r="A7" s="1770"/>
      <c r="B7" s="1867"/>
      <c r="C7" s="1856"/>
      <c r="D7" s="1856"/>
      <c r="E7" s="1856"/>
      <c r="F7" s="1856"/>
      <c r="G7" s="1854"/>
      <c r="H7" s="1786"/>
      <c r="I7" s="1786"/>
      <c r="J7" s="1871"/>
      <c r="K7" s="1860"/>
      <c r="L7" s="1876"/>
      <c r="M7" s="1856"/>
      <c r="N7" s="1856"/>
      <c r="O7" s="1854"/>
      <c r="P7" s="1770"/>
    </row>
    <row r="8" spans="1:16" s="16" customFormat="1" ht="10.5" customHeight="1">
      <c r="A8" s="1771"/>
      <c r="B8" s="64">
        <v>1</v>
      </c>
      <c r="C8" s="64">
        <v>2</v>
      </c>
      <c r="D8" s="64">
        <v>3</v>
      </c>
      <c r="E8" s="64">
        <v>4</v>
      </c>
      <c r="F8" s="64">
        <v>5</v>
      </c>
      <c r="G8" s="64">
        <v>6</v>
      </c>
      <c r="H8" s="64">
        <v>7</v>
      </c>
      <c r="I8" s="64">
        <v>8</v>
      </c>
      <c r="J8" s="64">
        <v>9</v>
      </c>
      <c r="K8" s="64">
        <v>10</v>
      </c>
      <c r="L8" s="64">
        <v>11</v>
      </c>
      <c r="M8" s="64">
        <v>12</v>
      </c>
      <c r="N8" s="64">
        <v>13</v>
      </c>
      <c r="O8" s="64">
        <v>14</v>
      </c>
      <c r="P8" s="1771"/>
    </row>
    <row r="9" spans="1:16" ht="11.85" customHeight="1">
      <c r="A9" s="450" t="s">
        <v>549</v>
      </c>
      <c r="B9" s="681">
        <v>32813.800000000003</v>
      </c>
      <c r="C9" s="437">
        <v>4482.1000000000004</v>
      </c>
      <c r="D9" s="437">
        <f t="shared" ref="D9:D13" si="0">B9+C9</f>
        <v>37295.9</v>
      </c>
      <c r="E9" s="756">
        <v>25927.7</v>
      </c>
      <c r="F9" s="756">
        <v>20823.3</v>
      </c>
      <c r="G9" s="432">
        <f t="shared" ref="G9:G12" si="1">E9+F9</f>
        <v>46751</v>
      </c>
      <c r="H9" s="437">
        <v>946.4</v>
      </c>
      <c r="I9" s="756">
        <v>9216</v>
      </c>
      <c r="J9" s="437">
        <f t="shared" ref="J9:J12" si="2">H9+I9</f>
        <v>10162.4</v>
      </c>
      <c r="K9" s="433">
        <v>190135.7</v>
      </c>
      <c r="L9" s="427">
        <f t="shared" ref="L9:L12" si="3">G9+J9+K9</f>
        <v>247049.1</v>
      </c>
      <c r="M9" s="756">
        <v>-35550.199999999997</v>
      </c>
      <c r="N9" s="427">
        <f t="shared" ref="N9:N11" si="4">L9+M9</f>
        <v>211498.90000000002</v>
      </c>
      <c r="O9" s="433">
        <f>D9+N9</f>
        <v>248794.80000000002</v>
      </c>
      <c r="P9" s="451" t="s">
        <v>549</v>
      </c>
    </row>
    <row r="10" spans="1:16" s="253" customFormat="1" ht="11.85" customHeight="1">
      <c r="A10" s="749" t="s">
        <v>102</v>
      </c>
      <c r="B10" s="679">
        <v>43227.5</v>
      </c>
      <c r="C10" s="39">
        <v>4214.5</v>
      </c>
      <c r="D10" s="78">
        <f t="shared" si="0"/>
        <v>47442</v>
      </c>
      <c r="E10" s="724">
        <v>28471.5</v>
      </c>
      <c r="F10" s="724">
        <v>29536.1</v>
      </c>
      <c r="G10" s="39">
        <f t="shared" si="1"/>
        <v>58007.6</v>
      </c>
      <c r="H10" s="39">
        <v>853.1</v>
      </c>
      <c r="I10" s="724">
        <v>10066.6</v>
      </c>
      <c r="J10" s="39">
        <f t="shared" si="2"/>
        <v>10919.7</v>
      </c>
      <c r="K10" s="388">
        <v>217927.5</v>
      </c>
      <c r="L10" s="343">
        <f t="shared" si="3"/>
        <v>286854.8</v>
      </c>
      <c r="M10" s="724">
        <v>-37797</v>
      </c>
      <c r="N10" s="343">
        <f t="shared" si="4"/>
        <v>249057.8</v>
      </c>
      <c r="O10" s="388">
        <v>296499.7</v>
      </c>
      <c r="P10" s="743" t="s">
        <v>102</v>
      </c>
    </row>
    <row r="11" spans="1:16" ht="11.85" customHeight="1">
      <c r="A11" s="450" t="s">
        <v>98</v>
      </c>
      <c r="B11" s="674">
        <v>61181</v>
      </c>
      <c r="C11" s="437">
        <v>5868.8</v>
      </c>
      <c r="D11" s="437">
        <f t="shared" si="0"/>
        <v>67049.8</v>
      </c>
      <c r="E11" s="756">
        <v>21471.200000000001</v>
      </c>
      <c r="F11" s="756">
        <v>32781.699999999997</v>
      </c>
      <c r="G11" s="437">
        <f t="shared" si="1"/>
        <v>54252.899999999994</v>
      </c>
      <c r="H11" s="437">
        <v>830.7</v>
      </c>
      <c r="I11" s="756">
        <v>11983.2</v>
      </c>
      <c r="J11" s="437">
        <f t="shared" si="2"/>
        <v>12813.900000000001</v>
      </c>
      <c r="K11" s="433">
        <v>270760.8</v>
      </c>
      <c r="L11" s="427">
        <f t="shared" si="3"/>
        <v>337827.6</v>
      </c>
      <c r="M11" s="756">
        <v>-41846</v>
      </c>
      <c r="N11" s="427">
        <f t="shared" si="4"/>
        <v>295981.59999999998</v>
      </c>
      <c r="O11" s="433">
        <v>363031.2</v>
      </c>
      <c r="P11" s="451" t="s">
        <v>98</v>
      </c>
    </row>
    <row r="12" spans="1:16" s="253" customFormat="1" ht="11.85" customHeight="1">
      <c r="A12" s="749" t="s">
        <v>241</v>
      </c>
      <c r="B12" s="673">
        <v>61342.1</v>
      </c>
      <c r="C12" s="39">
        <v>9231.2999999999993</v>
      </c>
      <c r="D12" s="39">
        <f t="shared" si="0"/>
        <v>70573.399999999994</v>
      </c>
      <c r="E12" s="724">
        <v>31710.5</v>
      </c>
      <c r="F12" s="724">
        <v>41517.4</v>
      </c>
      <c r="G12" s="39">
        <f t="shared" si="1"/>
        <v>73227.899999999994</v>
      </c>
      <c r="H12" s="39">
        <v>776.7</v>
      </c>
      <c r="I12" s="724">
        <v>16175.7</v>
      </c>
      <c r="J12" s="39">
        <f t="shared" si="2"/>
        <v>16952.400000000001</v>
      </c>
      <c r="K12" s="388">
        <v>340712.7</v>
      </c>
      <c r="L12" s="343">
        <f t="shared" si="3"/>
        <v>430893</v>
      </c>
      <c r="M12" s="724">
        <v>-60946.400000000001</v>
      </c>
      <c r="N12" s="343">
        <v>369946.5</v>
      </c>
      <c r="O12" s="388">
        <v>440519.9</v>
      </c>
      <c r="P12" s="743" t="s">
        <v>241</v>
      </c>
    </row>
    <row r="13" spans="1:16" s="253" customFormat="1" ht="11.85" customHeight="1">
      <c r="A13" s="450" t="s">
        <v>1142</v>
      </c>
      <c r="B13" s="674">
        <v>68930.100000000006</v>
      </c>
      <c r="C13" s="437">
        <v>9888.6</v>
      </c>
      <c r="D13" s="437">
        <f t="shared" si="0"/>
        <v>78818.700000000012</v>
      </c>
      <c r="E13" s="756">
        <v>37854.9</v>
      </c>
      <c r="F13" s="756">
        <v>53873.9</v>
      </c>
      <c r="G13" s="437">
        <v>91728.9</v>
      </c>
      <c r="H13" s="437">
        <v>1181.9000000000001</v>
      </c>
      <c r="I13" s="756">
        <v>14160.2</v>
      </c>
      <c r="J13" s="437">
        <v>15342.1</v>
      </c>
      <c r="K13" s="433">
        <v>407901.60000000003</v>
      </c>
      <c r="L13" s="427">
        <v>514972.60000000003</v>
      </c>
      <c r="M13" s="756">
        <v>-76681.7</v>
      </c>
      <c r="N13" s="427">
        <v>438290.80000000005</v>
      </c>
      <c r="O13" s="433">
        <v>517109.50000000006</v>
      </c>
      <c r="P13" s="451" t="s">
        <v>1142</v>
      </c>
    </row>
    <row r="14" spans="1:16" s="253" customFormat="1" ht="11.85" customHeight="1">
      <c r="A14" s="749" t="s">
        <v>1333</v>
      </c>
      <c r="B14" s="673">
        <v>103246</v>
      </c>
      <c r="C14" s="39">
        <v>10004.200000000001</v>
      </c>
      <c r="D14" s="39">
        <v>113250.2</v>
      </c>
      <c r="E14" s="724">
        <v>27069</v>
      </c>
      <c r="F14" s="724">
        <v>83055.600000000006</v>
      </c>
      <c r="G14" s="39">
        <v>110124.6</v>
      </c>
      <c r="H14" s="39">
        <v>1354.5</v>
      </c>
      <c r="I14" s="724">
        <v>8100.8</v>
      </c>
      <c r="J14" s="39">
        <v>9455.2999999999993</v>
      </c>
      <c r="K14" s="388">
        <v>452157.2</v>
      </c>
      <c r="L14" s="343">
        <v>571737.1</v>
      </c>
      <c r="M14" s="724">
        <v>-81481.7</v>
      </c>
      <c r="N14" s="343">
        <f>L14+M14</f>
        <v>490255.39999999997</v>
      </c>
      <c r="O14" s="343">
        <f>D14+N14</f>
        <v>603505.6</v>
      </c>
      <c r="P14" s="743" t="s">
        <v>1333</v>
      </c>
    </row>
    <row r="15" spans="1:16" s="388" customFormat="1" ht="11.85" customHeight="1">
      <c r="A15" s="425" t="s">
        <v>1664</v>
      </c>
      <c r="B15" s="427">
        <v>147496.6</v>
      </c>
      <c r="C15" s="427">
        <v>12560</v>
      </c>
      <c r="D15" s="427">
        <v>160056.6</v>
      </c>
      <c r="E15" s="427">
        <v>3840.6</v>
      </c>
      <c r="F15" s="427">
        <v>113688.8</v>
      </c>
      <c r="G15" s="427">
        <v>117529.40000000001</v>
      </c>
      <c r="H15" s="427">
        <v>1202.7</v>
      </c>
      <c r="I15" s="427">
        <v>11534.2</v>
      </c>
      <c r="J15" s="427">
        <v>12736.900000000001</v>
      </c>
      <c r="K15" s="427">
        <v>507639.9</v>
      </c>
      <c r="L15" s="427">
        <v>637906.20000000007</v>
      </c>
      <c r="M15" s="427">
        <v>-97339.3</v>
      </c>
      <c r="N15" s="427">
        <v>540566.9</v>
      </c>
      <c r="O15" s="427">
        <v>700623.5</v>
      </c>
      <c r="P15" s="573" t="s">
        <v>1664</v>
      </c>
    </row>
    <row r="16" spans="1:16" s="388" customFormat="1" ht="11.85" customHeight="1">
      <c r="A16" s="341" t="s">
        <v>1754</v>
      </c>
      <c r="B16" s="679">
        <v>177401.3</v>
      </c>
      <c r="C16" s="679">
        <v>11827.5</v>
      </c>
      <c r="D16" s="678">
        <v>189228.79999999999</v>
      </c>
      <c r="E16" s="678">
        <v>810.5</v>
      </c>
      <c r="F16" s="678">
        <v>109446.8</v>
      </c>
      <c r="G16" s="678">
        <v>110257.3</v>
      </c>
      <c r="H16" s="678">
        <v>2160.8000000000002</v>
      </c>
      <c r="I16" s="678">
        <v>14509</v>
      </c>
      <c r="J16" s="678">
        <v>16669.8</v>
      </c>
      <c r="K16" s="678">
        <v>574599.4</v>
      </c>
      <c r="L16" s="678">
        <v>701526.5</v>
      </c>
      <c r="M16" s="678">
        <v>-103141.2</v>
      </c>
      <c r="N16" s="678">
        <v>598385.30000000005</v>
      </c>
      <c r="O16" s="678">
        <v>787614.10000000009</v>
      </c>
      <c r="P16" s="596" t="s">
        <v>1754</v>
      </c>
    </row>
    <row r="17" spans="1:16" s="142" customFormat="1" ht="11.85" customHeight="1">
      <c r="A17" s="548" t="s">
        <v>1954</v>
      </c>
      <c r="B17" s="509">
        <v>218904.1</v>
      </c>
      <c r="C17" s="509">
        <v>14231.5</v>
      </c>
      <c r="D17" s="509">
        <v>233135.6</v>
      </c>
      <c r="E17" s="509">
        <v>13373.7</v>
      </c>
      <c r="F17" s="509">
        <v>100845.9</v>
      </c>
      <c r="G17" s="509">
        <v>114219.59999999999</v>
      </c>
      <c r="H17" s="509">
        <v>2015.5</v>
      </c>
      <c r="I17" s="509">
        <v>14035.6</v>
      </c>
      <c r="J17" s="509">
        <v>16051.1</v>
      </c>
      <c r="K17" s="509">
        <v>671009.30000000005</v>
      </c>
      <c r="L17" s="509">
        <v>801280</v>
      </c>
      <c r="M17" s="509">
        <v>-118037.8</v>
      </c>
      <c r="N17" s="509">
        <v>683242.2</v>
      </c>
      <c r="O17" s="509">
        <v>916377.79999999993</v>
      </c>
      <c r="P17" s="549" t="s">
        <v>1954</v>
      </c>
    </row>
    <row r="18" spans="1:16" s="382" customFormat="1" ht="11.85" customHeight="1">
      <c r="A18" s="550" t="s">
        <v>2046</v>
      </c>
      <c r="B18" s="522">
        <f>B30</f>
        <v>252027</v>
      </c>
      <c r="C18" s="522">
        <f t="shared" ref="C18:O18" si="5">C30</f>
        <v>14670</v>
      </c>
      <c r="D18" s="522">
        <f t="shared" si="5"/>
        <v>266697</v>
      </c>
      <c r="E18" s="522">
        <f t="shared" si="5"/>
        <v>12977.7</v>
      </c>
      <c r="F18" s="522">
        <f t="shared" si="5"/>
        <v>84355.8</v>
      </c>
      <c r="G18" s="522">
        <f t="shared" si="5"/>
        <v>97333.5</v>
      </c>
      <c r="H18" s="522">
        <f t="shared" si="5"/>
        <v>2157.8000000000002</v>
      </c>
      <c r="I18" s="522">
        <f t="shared" si="5"/>
        <v>15122.4</v>
      </c>
      <c r="J18" s="522">
        <f t="shared" si="5"/>
        <v>17280.2</v>
      </c>
      <c r="K18" s="522">
        <f t="shared" si="5"/>
        <v>776056.5</v>
      </c>
      <c r="L18" s="522">
        <f t="shared" si="5"/>
        <v>890670.2</v>
      </c>
      <c r="M18" s="522">
        <f t="shared" si="5"/>
        <v>-141291.1</v>
      </c>
      <c r="N18" s="522">
        <f t="shared" si="5"/>
        <v>749379.1</v>
      </c>
      <c r="O18" s="522">
        <f t="shared" si="5"/>
        <v>1016076.1</v>
      </c>
      <c r="P18" s="552" t="s">
        <v>2046</v>
      </c>
    </row>
    <row r="19" spans="1:16" s="142" customFormat="1" ht="11.85" customHeight="1">
      <c r="A19" s="446" t="s">
        <v>818</v>
      </c>
      <c r="B19" s="437">
        <v>222971.6</v>
      </c>
      <c r="C19" s="427">
        <v>12913.8</v>
      </c>
      <c r="D19" s="427">
        <f t="shared" ref="D19:D54" si="6">B19+C19</f>
        <v>235885.4</v>
      </c>
      <c r="E19" s="427">
        <v>-254.7</v>
      </c>
      <c r="F19" s="427">
        <v>116912.7</v>
      </c>
      <c r="G19" s="427">
        <f t="shared" ref="G19:G54" si="7">E19+F19</f>
        <v>116658</v>
      </c>
      <c r="H19" s="427">
        <v>2006.8</v>
      </c>
      <c r="I19" s="427">
        <v>13991.8</v>
      </c>
      <c r="J19" s="427">
        <f t="shared" ref="J19:J54" si="8">H19+I19</f>
        <v>15998.599999999999</v>
      </c>
      <c r="K19" s="427">
        <f>4923.1+660388.7</f>
        <v>665311.79999999993</v>
      </c>
      <c r="L19" s="427">
        <f t="shared" ref="L19:L40" si="9">G19+J19+K19</f>
        <v>797968.39999999991</v>
      </c>
      <c r="M19" s="427">
        <v>-120549.1</v>
      </c>
      <c r="N19" s="427">
        <f t="shared" ref="N19:N30" si="10">L19+M19</f>
        <v>677419.29999999993</v>
      </c>
      <c r="O19" s="427">
        <f t="shared" ref="O19:O30" si="11">D19+N19</f>
        <v>913304.7</v>
      </c>
      <c r="P19" s="447" t="s">
        <v>818</v>
      </c>
    </row>
    <row r="20" spans="1:16" s="382" customFormat="1" ht="11.85" customHeight="1">
      <c r="A20" s="251" t="s">
        <v>819</v>
      </c>
      <c r="B20" s="343">
        <v>227994.8</v>
      </c>
      <c r="C20" s="343">
        <v>13540.2</v>
      </c>
      <c r="D20" s="343">
        <f t="shared" si="6"/>
        <v>241535</v>
      </c>
      <c r="E20" s="343">
        <v>-1519.1</v>
      </c>
      <c r="F20" s="343">
        <v>114843.3</v>
      </c>
      <c r="G20" s="343">
        <f t="shared" si="7"/>
        <v>113324.2</v>
      </c>
      <c r="H20" s="343">
        <v>2009.6</v>
      </c>
      <c r="I20" s="343">
        <v>14100.1</v>
      </c>
      <c r="J20" s="343">
        <f t="shared" si="8"/>
        <v>16109.7</v>
      </c>
      <c r="K20" s="343">
        <f>4820.5+667104.1</f>
        <v>671924.6</v>
      </c>
      <c r="L20" s="343">
        <f t="shared" si="9"/>
        <v>801358.5</v>
      </c>
      <c r="M20" s="343">
        <v>-120010.4</v>
      </c>
      <c r="N20" s="343">
        <f t="shared" si="10"/>
        <v>681348.1</v>
      </c>
      <c r="O20" s="343">
        <f t="shared" si="11"/>
        <v>922883.1</v>
      </c>
      <c r="P20" s="315" t="s">
        <v>819</v>
      </c>
    </row>
    <row r="21" spans="1:16" s="142" customFormat="1" ht="11.85" customHeight="1">
      <c r="A21" s="446" t="s">
        <v>813</v>
      </c>
      <c r="B21" s="427">
        <v>233071.6</v>
      </c>
      <c r="C21" s="427">
        <v>13674.2</v>
      </c>
      <c r="D21" s="427">
        <f t="shared" si="6"/>
        <v>246745.80000000002</v>
      </c>
      <c r="E21" s="427">
        <v>1004.4</v>
      </c>
      <c r="F21" s="427">
        <v>112659.1</v>
      </c>
      <c r="G21" s="427">
        <f t="shared" si="7"/>
        <v>113663.5</v>
      </c>
      <c r="H21" s="427">
        <v>1986.2</v>
      </c>
      <c r="I21" s="427">
        <v>13926.1</v>
      </c>
      <c r="J21" s="427">
        <f t="shared" si="8"/>
        <v>15912.300000000001</v>
      </c>
      <c r="K21" s="427">
        <f>4830.8+675306.2</f>
        <v>680137</v>
      </c>
      <c r="L21" s="427">
        <f t="shared" si="9"/>
        <v>809712.8</v>
      </c>
      <c r="M21" s="427">
        <v>-124935.4</v>
      </c>
      <c r="N21" s="427">
        <f t="shared" si="10"/>
        <v>684777.4</v>
      </c>
      <c r="O21" s="427">
        <f t="shared" si="11"/>
        <v>931523.20000000007</v>
      </c>
      <c r="P21" s="447" t="s">
        <v>813</v>
      </c>
    </row>
    <row r="22" spans="1:16" s="382" customFormat="1" ht="11.85" customHeight="1">
      <c r="A22" s="251" t="s">
        <v>820</v>
      </c>
      <c r="B22" s="343">
        <v>234188.5</v>
      </c>
      <c r="C22" s="343">
        <v>13125.2</v>
      </c>
      <c r="D22" s="343">
        <f t="shared" si="6"/>
        <v>247313.7</v>
      </c>
      <c r="E22" s="343">
        <v>1350.8</v>
      </c>
      <c r="F22" s="343">
        <v>108661.6</v>
      </c>
      <c r="G22" s="343">
        <f t="shared" si="7"/>
        <v>110012.40000000001</v>
      </c>
      <c r="H22" s="343">
        <v>1988.9</v>
      </c>
      <c r="I22" s="343">
        <v>13428.6</v>
      </c>
      <c r="J22" s="343">
        <f t="shared" si="8"/>
        <v>15417.5</v>
      </c>
      <c r="K22" s="343">
        <f>4860.5+680220.3</f>
        <v>685080.8</v>
      </c>
      <c r="L22" s="343">
        <f t="shared" si="9"/>
        <v>810510.70000000007</v>
      </c>
      <c r="M22" s="343">
        <v>-124597.8</v>
      </c>
      <c r="N22" s="343">
        <f t="shared" si="10"/>
        <v>685912.9</v>
      </c>
      <c r="O22" s="343">
        <f t="shared" si="11"/>
        <v>933226.60000000009</v>
      </c>
      <c r="P22" s="315" t="s">
        <v>820</v>
      </c>
    </row>
    <row r="23" spans="1:16" s="142" customFormat="1" ht="11.85" customHeight="1">
      <c r="A23" s="446" t="s">
        <v>821</v>
      </c>
      <c r="B23" s="427">
        <v>233489.3</v>
      </c>
      <c r="C23" s="427">
        <v>11566.6</v>
      </c>
      <c r="D23" s="427">
        <f t="shared" si="6"/>
        <v>245055.9</v>
      </c>
      <c r="E23" s="427">
        <v>3205.6</v>
      </c>
      <c r="F23" s="427">
        <v>105438.9</v>
      </c>
      <c r="G23" s="427">
        <f t="shared" si="7"/>
        <v>108644.5</v>
      </c>
      <c r="H23" s="427">
        <v>1994</v>
      </c>
      <c r="I23" s="427">
        <v>13751.5</v>
      </c>
      <c r="J23" s="427">
        <f t="shared" si="8"/>
        <v>15745.5</v>
      </c>
      <c r="K23" s="452">
        <f>4877.1+689681</f>
        <v>694558.1</v>
      </c>
      <c r="L23" s="427">
        <f t="shared" si="9"/>
        <v>818948.1</v>
      </c>
      <c r="M23" s="427">
        <v>-125282.6</v>
      </c>
      <c r="N23" s="427">
        <f t="shared" si="10"/>
        <v>693665.5</v>
      </c>
      <c r="O23" s="427">
        <f t="shared" si="11"/>
        <v>938721.4</v>
      </c>
      <c r="P23" s="447" t="s">
        <v>821</v>
      </c>
    </row>
    <row r="24" spans="1:16" s="382" customFormat="1" ht="11.85" customHeight="1">
      <c r="A24" s="251" t="s">
        <v>814</v>
      </c>
      <c r="B24" s="343">
        <v>235538.8</v>
      </c>
      <c r="C24" s="343">
        <v>11709.5</v>
      </c>
      <c r="D24" s="343">
        <f t="shared" si="6"/>
        <v>247248.3</v>
      </c>
      <c r="E24" s="343">
        <v>4872.5</v>
      </c>
      <c r="F24" s="343">
        <v>93766.3</v>
      </c>
      <c r="G24" s="343">
        <f t="shared" si="7"/>
        <v>98638.8</v>
      </c>
      <c r="H24" s="343">
        <v>1926.2</v>
      </c>
      <c r="I24" s="343">
        <v>14453.5</v>
      </c>
      <c r="J24" s="343">
        <f t="shared" si="8"/>
        <v>16379.7</v>
      </c>
      <c r="K24" s="343">
        <f>4921.2+712098.3</f>
        <v>717019.5</v>
      </c>
      <c r="L24" s="343">
        <f t="shared" si="9"/>
        <v>832038</v>
      </c>
      <c r="M24" s="343">
        <v>-125232.5</v>
      </c>
      <c r="N24" s="343">
        <f t="shared" si="10"/>
        <v>706805.5</v>
      </c>
      <c r="O24" s="343">
        <f t="shared" si="11"/>
        <v>954053.8</v>
      </c>
      <c r="P24" s="315" t="s">
        <v>814</v>
      </c>
    </row>
    <row r="25" spans="1:16" s="142" customFormat="1" ht="11.85" customHeight="1">
      <c r="A25" s="446" t="s">
        <v>822</v>
      </c>
      <c r="B25" s="427">
        <v>236674.5</v>
      </c>
      <c r="C25" s="427">
        <v>11331.7</v>
      </c>
      <c r="D25" s="427">
        <f t="shared" si="6"/>
        <v>248006.2</v>
      </c>
      <c r="E25" s="427">
        <v>923.2</v>
      </c>
      <c r="F25" s="427">
        <v>95436.9</v>
      </c>
      <c r="G25" s="427">
        <f t="shared" si="7"/>
        <v>96360.099999999991</v>
      </c>
      <c r="H25" s="427">
        <v>1868.6</v>
      </c>
      <c r="I25" s="427">
        <v>14368.7</v>
      </c>
      <c r="J25" s="427">
        <f t="shared" si="8"/>
        <v>16237.300000000001</v>
      </c>
      <c r="K25" s="427">
        <f>4865.5+714487.3</f>
        <v>719352.8</v>
      </c>
      <c r="L25" s="427">
        <f t="shared" si="9"/>
        <v>831950.20000000007</v>
      </c>
      <c r="M25" s="427">
        <v>-128373.5</v>
      </c>
      <c r="N25" s="427">
        <f t="shared" si="10"/>
        <v>703576.70000000007</v>
      </c>
      <c r="O25" s="427">
        <f t="shared" si="11"/>
        <v>951582.90000000014</v>
      </c>
      <c r="P25" s="447" t="s">
        <v>822</v>
      </c>
    </row>
    <row r="26" spans="1:16" s="382" customFormat="1" ht="11.85" customHeight="1">
      <c r="A26" s="251" t="s">
        <v>823</v>
      </c>
      <c r="B26" s="343">
        <v>240191.5</v>
      </c>
      <c r="C26" s="343">
        <v>12306.8</v>
      </c>
      <c r="D26" s="343">
        <f t="shared" si="6"/>
        <v>252498.3</v>
      </c>
      <c r="E26" s="343">
        <v>-470.3</v>
      </c>
      <c r="F26" s="343">
        <v>93995.9</v>
      </c>
      <c r="G26" s="343">
        <f t="shared" si="7"/>
        <v>93525.599999999991</v>
      </c>
      <c r="H26" s="343">
        <v>1871.3</v>
      </c>
      <c r="I26" s="343">
        <v>13782.3</v>
      </c>
      <c r="J26" s="343">
        <f t="shared" si="8"/>
        <v>15653.599999999999</v>
      </c>
      <c r="K26" s="343">
        <f>4840+722861.1</f>
        <v>727701.1</v>
      </c>
      <c r="L26" s="343">
        <f t="shared" si="9"/>
        <v>836880.29999999993</v>
      </c>
      <c r="M26" s="343">
        <v>-131492.1</v>
      </c>
      <c r="N26" s="343">
        <f t="shared" si="10"/>
        <v>705388.2</v>
      </c>
      <c r="O26" s="343">
        <f t="shared" si="11"/>
        <v>957886.5</v>
      </c>
      <c r="P26" s="315" t="s">
        <v>823</v>
      </c>
    </row>
    <row r="27" spans="1:16" s="142" customFormat="1" ht="11.85" customHeight="1">
      <c r="A27" s="446" t="s">
        <v>815</v>
      </c>
      <c r="B27" s="427">
        <v>242368.9</v>
      </c>
      <c r="C27" s="427">
        <v>11777</v>
      </c>
      <c r="D27" s="427">
        <f t="shared" si="6"/>
        <v>254145.9</v>
      </c>
      <c r="E27" s="427">
        <v>-218.8</v>
      </c>
      <c r="F27" s="427">
        <v>90530.9</v>
      </c>
      <c r="G27" s="427">
        <f t="shared" si="7"/>
        <v>90312.099999999991</v>
      </c>
      <c r="H27" s="427">
        <v>1849.4</v>
      </c>
      <c r="I27" s="427">
        <v>14439</v>
      </c>
      <c r="J27" s="427">
        <f t="shared" si="8"/>
        <v>16288.4</v>
      </c>
      <c r="K27" s="427">
        <f>4866.9+733773.9</f>
        <v>738640.8</v>
      </c>
      <c r="L27" s="427">
        <f t="shared" si="9"/>
        <v>845241.3</v>
      </c>
      <c r="M27" s="427">
        <v>-134564.1</v>
      </c>
      <c r="N27" s="427">
        <f t="shared" si="10"/>
        <v>710677.20000000007</v>
      </c>
      <c r="O27" s="427">
        <f t="shared" si="11"/>
        <v>964823.10000000009</v>
      </c>
      <c r="P27" s="447" t="s">
        <v>815</v>
      </c>
    </row>
    <row r="28" spans="1:16" s="382" customFormat="1" ht="11.85" customHeight="1">
      <c r="A28" s="251" t="s">
        <v>824</v>
      </c>
      <c r="B28" s="343">
        <v>242030</v>
      </c>
      <c r="C28" s="343">
        <v>12307.1</v>
      </c>
      <c r="D28" s="343">
        <f t="shared" si="6"/>
        <v>254337.1</v>
      </c>
      <c r="E28" s="343">
        <v>2900.4</v>
      </c>
      <c r="F28" s="343">
        <v>81265.7</v>
      </c>
      <c r="G28" s="343">
        <f t="shared" si="7"/>
        <v>84166.099999999991</v>
      </c>
      <c r="H28" s="343">
        <v>1851.9</v>
      </c>
      <c r="I28" s="343">
        <v>15002.2</v>
      </c>
      <c r="J28" s="343">
        <f t="shared" si="8"/>
        <v>16854.100000000002</v>
      </c>
      <c r="K28" s="343">
        <f>4873.1+744374.7</f>
        <v>749247.79999999993</v>
      </c>
      <c r="L28" s="343">
        <f t="shared" si="9"/>
        <v>850267.99999999988</v>
      </c>
      <c r="M28" s="343">
        <v>-133341.4</v>
      </c>
      <c r="N28" s="343">
        <f t="shared" si="10"/>
        <v>716926.59999999986</v>
      </c>
      <c r="O28" s="343">
        <f t="shared" si="11"/>
        <v>971263.69999999984</v>
      </c>
      <c r="P28" s="315" t="s">
        <v>824</v>
      </c>
    </row>
    <row r="29" spans="1:16" s="142" customFormat="1" ht="11.85" customHeight="1">
      <c r="A29" s="446" t="s">
        <v>825</v>
      </c>
      <c r="B29" s="427">
        <v>246330.1</v>
      </c>
      <c r="C29" s="427">
        <v>11187.7</v>
      </c>
      <c r="D29" s="427">
        <f t="shared" si="6"/>
        <v>257517.80000000002</v>
      </c>
      <c r="E29" s="427">
        <v>8419.9</v>
      </c>
      <c r="F29" s="427">
        <v>74177.7</v>
      </c>
      <c r="G29" s="427">
        <f t="shared" si="7"/>
        <v>82597.599999999991</v>
      </c>
      <c r="H29" s="427">
        <v>2154</v>
      </c>
      <c r="I29" s="427">
        <v>15233.5</v>
      </c>
      <c r="J29" s="427">
        <f t="shared" si="8"/>
        <v>17387.5</v>
      </c>
      <c r="K29" s="427">
        <f>4983+753866.7</f>
        <v>758849.7</v>
      </c>
      <c r="L29" s="427">
        <f t="shared" si="9"/>
        <v>858834.79999999993</v>
      </c>
      <c r="M29" s="427">
        <v>-137872.5</v>
      </c>
      <c r="N29" s="427">
        <f t="shared" si="10"/>
        <v>720962.29999999993</v>
      </c>
      <c r="O29" s="427">
        <f t="shared" si="11"/>
        <v>978480.1</v>
      </c>
      <c r="P29" s="447" t="s">
        <v>825</v>
      </c>
    </row>
    <row r="30" spans="1:16" s="382" customFormat="1" ht="11.85" customHeight="1">
      <c r="A30" s="251" t="s">
        <v>816</v>
      </c>
      <c r="B30" s="343">
        <v>252027</v>
      </c>
      <c r="C30" s="343">
        <v>14670</v>
      </c>
      <c r="D30" s="343">
        <f t="shared" si="6"/>
        <v>266697</v>
      </c>
      <c r="E30" s="343">
        <v>12977.7</v>
      </c>
      <c r="F30" s="343">
        <v>84355.8</v>
      </c>
      <c r="G30" s="343">
        <f t="shared" si="7"/>
        <v>97333.5</v>
      </c>
      <c r="H30" s="343">
        <v>2157.8000000000002</v>
      </c>
      <c r="I30" s="343">
        <v>15122.4</v>
      </c>
      <c r="J30" s="343">
        <f t="shared" si="8"/>
        <v>17280.2</v>
      </c>
      <c r="K30" s="343">
        <f>4976.6+771079.9</f>
        <v>776056.5</v>
      </c>
      <c r="L30" s="343">
        <f t="shared" si="9"/>
        <v>890670.2</v>
      </c>
      <c r="M30" s="343">
        <v>-141291.1</v>
      </c>
      <c r="N30" s="343">
        <f t="shared" si="10"/>
        <v>749379.1</v>
      </c>
      <c r="O30" s="343">
        <f t="shared" si="11"/>
        <v>1016076.1</v>
      </c>
      <c r="P30" s="315" t="s">
        <v>816</v>
      </c>
    </row>
    <row r="31" spans="1:16" s="382" customFormat="1" ht="11.85" customHeight="1">
      <c r="A31" s="548" t="s">
        <v>2268</v>
      </c>
      <c r="B31" s="509">
        <f>B43</f>
        <v>253509.8</v>
      </c>
      <c r="C31" s="509">
        <f t="shared" ref="C31:O31" si="12">C43</f>
        <v>11164.6</v>
      </c>
      <c r="D31" s="509">
        <f t="shared" si="12"/>
        <v>264674.39999999997</v>
      </c>
      <c r="E31" s="509">
        <f t="shared" si="12"/>
        <v>22572.2</v>
      </c>
      <c r="F31" s="509">
        <f t="shared" si="12"/>
        <v>72322.7</v>
      </c>
      <c r="G31" s="509">
        <f t="shared" si="12"/>
        <v>94894.9</v>
      </c>
      <c r="H31" s="509">
        <f t="shared" si="12"/>
        <v>2367.8000000000002</v>
      </c>
      <c r="I31" s="509">
        <f t="shared" si="12"/>
        <v>16832.3</v>
      </c>
      <c r="J31" s="509">
        <f t="shared" si="12"/>
        <v>19200.099999999999</v>
      </c>
      <c r="K31" s="509">
        <f t="shared" si="12"/>
        <v>907531.6</v>
      </c>
      <c r="L31" s="509">
        <f t="shared" si="12"/>
        <v>1021626.6</v>
      </c>
      <c r="M31" s="509">
        <f t="shared" si="12"/>
        <v>-176320</v>
      </c>
      <c r="N31" s="509">
        <f t="shared" si="12"/>
        <v>845306.6</v>
      </c>
      <c r="O31" s="509">
        <f t="shared" si="12"/>
        <v>1109981</v>
      </c>
      <c r="P31" s="549" t="s">
        <v>2268</v>
      </c>
    </row>
    <row r="32" spans="1:16" s="382" customFormat="1" ht="11.85" customHeight="1">
      <c r="A32" s="251" t="s">
        <v>818</v>
      </c>
      <c r="B32" s="343">
        <v>251647.8</v>
      </c>
      <c r="C32" s="343">
        <v>13105.3</v>
      </c>
      <c r="D32" s="343">
        <f t="shared" si="6"/>
        <v>264753.09999999998</v>
      </c>
      <c r="E32" s="343">
        <v>3564.5</v>
      </c>
      <c r="F32" s="343">
        <v>91195.3</v>
      </c>
      <c r="G32" s="343">
        <f t="shared" si="7"/>
        <v>94759.8</v>
      </c>
      <c r="H32" s="343">
        <v>2147.5</v>
      </c>
      <c r="I32" s="343">
        <v>15420.4</v>
      </c>
      <c r="J32" s="343">
        <f t="shared" si="8"/>
        <v>17567.900000000001</v>
      </c>
      <c r="K32" s="343">
        <f>4920.2+773095.4</f>
        <v>778015.6</v>
      </c>
      <c r="L32" s="343">
        <f t="shared" si="9"/>
        <v>890343.3</v>
      </c>
      <c r="M32" s="343">
        <v>-145504.70000000001</v>
      </c>
      <c r="N32" s="343">
        <f t="shared" ref="N32:N40" si="13">L32+M32</f>
        <v>744838.60000000009</v>
      </c>
      <c r="O32" s="343">
        <f t="shared" ref="O32:O54" si="14">D32+N32</f>
        <v>1009591.7000000001</v>
      </c>
      <c r="P32" s="315" t="s">
        <v>818</v>
      </c>
    </row>
    <row r="33" spans="1:16" s="142" customFormat="1" ht="11.85" customHeight="1">
      <c r="A33" s="446" t="s">
        <v>819</v>
      </c>
      <c r="B33" s="427">
        <v>251630.1</v>
      </c>
      <c r="C33" s="427">
        <v>14305.3</v>
      </c>
      <c r="D33" s="427">
        <f t="shared" si="6"/>
        <v>265935.40000000002</v>
      </c>
      <c r="E33" s="427">
        <v>14699.8</v>
      </c>
      <c r="F33" s="427">
        <v>86587.6</v>
      </c>
      <c r="G33" s="427">
        <f t="shared" si="7"/>
        <v>101287.40000000001</v>
      </c>
      <c r="H33" s="427">
        <v>2150.1999999999998</v>
      </c>
      <c r="I33" s="427">
        <v>15541.5</v>
      </c>
      <c r="J33" s="427">
        <f t="shared" si="8"/>
        <v>17691.7</v>
      </c>
      <c r="K33" s="427">
        <f>4833.9+786973.2</f>
        <v>791807.1</v>
      </c>
      <c r="L33" s="427">
        <f t="shared" si="9"/>
        <v>910786.2</v>
      </c>
      <c r="M33" s="427">
        <v>-145569.9</v>
      </c>
      <c r="N33" s="427">
        <f t="shared" si="13"/>
        <v>765216.29999999993</v>
      </c>
      <c r="O33" s="427">
        <f t="shared" si="14"/>
        <v>1031151.7</v>
      </c>
      <c r="P33" s="447" t="s">
        <v>819</v>
      </c>
    </row>
    <row r="34" spans="1:16" s="382" customFormat="1" ht="11.85" customHeight="1">
      <c r="A34" s="251" t="s">
        <v>813</v>
      </c>
      <c r="B34" s="343">
        <v>250809.7</v>
      </c>
      <c r="C34" s="343">
        <v>12244.6</v>
      </c>
      <c r="D34" s="343">
        <f t="shared" si="6"/>
        <v>263054.3</v>
      </c>
      <c r="E34" s="343">
        <v>6694.8</v>
      </c>
      <c r="F34" s="343">
        <v>87743.3</v>
      </c>
      <c r="G34" s="343">
        <f t="shared" si="7"/>
        <v>94438.1</v>
      </c>
      <c r="H34" s="343">
        <v>2152.6</v>
      </c>
      <c r="I34" s="343">
        <v>15524.7</v>
      </c>
      <c r="J34" s="343">
        <f t="shared" si="8"/>
        <v>17677.3</v>
      </c>
      <c r="K34" s="343">
        <f>4844.2+796381.3</f>
        <v>801225.5</v>
      </c>
      <c r="L34" s="343">
        <f t="shared" si="9"/>
        <v>913340.9</v>
      </c>
      <c r="M34" s="343">
        <v>-147694.39999999999</v>
      </c>
      <c r="N34" s="343">
        <f t="shared" si="13"/>
        <v>765646.5</v>
      </c>
      <c r="O34" s="343">
        <f t="shared" si="14"/>
        <v>1028700.8</v>
      </c>
      <c r="P34" s="315" t="s">
        <v>813</v>
      </c>
    </row>
    <row r="35" spans="1:16" s="142" customFormat="1" ht="11.85" customHeight="1">
      <c r="A35" s="446" t="s">
        <v>820</v>
      </c>
      <c r="B35" s="427">
        <v>251637.5</v>
      </c>
      <c r="C35" s="427">
        <v>11537.9</v>
      </c>
      <c r="D35" s="427">
        <f t="shared" si="6"/>
        <v>263175.40000000002</v>
      </c>
      <c r="E35" s="427">
        <v>8497.2999999999993</v>
      </c>
      <c r="F35" s="427">
        <v>83686.100000000006</v>
      </c>
      <c r="G35" s="427">
        <f t="shared" si="7"/>
        <v>92183.400000000009</v>
      </c>
      <c r="H35" s="427">
        <v>2154.9</v>
      </c>
      <c r="I35" s="427">
        <v>15876.5</v>
      </c>
      <c r="J35" s="427">
        <f t="shared" si="8"/>
        <v>18031.400000000001</v>
      </c>
      <c r="K35" s="427">
        <f>4848.8+807831</f>
        <v>812679.8</v>
      </c>
      <c r="L35" s="427">
        <f t="shared" si="9"/>
        <v>922894.60000000009</v>
      </c>
      <c r="M35" s="427">
        <v>-152848.20000000001</v>
      </c>
      <c r="N35" s="427">
        <f t="shared" si="13"/>
        <v>770046.40000000014</v>
      </c>
      <c r="O35" s="427">
        <f t="shared" si="14"/>
        <v>1033221.8000000002</v>
      </c>
      <c r="P35" s="447" t="s">
        <v>820</v>
      </c>
    </row>
    <row r="36" spans="1:16" s="382" customFormat="1" ht="11.85" customHeight="1">
      <c r="A36" s="251" t="s">
        <v>821</v>
      </c>
      <c r="B36" s="343">
        <v>252830</v>
      </c>
      <c r="C36" s="343">
        <v>9708.5</v>
      </c>
      <c r="D36" s="343">
        <f t="shared" si="6"/>
        <v>262538.5</v>
      </c>
      <c r="E36" s="343">
        <v>8979.1</v>
      </c>
      <c r="F36" s="343">
        <v>83624</v>
      </c>
      <c r="G36" s="343">
        <f t="shared" si="7"/>
        <v>92603.1</v>
      </c>
      <c r="H36" s="343">
        <v>2157.4</v>
      </c>
      <c r="I36" s="343">
        <v>15984.2</v>
      </c>
      <c r="J36" s="343">
        <f t="shared" si="8"/>
        <v>18141.600000000002</v>
      </c>
      <c r="K36" s="343">
        <f>4885.6+822058</f>
        <v>826943.6</v>
      </c>
      <c r="L36" s="343">
        <f t="shared" si="9"/>
        <v>937688.3</v>
      </c>
      <c r="M36" s="343">
        <v>-159861.6</v>
      </c>
      <c r="N36" s="343">
        <f t="shared" si="13"/>
        <v>777826.70000000007</v>
      </c>
      <c r="O36" s="343">
        <f t="shared" si="14"/>
        <v>1040365.2000000001</v>
      </c>
      <c r="P36" s="315" t="s">
        <v>821</v>
      </c>
    </row>
    <row r="37" spans="1:16" s="142" customFormat="1" ht="11.85" customHeight="1">
      <c r="A37" s="446" t="s">
        <v>814</v>
      </c>
      <c r="B37" s="427">
        <v>253497.7</v>
      </c>
      <c r="C37" s="427">
        <v>10526.1</v>
      </c>
      <c r="D37" s="427">
        <f t="shared" si="6"/>
        <v>264023.8</v>
      </c>
      <c r="E37" s="427">
        <v>9238.6</v>
      </c>
      <c r="F37" s="427">
        <v>78037.899999999994</v>
      </c>
      <c r="G37" s="427">
        <f t="shared" si="7"/>
        <v>87276.5</v>
      </c>
      <c r="H37" s="427">
        <v>2160</v>
      </c>
      <c r="I37" s="427">
        <v>16465.5</v>
      </c>
      <c r="J37" s="427">
        <f t="shared" si="8"/>
        <v>18625.5</v>
      </c>
      <c r="K37" s="427">
        <f>4986.5+841101</f>
        <v>846087.5</v>
      </c>
      <c r="L37" s="427">
        <f t="shared" si="9"/>
        <v>951989.5</v>
      </c>
      <c r="M37" s="427">
        <v>-160014.39999999999</v>
      </c>
      <c r="N37" s="427">
        <f t="shared" si="13"/>
        <v>791975.1</v>
      </c>
      <c r="O37" s="427">
        <f t="shared" si="14"/>
        <v>1055998.8999999999</v>
      </c>
      <c r="P37" s="447" t="s">
        <v>814</v>
      </c>
    </row>
    <row r="38" spans="1:16" s="382" customFormat="1" ht="11.85" customHeight="1">
      <c r="A38" s="251" t="s">
        <v>822</v>
      </c>
      <c r="B38" s="343">
        <v>253560.4</v>
      </c>
      <c r="C38" s="343">
        <v>9127.9</v>
      </c>
      <c r="D38" s="343">
        <f t="shared" si="6"/>
        <v>262688.3</v>
      </c>
      <c r="E38" s="343">
        <v>7367.2</v>
      </c>
      <c r="F38" s="343">
        <v>73666.2</v>
      </c>
      <c r="G38" s="343">
        <f t="shared" si="7"/>
        <v>81033.399999999994</v>
      </c>
      <c r="H38" s="343">
        <v>2208.4</v>
      </c>
      <c r="I38" s="343">
        <v>16186.8</v>
      </c>
      <c r="J38" s="343">
        <f t="shared" si="8"/>
        <v>18395.2</v>
      </c>
      <c r="K38" s="343">
        <f>4993.1+846421.8</f>
        <v>851414.9</v>
      </c>
      <c r="L38" s="343">
        <f t="shared" si="9"/>
        <v>950843.5</v>
      </c>
      <c r="M38" s="343">
        <v>-165469.6</v>
      </c>
      <c r="N38" s="343">
        <f t="shared" si="13"/>
        <v>785373.9</v>
      </c>
      <c r="O38" s="343">
        <f t="shared" si="14"/>
        <v>1048062.2</v>
      </c>
      <c r="P38" s="315" t="s">
        <v>822</v>
      </c>
    </row>
    <row r="39" spans="1:16" s="142" customFormat="1" ht="11.85" customHeight="1">
      <c r="A39" s="446" t="s">
        <v>823</v>
      </c>
      <c r="B39" s="427">
        <v>253570.9</v>
      </c>
      <c r="C39" s="427">
        <v>8786</v>
      </c>
      <c r="D39" s="427">
        <f t="shared" si="6"/>
        <v>262356.90000000002</v>
      </c>
      <c r="E39" s="427">
        <v>7078.4</v>
      </c>
      <c r="F39" s="427">
        <v>67990.899999999994</v>
      </c>
      <c r="G39" s="427">
        <f t="shared" si="7"/>
        <v>75069.299999999988</v>
      </c>
      <c r="H39" s="427">
        <v>2211.1</v>
      </c>
      <c r="I39" s="427">
        <v>16347.7</v>
      </c>
      <c r="J39" s="427">
        <f t="shared" si="8"/>
        <v>18558.8</v>
      </c>
      <c r="K39" s="427">
        <f>4920.7+857304.1</f>
        <v>862224.79999999993</v>
      </c>
      <c r="L39" s="427">
        <f t="shared" si="9"/>
        <v>955852.89999999991</v>
      </c>
      <c r="M39" s="427">
        <v>-166663</v>
      </c>
      <c r="N39" s="427">
        <f t="shared" si="13"/>
        <v>789189.89999999991</v>
      </c>
      <c r="O39" s="427">
        <f t="shared" si="14"/>
        <v>1051546.7999999998</v>
      </c>
      <c r="P39" s="447" t="s">
        <v>823</v>
      </c>
    </row>
    <row r="40" spans="1:16" s="382" customFormat="1" ht="11.85" customHeight="1">
      <c r="A40" s="251" t="s">
        <v>815</v>
      </c>
      <c r="B40" s="343">
        <v>252905.8</v>
      </c>
      <c r="C40" s="343">
        <v>10165.6</v>
      </c>
      <c r="D40" s="343">
        <f t="shared" si="6"/>
        <v>263071.39999999997</v>
      </c>
      <c r="E40" s="343">
        <v>10068.4</v>
      </c>
      <c r="F40" s="343">
        <v>64507.1</v>
      </c>
      <c r="G40" s="343">
        <f t="shared" si="7"/>
        <v>74575.5</v>
      </c>
      <c r="H40" s="343">
        <v>2213.9</v>
      </c>
      <c r="I40" s="343">
        <v>15984.5</v>
      </c>
      <c r="J40" s="343">
        <f t="shared" si="8"/>
        <v>18198.400000000001</v>
      </c>
      <c r="K40" s="343">
        <f>4958.9+866472.6</f>
        <v>871431.5</v>
      </c>
      <c r="L40" s="343">
        <f t="shared" si="9"/>
        <v>964205.4</v>
      </c>
      <c r="M40" s="343">
        <v>-173163.6</v>
      </c>
      <c r="N40" s="343">
        <f t="shared" si="13"/>
        <v>791041.8</v>
      </c>
      <c r="O40" s="343">
        <f t="shared" si="14"/>
        <v>1054113.2</v>
      </c>
      <c r="P40" s="315" t="s">
        <v>815</v>
      </c>
    </row>
    <row r="41" spans="1:16" s="142" customFormat="1" ht="11.85" customHeight="1">
      <c r="A41" s="446" t="s">
        <v>824</v>
      </c>
      <c r="B41" s="427">
        <v>251317</v>
      </c>
      <c r="C41" s="427">
        <v>7482.2</v>
      </c>
      <c r="D41" s="427">
        <f t="shared" si="6"/>
        <v>258799.2</v>
      </c>
      <c r="E41" s="427">
        <v>10370.6</v>
      </c>
      <c r="F41" s="427">
        <v>61258.3</v>
      </c>
      <c r="G41" s="427">
        <f t="shared" si="7"/>
        <v>71628.900000000009</v>
      </c>
      <c r="H41" s="427">
        <v>2342</v>
      </c>
      <c r="I41" s="427">
        <v>16992.3</v>
      </c>
      <c r="J41" s="427">
        <f t="shared" si="8"/>
        <v>19334.3</v>
      </c>
      <c r="K41" s="427">
        <f>5037.6+876473.2</f>
        <v>881510.79999999993</v>
      </c>
      <c r="L41" s="427">
        <f>G41+J41+K41</f>
        <v>972474</v>
      </c>
      <c r="M41" s="427">
        <v>-171805</v>
      </c>
      <c r="N41" s="427">
        <f>L41+M41</f>
        <v>800669</v>
      </c>
      <c r="O41" s="427">
        <f t="shared" si="14"/>
        <v>1059468.2</v>
      </c>
      <c r="P41" s="447" t="s">
        <v>824</v>
      </c>
    </row>
    <row r="42" spans="1:16" s="382" customFormat="1" ht="11.85" customHeight="1">
      <c r="A42" s="251" t="s">
        <v>825</v>
      </c>
      <c r="B42" s="343">
        <v>252375.2</v>
      </c>
      <c r="C42" s="343">
        <v>8685.9</v>
      </c>
      <c r="D42" s="343">
        <f t="shared" si="6"/>
        <v>261061.1</v>
      </c>
      <c r="E42" s="343">
        <v>10663.6</v>
      </c>
      <c r="F42" s="343">
        <v>66033.100000000006</v>
      </c>
      <c r="G42" s="343">
        <f t="shared" si="7"/>
        <v>76696.700000000012</v>
      </c>
      <c r="H42" s="343">
        <v>2385.4</v>
      </c>
      <c r="I42" s="343">
        <v>17421.900000000001</v>
      </c>
      <c r="J42" s="343">
        <f t="shared" si="8"/>
        <v>19807.300000000003</v>
      </c>
      <c r="K42" s="343">
        <f>5071.1+887332.3</f>
        <v>892403.4</v>
      </c>
      <c r="L42" s="343">
        <f>G42+J42+K42</f>
        <v>988907.4</v>
      </c>
      <c r="M42" s="343">
        <v>-171670.39999999999</v>
      </c>
      <c r="N42" s="343">
        <f>L42+M42</f>
        <v>817237</v>
      </c>
      <c r="O42" s="343">
        <f t="shared" si="14"/>
        <v>1078298.1000000001</v>
      </c>
      <c r="P42" s="315" t="s">
        <v>825</v>
      </c>
    </row>
    <row r="43" spans="1:16" s="142" customFormat="1" ht="11.85" customHeight="1">
      <c r="A43" s="446" t="s">
        <v>816</v>
      </c>
      <c r="B43" s="427">
        <v>253509.8</v>
      </c>
      <c r="C43" s="427">
        <v>11164.6</v>
      </c>
      <c r="D43" s="427">
        <f t="shared" si="6"/>
        <v>264674.39999999997</v>
      </c>
      <c r="E43" s="427">
        <v>22572.2</v>
      </c>
      <c r="F43" s="427">
        <v>72322.7</v>
      </c>
      <c r="G43" s="427">
        <f t="shared" si="7"/>
        <v>94894.9</v>
      </c>
      <c r="H43" s="427">
        <v>2367.8000000000002</v>
      </c>
      <c r="I43" s="427">
        <v>16832.3</v>
      </c>
      <c r="J43" s="427">
        <f t="shared" si="8"/>
        <v>19200.099999999999</v>
      </c>
      <c r="K43" s="427">
        <f>5146.2+902385.4</f>
        <v>907531.6</v>
      </c>
      <c r="L43" s="427">
        <f>G43+J43+K43</f>
        <v>1021626.6</v>
      </c>
      <c r="M43" s="427">
        <v>-176320</v>
      </c>
      <c r="N43" s="427">
        <f>L43+M43</f>
        <v>845306.6</v>
      </c>
      <c r="O43" s="427">
        <f t="shared" si="14"/>
        <v>1109981</v>
      </c>
      <c r="P43" s="447" t="s">
        <v>816</v>
      </c>
    </row>
    <row r="44" spans="1:16" s="399" customFormat="1" ht="11.85" customHeight="1">
      <c r="A44" s="288" t="s">
        <v>2524</v>
      </c>
      <c r="B44" s="343"/>
      <c r="C44" s="343"/>
      <c r="D44" s="343"/>
      <c r="E44" s="343"/>
      <c r="F44" s="343"/>
      <c r="G44" s="343"/>
      <c r="H44" s="343"/>
      <c r="I44" s="343"/>
      <c r="J44" s="343"/>
      <c r="K44" s="343"/>
      <c r="L44" s="343"/>
      <c r="M44" s="343"/>
      <c r="N44" s="343"/>
      <c r="O44" s="343"/>
      <c r="P44" s="689" t="s">
        <v>2524</v>
      </c>
    </row>
    <row r="45" spans="1:16" s="52" customFormat="1" ht="11.85" customHeight="1">
      <c r="A45" s="446" t="s">
        <v>818</v>
      </c>
      <c r="B45" s="427">
        <v>251973.1</v>
      </c>
      <c r="C45" s="427">
        <v>11327.6</v>
      </c>
      <c r="D45" s="427">
        <f t="shared" si="6"/>
        <v>263300.7</v>
      </c>
      <c r="E45" s="427">
        <v>12131.7</v>
      </c>
      <c r="F45" s="427">
        <v>85050.8</v>
      </c>
      <c r="G45" s="427">
        <f t="shared" si="7"/>
        <v>97182.5</v>
      </c>
      <c r="H45" s="427">
        <v>2356.5</v>
      </c>
      <c r="I45" s="427">
        <v>17127.7</v>
      </c>
      <c r="J45" s="427">
        <f t="shared" si="8"/>
        <v>19484.2</v>
      </c>
      <c r="K45" s="427">
        <f>5096.9+896368.7</f>
        <v>901465.59999999998</v>
      </c>
      <c r="L45" s="427">
        <f t="shared" ref="L45:L54" si="15">G45+J45+K45</f>
        <v>1018132.2999999999</v>
      </c>
      <c r="M45" s="427">
        <v>-175272.3</v>
      </c>
      <c r="N45" s="427">
        <f t="shared" ref="N45:N54" si="16">L45+M45</f>
        <v>842860</v>
      </c>
      <c r="O45" s="427">
        <f t="shared" si="14"/>
        <v>1106160.7</v>
      </c>
      <c r="P45" s="447" t="s">
        <v>818</v>
      </c>
    </row>
    <row r="46" spans="1:16" s="253" customFormat="1" ht="11.85" customHeight="1">
      <c r="A46" s="251" t="s">
        <v>819</v>
      </c>
      <c r="B46" s="343">
        <v>254675.20000000001</v>
      </c>
      <c r="C46" s="343">
        <v>12613.9</v>
      </c>
      <c r="D46" s="343">
        <f t="shared" si="6"/>
        <v>267289.10000000003</v>
      </c>
      <c r="E46" s="343">
        <v>17116.900000000001</v>
      </c>
      <c r="F46" s="343">
        <v>84575.1</v>
      </c>
      <c r="G46" s="343">
        <f t="shared" si="7"/>
        <v>101692</v>
      </c>
      <c r="H46" s="343">
        <v>2359.9</v>
      </c>
      <c r="I46" s="343">
        <v>17066.900000000001</v>
      </c>
      <c r="J46" s="343">
        <f t="shared" si="8"/>
        <v>19426.800000000003</v>
      </c>
      <c r="K46" s="343">
        <f>5051.1+905114.9</f>
        <v>910166</v>
      </c>
      <c r="L46" s="343">
        <f t="shared" si="15"/>
        <v>1031284.8</v>
      </c>
      <c r="M46" s="343">
        <v>-174619.6</v>
      </c>
      <c r="N46" s="343">
        <f t="shared" si="16"/>
        <v>856665.20000000007</v>
      </c>
      <c r="O46" s="343">
        <f t="shared" si="14"/>
        <v>1123954.3</v>
      </c>
      <c r="P46" s="315" t="s">
        <v>819</v>
      </c>
    </row>
    <row r="47" spans="1:16" ht="11.85" customHeight="1">
      <c r="A47" s="446" t="s">
        <v>813</v>
      </c>
      <c r="B47" s="427">
        <v>251729.4</v>
      </c>
      <c r="C47" s="427">
        <v>13507.3</v>
      </c>
      <c r="D47" s="427">
        <f t="shared" si="6"/>
        <v>265236.7</v>
      </c>
      <c r="E47" s="427">
        <v>10446.5</v>
      </c>
      <c r="F47" s="427">
        <v>85248.6</v>
      </c>
      <c r="G47" s="427">
        <f t="shared" si="7"/>
        <v>95695.1</v>
      </c>
      <c r="H47" s="427">
        <v>2363.1999999999998</v>
      </c>
      <c r="I47" s="427">
        <v>17268.900000000001</v>
      </c>
      <c r="J47" s="427">
        <f t="shared" si="8"/>
        <v>19632.100000000002</v>
      </c>
      <c r="K47" s="427">
        <f>5003.2+913742.4</f>
        <v>918745.59999999998</v>
      </c>
      <c r="L47" s="427">
        <f t="shared" si="15"/>
        <v>1034072.8</v>
      </c>
      <c r="M47" s="427">
        <v>-180414.9</v>
      </c>
      <c r="N47" s="427">
        <f t="shared" si="16"/>
        <v>853657.9</v>
      </c>
      <c r="O47" s="427">
        <f t="shared" si="14"/>
        <v>1118894.6000000001</v>
      </c>
      <c r="P47" s="447" t="s">
        <v>813</v>
      </c>
    </row>
    <row r="48" spans="1:16" s="253" customFormat="1" ht="11.85" customHeight="1">
      <c r="A48" s="251" t="s">
        <v>820</v>
      </c>
      <c r="B48" s="343">
        <v>248150.39999999999</v>
      </c>
      <c r="C48" s="343">
        <v>12242.9</v>
      </c>
      <c r="D48" s="343">
        <f t="shared" si="6"/>
        <v>260393.3</v>
      </c>
      <c r="E48" s="343">
        <v>14507.2</v>
      </c>
      <c r="F48" s="343">
        <v>81161.7</v>
      </c>
      <c r="G48" s="343">
        <f t="shared" si="7"/>
        <v>95668.9</v>
      </c>
      <c r="H48" s="343">
        <v>2366.6999999999998</v>
      </c>
      <c r="I48" s="343">
        <v>17861.599999999999</v>
      </c>
      <c r="J48" s="343">
        <f t="shared" si="8"/>
        <v>20228.3</v>
      </c>
      <c r="K48" s="343">
        <f>4969+927376</f>
        <v>932345</v>
      </c>
      <c r="L48" s="343">
        <f t="shared" si="15"/>
        <v>1048242.2</v>
      </c>
      <c r="M48" s="343">
        <v>-182810.5</v>
      </c>
      <c r="N48" s="343">
        <f t="shared" si="16"/>
        <v>865431.7</v>
      </c>
      <c r="O48" s="343">
        <f t="shared" si="14"/>
        <v>1125825</v>
      </c>
      <c r="P48" s="315" t="s">
        <v>820</v>
      </c>
    </row>
    <row r="49" spans="1:18" ht="11.85" customHeight="1">
      <c r="A49" s="446" t="s">
        <v>821</v>
      </c>
      <c r="B49" s="427">
        <v>245304.3</v>
      </c>
      <c r="C49" s="427">
        <v>12402.6</v>
      </c>
      <c r="D49" s="427">
        <f t="shared" si="6"/>
        <v>257706.9</v>
      </c>
      <c r="E49" s="427">
        <v>15583.1</v>
      </c>
      <c r="F49" s="427">
        <v>82203.600000000006</v>
      </c>
      <c r="G49" s="427">
        <f t="shared" si="7"/>
        <v>97786.700000000012</v>
      </c>
      <c r="H49" s="427">
        <v>2370.1</v>
      </c>
      <c r="I49" s="427">
        <v>19224.5</v>
      </c>
      <c r="J49" s="427">
        <f t="shared" si="8"/>
        <v>21594.6</v>
      </c>
      <c r="K49" s="427">
        <f>4945+937848.5</f>
        <v>942793.5</v>
      </c>
      <c r="L49" s="427">
        <f t="shared" si="15"/>
        <v>1062174.8</v>
      </c>
      <c r="M49" s="427">
        <v>-188378.5</v>
      </c>
      <c r="N49" s="427">
        <f t="shared" si="16"/>
        <v>873796.3</v>
      </c>
      <c r="O49" s="427">
        <f t="shared" si="14"/>
        <v>1131503.2</v>
      </c>
      <c r="P49" s="447" t="s">
        <v>821</v>
      </c>
    </row>
    <row r="50" spans="1:18" ht="11.85" customHeight="1">
      <c r="A50" s="251" t="s">
        <v>814</v>
      </c>
      <c r="B50" s="343">
        <v>247691.7</v>
      </c>
      <c r="C50" s="343">
        <v>17008.5</v>
      </c>
      <c r="D50" s="343">
        <f t="shared" si="6"/>
        <v>264700.2</v>
      </c>
      <c r="E50" s="343">
        <v>21067.4</v>
      </c>
      <c r="F50" s="343">
        <v>77084.7</v>
      </c>
      <c r="G50" s="343">
        <f t="shared" si="7"/>
        <v>98152.1</v>
      </c>
      <c r="H50" s="343">
        <v>2373.5</v>
      </c>
      <c r="I50" s="343">
        <v>20973.200000000001</v>
      </c>
      <c r="J50" s="343">
        <f t="shared" si="8"/>
        <v>23346.7</v>
      </c>
      <c r="K50" s="343">
        <f>4979+953872.2</f>
        <v>958851.2</v>
      </c>
      <c r="L50" s="343">
        <f t="shared" si="15"/>
        <v>1080350</v>
      </c>
      <c r="M50" s="343">
        <v>-189689.5</v>
      </c>
      <c r="N50" s="343">
        <f t="shared" si="16"/>
        <v>890660.5</v>
      </c>
      <c r="O50" s="343">
        <f t="shared" si="14"/>
        <v>1155360.7</v>
      </c>
      <c r="P50" s="315" t="s">
        <v>814</v>
      </c>
    </row>
    <row r="51" spans="1:18" ht="11.85" customHeight="1">
      <c r="A51" s="446" t="s">
        <v>822</v>
      </c>
      <c r="B51" s="427">
        <v>245563.2</v>
      </c>
      <c r="C51" s="427">
        <v>13415.6</v>
      </c>
      <c r="D51" s="427">
        <f t="shared" si="6"/>
        <v>258978.80000000002</v>
      </c>
      <c r="E51" s="427">
        <v>17669.8</v>
      </c>
      <c r="F51" s="427">
        <v>81247.100000000006</v>
      </c>
      <c r="G51" s="427">
        <f t="shared" si="7"/>
        <v>98916.900000000009</v>
      </c>
      <c r="H51" s="427">
        <v>2347.6</v>
      </c>
      <c r="I51" s="427">
        <v>21763.200000000001</v>
      </c>
      <c r="J51" s="427">
        <f t="shared" si="8"/>
        <v>24110.799999999999</v>
      </c>
      <c r="K51" s="427">
        <f>4910.9+958897.1</f>
        <v>963808</v>
      </c>
      <c r="L51" s="427">
        <f t="shared" si="15"/>
        <v>1086835.7</v>
      </c>
      <c r="M51" s="427">
        <v>-191256.7</v>
      </c>
      <c r="N51" s="427">
        <f t="shared" si="16"/>
        <v>895579</v>
      </c>
      <c r="O51" s="427">
        <f t="shared" si="14"/>
        <v>1154557.8</v>
      </c>
      <c r="P51" s="447" t="s">
        <v>822</v>
      </c>
    </row>
    <row r="52" spans="1:18" s="253" customFormat="1" ht="11.85" customHeight="1">
      <c r="A52" s="251" t="s">
        <v>823</v>
      </c>
      <c r="B52" s="343">
        <v>250320.8</v>
      </c>
      <c r="C52" s="343">
        <v>15120.6</v>
      </c>
      <c r="D52" s="343">
        <f t="shared" si="6"/>
        <v>265441.39999999997</v>
      </c>
      <c r="E52" s="343">
        <v>13370.8</v>
      </c>
      <c r="F52" s="343">
        <v>79575.199999999997</v>
      </c>
      <c r="G52" s="343">
        <f t="shared" si="7"/>
        <v>92946</v>
      </c>
      <c r="H52" s="343">
        <v>2352.6</v>
      </c>
      <c r="I52" s="343">
        <v>21515.8</v>
      </c>
      <c r="J52" s="343">
        <f t="shared" si="8"/>
        <v>23868.399999999998</v>
      </c>
      <c r="K52" s="343">
        <f>4783.6+965565.1</f>
        <v>970348.7</v>
      </c>
      <c r="L52" s="343">
        <f t="shared" si="15"/>
        <v>1087163.0999999999</v>
      </c>
      <c r="M52" s="343">
        <v>-192031.7</v>
      </c>
      <c r="N52" s="343">
        <f t="shared" si="16"/>
        <v>895131.39999999991</v>
      </c>
      <c r="O52" s="343">
        <f t="shared" si="14"/>
        <v>1160572.7999999998</v>
      </c>
      <c r="P52" s="315" t="s">
        <v>823</v>
      </c>
    </row>
    <row r="53" spans="1:18" s="253" customFormat="1" ht="11.85" customHeight="1">
      <c r="A53" s="446" t="s">
        <v>815</v>
      </c>
      <c r="B53" s="427">
        <v>251391.3</v>
      </c>
      <c r="C53" s="427">
        <v>18081.8</v>
      </c>
      <c r="D53" s="427">
        <f t="shared" si="6"/>
        <v>269473.09999999998</v>
      </c>
      <c r="E53" s="427">
        <v>11760.6</v>
      </c>
      <c r="F53" s="427">
        <v>80751.399999999994</v>
      </c>
      <c r="G53" s="427">
        <f t="shared" si="7"/>
        <v>92512</v>
      </c>
      <c r="H53" s="427">
        <v>2354.3000000000002</v>
      </c>
      <c r="I53" s="427">
        <v>21707.7</v>
      </c>
      <c r="J53" s="427">
        <f t="shared" si="8"/>
        <v>24062</v>
      </c>
      <c r="K53" s="427">
        <f>4815+974871.1</f>
        <v>979686.1</v>
      </c>
      <c r="L53" s="427">
        <f t="shared" si="15"/>
        <v>1096260.1000000001</v>
      </c>
      <c r="M53" s="427">
        <v>-197153.8</v>
      </c>
      <c r="N53" s="427">
        <f t="shared" si="16"/>
        <v>899106.3</v>
      </c>
      <c r="O53" s="427">
        <f t="shared" si="14"/>
        <v>1168579.3999999999</v>
      </c>
      <c r="P53" s="447" t="s">
        <v>815</v>
      </c>
    </row>
    <row r="54" spans="1:18" s="253" customFormat="1" ht="11.85" customHeight="1" thickBot="1">
      <c r="A54" s="1566" t="s">
        <v>824</v>
      </c>
      <c r="B54" s="1087">
        <v>249633.4</v>
      </c>
      <c r="C54" s="1087">
        <v>13454.1</v>
      </c>
      <c r="D54" s="1087">
        <f t="shared" si="6"/>
        <v>263087.5</v>
      </c>
      <c r="E54" s="1087">
        <v>16694.900000000001</v>
      </c>
      <c r="F54" s="1087">
        <v>76571.7</v>
      </c>
      <c r="G54" s="1087">
        <f t="shared" si="7"/>
        <v>93266.6</v>
      </c>
      <c r="H54" s="1087">
        <v>2328</v>
      </c>
      <c r="I54" s="1087">
        <v>21373.4</v>
      </c>
      <c r="J54" s="1087">
        <f t="shared" si="8"/>
        <v>23701.4</v>
      </c>
      <c r="K54" s="1087">
        <f>4776.5+983152.7</f>
        <v>987929.2</v>
      </c>
      <c r="L54" s="1087">
        <f t="shared" si="15"/>
        <v>1104897.2</v>
      </c>
      <c r="M54" s="1087">
        <v>-197041.1</v>
      </c>
      <c r="N54" s="1087">
        <f t="shared" si="16"/>
        <v>907856.1</v>
      </c>
      <c r="O54" s="1087">
        <f t="shared" si="14"/>
        <v>1170943.6000000001</v>
      </c>
      <c r="P54" s="1645" t="s">
        <v>824</v>
      </c>
    </row>
    <row r="55" spans="1:18" ht="10.5" customHeight="1">
      <c r="A55" s="847" t="s">
        <v>246</v>
      </c>
      <c r="B55" s="1873" t="s">
        <v>2290</v>
      </c>
      <c r="C55" s="1873"/>
      <c r="D55" s="1873"/>
      <c r="E55" s="1873"/>
      <c r="F55" s="1873"/>
      <c r="G55" s="1873"/>
      <c r="H55" s="1873"/>
      <c r="I55" s="847" t="s">
        <v>248</v>
      </c>
      <c r="J55" s="1873" t="s">
        <v>1711</v>
      </c>
      <c r="K55" s="1873"/>
      <c r="L55" s="1873"/>
      <c r="M55" s="1873"/>
      <c r="N55" s="1873"/>
      <c r="O55" s="1873"/>
      <c r="P55" s="1873"/>
      <c r="R55" s="53"/>
    </row>
    <row r="56" spans="1:18" ht="10.5" customHeight="1">
      <c r="A56" s="52"/>
      <c r="B56" s="1874" t="s">
        <v>2227</v>
      </c>
      <c r="C56" s="1874"/>
      <c r="D56" s="1874"/>
      <c r="E56" s="1258"/>
      <c r="F56" s="1258"/>
      <c r="G56" s="1258"/>
      <c r="H56" s="1258"/>
      <c r="J56" s="1875" t="s">
        <v>2118</v>
      </c>
      <c r="K56" s="1875"/>
      <c r="L56" s="1875"/>
      <c r="M56" s="1875"/>
      <c r="N56" s="1875"/>
      <c r="O56" s="1875"/>
      <c r="P56" s="1875"/>
    </row>
    <row r="57" spans="1:18" ht="10.5" customHeight="1">
      <c r="B57" s="1678"/>
      <c r="C57" s="1678"/>
      <c r="D57" s="1678"/>
      <c r="E57" s="1678"/>
      <c r="F57" s="1678"/>
      <c r="G57" s="1678"/>
      <c r="H57" s="22"/>
      <c r="I57" s="65" t="s">
        <v>247</v>
      </c>
      <c r="J57" s="1858" t="s">
        <v>2120</v>
      </c>
      <c r="K57" s="1858"/>
      <c r="L57" s="1858"/>
      <c r="M57" s="1858"/>
      <c r="N57" s="1858"/>
      <c r="Q57" s="253"/>
    </row>
    <row r="58" spans="1:18" ht="12.75" customHeight="1">
      <c r="N58" s="53"/>
      <c r="P58" s="53"/>
      <c r="Q58" s="716"/>
    </row>
    <row r="59" spans="1:18" ht="12.75" customHeight="1">
      <c r="G59" s="119"/>
      <c r="H59" s="119"/>
      <c r="I59" s="119"/>
      <c r="L59" s="53"/>
      <c r="M59" s="119"/>
      <c r="N59" s="53"/>
      <c r="O59" s="119"/>
      <c r="P59" s="53"/>
      <c r="Q59" s="253"/>
    </row>
    <row r="60" spans="1:18" ht="12.75" customHeight="1">
      <c r="G60" s="119"/>
      <c r="H60" s="119"/>
      <c r="I60" s="119"/>
      <c r="J60" s="53"/>
      <c r="K60" s="119"/>
      <c r="L60" s="53"/>
      <c r="M60" s="119"/>
      <c r="N60" s="53"/>
      <c r="O60" s="119"/>
      <c r="P60" s="716"/>
      <c r="Q60" s="253"/>
    </row>
    <row r="61" spans="1:18">
      <c r="J61" s="53"/>
      <c r="K61" s="119"/>
      <c r="L61" s="53"/>
      <c r="M61" s="119"/>
      <c r="N61" s="119"/>
      <c r="O61" s="269"/>
      <c r="P61" s="716"/>
      <c r="Q61" s="253"/>
    </row>
    <row r="62" spans="1:18">
      <c r="B62" s="53"/>
      <c r="C62" s="53"/>
      <c r="D62" s="53"/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716"/>
    </row>
    <row r="63" spans="1:18">
      <c r="D63" s="53"/>
      <c r="E63" s="119"/>
      <c r="H63" s="53"/>
      <c r="I63" s="119"/>
      <c r="J63" s="53"/>
      <c r="K63" s="53"/>
      <c r="L63" s="119"/>
      <c r="M63" s="119"/>
      <c r="O63" s="716"/>
      <c r="P63" s="716"/>
    </row>
    <row r="64" spans="1:18">
      <c r="D64" s="53"/>
      <c r="E64" s="119"/>
      <c r="J64" s="53"/>
      <c r="K64" s="119"/>
      <c r="L64" s="53"/>
      <c r="O64" s="269"/>
      <c r="P64" s="253"/>
    </row>
    <row r="65" spans="2:16">
      <c r="D65" s="119"/>
      <c r="K65" s="53"/>
      <c r="L65" s="119"/>
      <c r="M65" s="119"/>
    </row>
    <row r="66" spans="2:16">
      <c r="J66" s="53"/>
      <c r="K66" s="119"/>
      <c r="L66" s="53"/>
      <c r="M66" s="119"/>
    </row>
    <row r="67" spans="2:16">
      <c r="J67" s="53"/>
    </row>
    <row r="69" spans="2:16">
      <c r="L69" s="53"/>
      <c r="M69" s="119"/>
    </row>
    <row r="71" spans="2:16">
      <c r="B71" s="53"/>
      <c r="C71" s="53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</row>
    <row r="72" spans="2:16">
      <c r="B72" s="53"/>
      <c r="C72" s="53"/>
      <c r="D72" s="53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</row>
    <row r="73" spans="2:16">
      <c r="B73" s="53"/>
      <c r="C73" s="53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</row>
    <row r="74" spans="2:16">
      <c r="B74" s="53"/>
      <c r="C74" s="53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</row>
    <row r="75" spans="2:16">
      <c r="B75" s="53"/>
      <c r="C75" s="53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</row>
    <row r="76" spans="2:16">
      <c r="B76" s="53"/>
      <c r="C76" s="53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</row>
    <row r="77" spans="2:16">
      <c r="B77" s="53"/>
      <c r="C77" s="53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</row>
    <row r="78" spans="2:16">
      <c r="B78" s="53"/>
      <c r="C78" s="53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</row>
    <row r="79" spans="2:16">
      <c r="B79" s="53"/>
      <c r="C79" s="53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</row>
    <row r="80" spans="2:16">
      <c r="B80" s="53"/>
      <c r="C80" s="53"/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</row>
    <row r="81" spans="2:16">
      <c r="B81" s="53"/>
      <c r="C81" s="53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</row>
  </sheetData>
  <mergeCells count="32">
    <mergeCell ref="B55:H55"/>
    <mergeCell ref="C4:C7"/>
    <mergeCell ref="J55:P55"/>
    <mergeCell ref="B56:D56"/>
    <mergeCell ref="J56:P56"/>
    <mergeCell ref="L4:L7"/>
    <mergeCell ref="E5:G5"/>
    <mergeCell ref="E6:E7"/>
    <mergeCell ref="F6:F7"/>
    <mergeCell ref="J57:N57"/>
    <mergeCell ref="P3:P8"/>
    <mergeCell ref="K4:K7"/>
    <mergeCell ref="A1:C1"/>
    <mergeCell ref="E4:J4"/>
    <mergeCell ref="G6:G7"/>
    <mergeCell ref="A3:A8"/>
    <mergeCell ref="B3:D3"/>
    <mergeCell ref="D4:D7"/>
    <mergeCell ref="B4:B7"/>
    <mergeCell ref="H5:J5"/>
    <mergeCell ref="J6:J7"/>
    <mergeCell ref="I3:K3"/>
    <mergeCell ref="H6:H7"/>
    <mergeCell ref="I6:I7"/>
    <mergeCell ref="E3:H3"/>
    <mergeCell ref="O1:P1"/>
    <mergeCell ref="O2:P2"/>
    <mergeCell ref="O3:O7"/>
    <mergeCell ref="G1:H1"/>
    <mergeCell ref="M3:M7"/>
    <mergeCell ref="I1:J1"/>
    <mergeCell ref="N3:N7"/>
  </mergeCells>
  <phoneticPr fontId="0" type="noConversion"/>
  <pageMargins left="0.62992125984252001" right="0.511811023622047" top="0.261811024" bottom="0" header="0" footer="0.196850393700787"/>
  <pageSetup paperSize="448" firstPageNumber="12" orientation="portrait" useFirstPageNumber="1" r:id="rId1"/>
  <headerFooter alignWithMargins="0">
    <oddFooter>&amp;C&amp;"Times New Roman,Regular"&amp;8&amp;P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7"/>
  <dimension ref="A1:M59"/>
  <sheetViews>
    <sheetView zoomScale="130" zoomScaleNormal="130" workbookViewId="0">
      <pane xSplit="1" ySplit="5" topLeftCell="E42" activePane="bottomRight" state="frozen"/>
      <selection pane="topRight" activeCell="C1" sqref="C1"/>
      <selection pane="bottomLeft" activeCell="A7" sqref="A7"/>
      <selection pane="bottomRight" activeCell="H56" sqref="H56"/>
    </sheetView>
  </sheetViews>
  <sheetFormatPr defaultColWidth="9.140625" defaultRowHeight="12.75"/>
  <cols>
    <col min="1" max="1" width="11.140625" style="642" customWidth="1"/>
    <col min="2" max="2" width="13.7109375" style="642" customWidth="1"/>
    <col min="3" max="3" width="12.85546875" style="642" customWidth="1"/>
    <col min="4" max="4" width="13" style="642" customWidth="1"/>
    <col min="5" max="5" width="13.42578125" style="642" customWidth="1"/>
    <col min="6" max="6" width="13" style="642" customWidth="1"/>
    <col min="7" max="8" width="12.7109375" style="642" customWidth="1"/>
    <col min="9" max="10" width="13.28515625" style="642" customWidth="1"/>
    <col min="11" max="11" width="14.42578125" style="642" customWidth="1"/>
    <col min="12" max="12" width="11.85546875" style="642" customWidth="1"/>
    <col min="13" max="13" width="10.42578125" style="642" bestFit="1" customWidth="1"/>
    <col min="14" max="16384" width="9.140625" style="642"/>
  </cols>
  <sheetData>
    <row r="1" spans="1:12" s="256" customFormat="1" ht="15.75">
      <c r="D1" s="1886" t="s">
        <v>1266</v>
      </c>
      <c r="E1" s="1886"/>
      <c r="F1" s="1886"/>
      <c r="G1" s="1889" t="s">
        <v>678</v>
      </c>
      <c r="H1" s="1889"/>
      <c r="I1" s="1889"/>
      <c r="K1" s="1886" t="s">
        <v>547</v>
      </c>
      <c r="L1" s="1886"/>
    </row>
    <row r="2" spans="1:12" s="259" customFormat="1" ht="10.5" customHeight="1">
      <c r="F2" s="687"/>
      <c r="K2" s="1890" t="s">
        <v>271</v>
      </c>
      <c r="L2" s="1890"/>
    </row>
    <row r="3" spans="1:12" s="262" customFormat="1" ht="22.5" customHeight="1">
      <c r="A3" s="1880" t="s">
        <v>1468</v>
      </c>
      <c r="B3" s="1884" t="s">
        <v>249</v>
      </c>
      <c r="C3" s="1785" t="s">
        <v>1471</v>
      </c>
      <c r="D3" s="1887" t="s">
        <v>626</v>
      </c>
      <c r="E3" s="1888"/>
      <c r="F3" s="1838"/>
      <c r="G3" s="1887" t="s">
        <v>628</v>
      </c>
      <c r="H3" s="1888"/>
      <c r="I3" s="1838"/>
      <c r="J3" s="1785" t="s">
        <v>1208</v>
      </c>
      <c r="K3" s="1785" t="s">
        <v>1470</v>
      </c>
      <c r="L3" s="1880" t="s">
        <v>1469</v>
      </c>
    </row>
    <row r="4" spans="1:12" s="262" customFormat="1" ht="22.5" customHeight="1">
      <c r="A4" s="1881"/>
      <c r="B4" s="1795"/>
      <c r="C4" s="1787"/>
      <c r="D4" s="1075" t="s">
        <v>627</v>
      </c>
      <c r="E4" s="1075" t="s">
        <v>736</v>
      </c>
      <c r="F4" s="1075" t="s">
        <v>735</v>
      </c>
      <c r="G4" s="1075" t="s">
        <v>627</v>
      </c>
      <c r="H4" s="1075" t="s">
        <v>736</v>
      </c>
      <c r="I4" s="1075" t="s">
        <v>735</v>
      </c>
      <c r="J4" s="1787"/>
      <c r="K4" s="1787"/>
      <c r="L4" s="1881"/>
    </row>
    <row r="5" spans="1:12" s="760" customFormat="1" ht="12" customHeight="1">
      <c r="A5" s="1882"/>
      <c r="B5" s="758">
        <v>1</v>
      </c>
      <c r="C5" s="759">
        <v>2</v>
      </c>
      <c r="D5" s="759">
        <v>3</v>
      </c>
      <c r="E5" s="759">
        <v>4</v>
      </c>
      <c r="F5" s="759" t="s">
        <v>250</v>
      </c>
      <c r="G5" s="759">
        <v>6</v>
      </c>
      <c r="H5" s="759">
        <v>7</v>
      </c>
      <c r="I5" s="759" t="s">
        <v>251</v>
      </c>
      <c r="J5" s="759">
        <v>9</v>
      </c>
      <c r="K5" s="759" t="s">
        <v>629</v>
      </c>
      <c r="L5" s="1882"/>
    </row>
    <row r="6" spans="1:12" ht="11.45" customHeight="1">
      <c r="A6" s="253" t="s">
        <v>549</v>
      </c>
      <c r="B6" s="678">
        <v>46751</v>
      </c>
      <c r="C6" s="678">
        <v>18.8</v>
      </c>
      <c r="D6" s="678">
        <v>1625</v>
      </c>
      <c r="E6" s="678">
        <v>6192.6</v>
      </c>
      <c r="F6" s="755">
        <f t="shared" ref="F6:F9" si="0">D6+E6</f>
        <v>7817.6</v>
      </c>
      <c r="G6" s="678">
        <v>8518.6</v>
      </c>
      <c r="H6" s="678">
        <v>142152.20000000001</v>
      </c>
      <c r="I6" s="755">
        <f t="shared" ref="I6:I9" si="1">G6+H6</f>
        <v>150670.80000000002</v>
      </c>
      <c r="J6" s="678">
        <v>41790.9</v>
      </c>
      <c r="K6" s="755">
        <f t="shared" ref="K6:K9" si="2">B6+C6+F6+I6+J6</f>
        <v>247049.1</v>
      </c>
      <c r="L6" s="641" t="s">
        <v>549</v>
      </c>
    </row>
    <row r="7" spans="1:12" ht="11.45" customHeight="1">
      <c r="A7" s="253" t="s">
        <v>102</v>
      </c>
      <c r="B7" s="678">
        <v>58007.6</v>
      </c>
      <c r="C7" s="678">
        <v>15.5</v>
      </c>
      <c r="D7" s="678">
        <v>2027.2</v>
      </c>
      <c r="E7" s="678">
        <v>8210</v>
      </c>
      <c r="F7" s="755">
        <f t="shared" si="0"/>
        <v>10237.200000000001</v>
      </c>
      <c r="G7" s="678">
        <v>8877</v>
      </c>
      <c r="H7" s="678">
        <v>166223.4</v>
      </c>
      <c r="I7" s="755">
        <f t="shared" si="1"/>
        <v>175100.4</v>
      </c>
      <c r="J7" s="678">
        <v>43494.1</v>
      </c>
      <c r="K7" s="755">
        <f t="shared" si="2"/>
        <v>286854.8</v>
      </c>
      <c r="L7" s="641" t="s">
        <v>102</v>
      </c>
    </row>
    <row r="8" spans="1:12" ht="11.45" customHeight="1">
      <c r="A8" s="1316" t="s">
        <v>98</v>
      </c>
      <c r="B8" s="672">
        <v>54252.9</v>
      </c>
      <c r="C8" s="672">
        <v>12.3</v>
      </c>
      <c r="D8" s="672">
        <v>1765.4</v>
      </c>
      <c r="E8" s="672">
        <v>9474.7999999999993</v>
      </c>
      <c r="F8" s="1114">
        <f t="shared" si="0"/>
        <v>11240.199999999999</v>
      </c>
      <c r="G8" s="672">
        <v>11036.2</v>
      </c>
      <c r="H8" s="672">
        <v>205147.4</v>
      </c>
      <c r="I8" s="1114">
        <f t="shared" si="1"/>
        <v>216183.6</v>
      </c>
      <c r="J8" s="672">
        <v>56138.6</v>
      </c>
      <c r="K8" s="1114">
        <f t="shared" si="2"/>
        <v>337827.6</v>
      </c>
      <c r="L8" s="1317" t="s">
        <v>98</v>
      </c>
    </row>
    <row r="9" spans="1:12" ht="11.45" customHeight="1">
      <c r="A9" s="253" t="s">
        <v>241</v>
      </c>
      <c r="B9" s="678">
        <v>73227.899999999994</v>
      </c>
      <c r="C9" s="678">
        <v>9.4</v>
      </c>
      <c r="D9" s="678">
        <v>2162.1</v>
      </c>
      <c r="E9" s="678">
        <v>9681.2999999999993</v>
      </c>
      <c r="F9" s="755">
        <f t="shared" si="0"/>
        <v>11843.4</v>
      </c>
      <c r="G9" s="678">
        <v>14780.8</v>
      </c>
      <c r="H9" s="678">
        <v>261545.2</v>
      </c>
      <c r="I9" s="755">
        <f t="shared" si="1"/>
        <v>276326</v>
      </c>
      <c r="J9" s="678">
        <v>69486.3</v>
      </c>
      <c r="K9" s="755">
        <f t="shared" si="2"/>
        <v>430892.99999999994</v>
      </c>
      <c r="L9" s="641" t="s">
        <v>241</v>
      </c>
    </row>
    <row r="10" spans="1:12" ht="11.45" customHeight="1">
      <c r="A10" s="1316" t="s">
        <v>1142</v>
      </c>
      <c r="B10" s="672">
        <v>91728.8</v>
      </c>
      <c r="C10" s="672">
        <v>5.8</v>
      </c>
      <c r="D10" s="672">
        <v>2558.6</v>
      </c>
      <c r="E10" s="672">
        <v>11158.6</v>
      </c>
      <c r="F10" s="1114">
        <v>13717.2</v>
      </c>
      <c r="G10" s="672">
        <v>12777.7</v>
      </c>
      <c r="H10" s="672">
        <v>320176.90000000002</v>
      </c>
      <c r="I10" s="1114">
        <v>332954.60000000003</v>
      </c>
      <c r="J10" s="672">
        <v>76566.2</v>
      </c>
      <c r="K10" s="1114">
        <v>514972.60000000003</v>
      </c>
      <c r="L10" s="1317" t="s">
        <v>1142</v>
      </c>
    </row>
    <row r="11" spans="1:12" ht="11.45" customHeight="1">
      <c r="A11" s="253" t="s">
        <v>1333</v>
      </c>
      <c r="B11" s="678">
        <v>110124.6</v>
      </c>
      <c r="C11" s="678">
        <v>2.2999999999999998</v>
      </c>
      <c r="D11" s="678">
        <v>3509.3</v>
      </c>
      <c r="E11" s="678">
        <v>14227.8</v>
      </c>
      <c r="F11" s="755">
        <v>17737.099999999999</v>
      </c>
      <c r="G11" s="678">
        <v>5943.7</v>
      </c>
      <c r="H11" s="678">
        <v>354128.7</v>
      </c>
      <c r="I11" s="755">
        <v>360072.4</v>
      </c>
      <c r="J11" s="678">
        <v>83800.7</v>
      </c>
      <c r="K11" s="755">
        <v>571737.1</v>
      </c>
      <c r="L11" s="641" t="s">
        <v>1333</v>
      </c>
    </row>
    <row r="12" spans="1:12" s="536" customFormat="1" ht="11.45" customHeight="1">
      <c r="A12" s="425" t="s">
        <v>1664</v>
      </c>
      <c r="B12" s="672">
        <v>117529.4</v>
      </c>
      <c r="C12" s="672">
        <v>0</v>
      </c>
      <c r="D12" s="672">
        <v>5279.8</v>
      </c>
      <c r="E12" s="672">
        <v>17064.3</v>
      </c>
      <c r="F12" s="672">
        <v>22344.1</v>
      </c>
      <c r="G12" s="672">
        <v>7457.2</v>
      </c>
      <c r="H12" s="672">
        <v>396366.5</v>
      </c>
      <c r="I12" s="672">
        <v>403823.7</v>
      </c>
      <c r="J12" s="672">
        <v>94209.1</v>
      </c>
      <c r="K12" s="672">
        <v>637906.29999999993</v>
      </c>
      <c r="L12" s="573" t="s">
        <v>1664</v>
      </c>
    </row>
    <row r="13" spans="1:12" s="536" customFormat="1" ht="11.45" customHeight="1">
      <c r="A13" s="341" t="s">
        <v>1754</v>
      </c>
      <c r="B13" s="678">
        <v>110257.3</v>
      </c>
      <c r="C13" s="678">
        <v>0</v>
      </c>
      <c r="D13" s="678">
        <v>5366.6</v>
      </c>
      <c r="E13" s="678">
        <v>21902.2</v>
      </c>
      <c r="F13" s="678">
        <v>27268.799999999999</v>
      </c>
      <c r="G13" s="678">
        <v>11303.2</v>
      </c>
      <c r="H13" s="678">
        <v>447518.7</v>
      </c>
      <c r="I13" s="678">
        <v>458821.8</v>
      </c>
      <c r="J13" s="678">
        <v>105178.6</v>
      </c>
      <c r="K13" s="678">
        <v>701526.5</v>
      </c>
      <c r="L13" s="596" t="s">
        <v>1754</v>
      </c>
    </row>
    <row r="14" spans="1:12" s="536" customFormat="1" ht="11.45" customHeight="1">
      <c r="A14" s="508" t="s">
        <v>1954</v>
      </c>
      <c r="B14" s="824">
        <v>114219.6</v>
      </c>
      <c r="C14" s="824">
        <v>0</v>
      </c>
      <c r="D14" s="824">
        <v>6923.8</v>
      </c>
      <c r="E14" s="824">
        <v>26923.7</v>
      </c>
      <c r="F14" s="824">
        <v>33847.5</v>
      </c>
      <c r="G14" s="824">
        <v>9127.2999999999993</v>
      </c>
      <c r="H14" s="824">
        <v>531340.4</v>
      </c>
      <c r="I14" s="824">
        <v>540467.70000000007</v>
      </c>
      <c r="J14" s="824">
        <v>112745.2</v>
      </c>
      <c r="K14" s="824">
        <v>801280</v>
      </c>
      <c r="L14" s="1597" t="s">
        <v>1954</v>
      </c>
    </row>
    <row r="15" spans="1:12" s="536" customFormat="1" ht="11.45" customHeight="1">
      <c r="A15" s="1164" t="s">
        <v>2046</v>
      </c>
      <c r="B15" s="790">
        <f>B27</f>
        <v>97333.5</v>
      </c>
      <c r="C15" s="790">
        <f t="shared" ref="C15:K15" si="3">C27</f>
        <v>0</v>
      </c>
      <c r="D15" s="790">
        <f t="shared" si="3"/>
        <v>8161.5</v>
      </c>
      <c r="E15" s="790">
        <f t="shared" si="3"/>
        <v>33950.300000000003</v>
      </c>
      <c r="F15" s="790">
        <f t="shared" si="3"/>
        <v>42111.8</v>
      </c>
      <c r="G15" s="790">
        <f t="shared" si="3"/>
        <v>9118.7000000000007</v>
      </c>
      <c r="H15" s="790">
        <f t="shared" si="3"/>
        <v>612395</v>
      </c>
      <c r="I15" s="790">
        <f t="shared" si="3"/>
        <v>621513.69999999995</v>
      </c>
      <c r="J15" s="790">
        <f t="shared" si="3"/>
        <v>129711.2</v>
      </c>
      <c r="K15" s="790">
        <f t="shared" si="3"/>
        <v>890670.2</v>
      </c>
      <c r="L15" s="552" t="s">
        <v>2046</v>
      </c>
    </row>
    <row r="16" spans="1:12" s="536" customFormat="1" ht="11.45" customHeight="1">
      <c r="A16" s="446" t="s">
        <v>818</v>
      </c>
      <c r="B16" s="674">
        <v>116658.1</v>
      </c>
      <c r="C16" s="674">
        <v>0</v>
      </c>
      <c r="D16" s="674">
        <v>7022.9</v>
      </c>
      <c r="E16" s="674">
        <v>27808.9</v>
      </c>
      <c r="F16" s="674">
        <f t="shared" ref="F16:F20" si="4">D16+E16</f>
        <v>34831.800000000003</v>
      </c>
      <c r="G16" s="674">
        <v>8975.7000000000007</v>
      </c>
      <c r="H16" s="674">
        <v>524397.19999999995</v>
      </c>
      <c r="I16" s="674">
        <f t="shared" ref="I16:I51" si="5">G16+H16</f>
        <v>533372.89999999991</v>
      </c>
      <c r="J16" s="674">
        <v>113105.7</v>
      </c>
      <c r="K16" s="672">
        <f t="shared" ref="K16:K51" si="6">B16+C16+F16+I16+J16</f>
        <v>797968.49999999988</v>
      </c>
      <c r="L16" s="447" t="s">
        <v>818</v>
      </c>
    </row>
    <row r="17" spans="1:12" s="536" customFormat="1" ht="11.45" customHeight="1">
      <c r="A17" s="251" t="s">
        <v>819</v>
      </c>
      <c r="B17" s="673">
        <v>113324.2</v>
      </c>
      <c r="C17" s="673">
        <v>0</v>
      </c>
      <c r="D17" s="673">
        <v>7245.5</v>
      </c>
      <c r="E17" s="673">
        <v>27872.400000000001</v>
      </c>
      <c r="F17" s="673">
        <f t="shared" si="4"/>
        <v>35117.9</v>
      </c>
      <c r="G17" s="673">
        <v>8864.2000000000007</v>
      </c>
      <c r="H17" s="673">
        <v>531068.19999999995</v>
      </c>
      <c r="I17" s="673">
        <f t="shared" si="5"/>
        <v>539932.39999999991</v>
      </c>
      <c r="J17" s="673">
        <v>112983.9</v>
      </c>
      <c r="K17" s="678">
        <f t="shared" si="6"/>
        <v>801358.39999999991</v>
      </c>
      <c r="L17" s="315" t="s">
        <v>819</v>
      </c>
    </row>
    <row r="18" spans="1:12" s="536" customFormat="1" ht="11.45" customHeight="1">
      <c r="A18" s="446" t="s">
        <v>813</v>
      </c>
      <c r="B18" s="674">
        <v>113663.5</v>
      </c>
      <c r="C18" s="674">
        <v>0</v>
      </c>
      <c r="D18" s="674">
        <v>7064.8</v>
      </c>
      <c r="E18" s="674">
        <v>27844</v>
      </c>
      <c r="F18" s="674">
        <f t="shared" si="4"/>
        <v>34908.800000000003</v>
      </c>
      <c r="G18" s="674">
        <v>8847.6</v>
      </c>
      <c r="H18" s="674">
        <v>536857.80000000005</v>
      </c>
      <c r="I18" s="674">
        <f t="shared" si="5"/>
        <v>545705.4</v>
      </c>
      <c r="J18" s="437">
        <v>115435.3</v>
      </c>
      <c r="K18" s="672">
        <f t="shared" si="6"/>
        <v>809713</v>
      </c>
      <c r="L18" s="447" t="s">
        <v>813</v>
      </c>
    </row>
    <row r="19" spans="1:12" s="536" customFormat="1" ht="11.45" customHeight="1">
      <c r="A19" s="251" t="s">
        <v>820</v>
      </c>
      <c r="B19" s="673">
        <v>110012.4</v>
      </c>
      <c r="C19" s="673">
        <v>0</v>
      </c>
      <c r="D19" s="673">
        <v>6893</v>
      </c>
      <c r="E19" s="673">
        <v>28205.3</v>
      </c>
      <c r="F19" s="673">
        <f t="shared" si="4"/>
        <v>35098.300000000003</v>
      </c>
      <c r="G19" s="673">
        <v>8524.5</v>
      </c>
      <c r="H19" s="673">
        <v>540219.69999999995</v>
      </c>
      <c r="I19" s="673">
        <f t="shared" si="5"/>
        <v>548744.19999999995</v>
      </c>
      <c r="J19" s="39">
        <v>116655.8</v>
      </c>
      <c r="K19" s="678">
        <f t="shared" si="6"/>
        <v>810510.7</v>
      </c>
      <c r="L19" s="315" t="s">
        <v>820</v>
      </c>
    </row>
    <row r="20" spans="1:12" s="536" customFormat="1" ht="11.45" customHeight="1">
      <c r="A20" s="446" t="s">
        <v>821</v>
      </c>
      <c r="B20" s="674">
        <v>108644.5</v>
      </c>
      <c r="C20" s="674">
        <v>0</v>
      </c>
      <c r="D20" s="674">
        <v>7282</v>
      </c>
      <c r="E20" s="674">
        <v>29077.1</v>
      </c>
      <c r="F20" s="674">
        <f t="shared" si="4"/>
        <v>36359.1</v>
      </c>
      <c r="G20" s="674">
        <v>8463.5</v>
      </c>
      <c r="H20" s="674">
        <v>547361.5</v>
      </c>
      <c r="I20" s="674">
        <f t="shared" si="5"/>
        <v>555825</v>
      </c>
      <c r="J20" s="437">
        <v>118119.5</v>
      </c>
      <c r="K20" s="437">
        <f t="shared" si="6"/>
        <v>818948.1</v>
      </c>
      <c r="L20" s="447" t="s">
        <v>821</v>
      </c>
    </row>
    <row r="21" spans="1:12" s="536" customFormat="1" ht="11.45" customHeight="1">
      <c r="A21" s="251" t="s">
        <v>814</v>
      </c>
      <c r="B21" s="673">
        <v>98638.8</v>
      </c>
      <c r="C21" s="673">
        <v>0</v>
      </c>
      <c r="D21" s="673">
        <v>7545.4</v>
      </c>
      <c r="E21" s="673">
        <v>30906.6</v>
      </c>
      <c r="F21" s="673">
        <f t="shared" ref="F21:F51" si="7">D21+E21</f>
        <v>38452</v>
      </c>
      <c r="G21" s="673">
        <v>8834.2999999999993</v>
      </c>
      <c r="H21" s="673">
        <v>565250.4</v>
      </c>
      <c r="I21" s="673">
        <f t="shared" si="5"/>
        <v>574084.70000000007</v>
      </c>
      <c r="J21" s="39">
        <v>120862.5</v>
      </c>
      <c r="K21" s="78">
        <f t="shared" si="6"/>
        <v>832038</v>
      </c>
      <c r="L21" s="315" t="s">
        <v>814</v>
      </c>
    </row>
    <row r="22" spans="1:12" s="536" customFormat="1" ht="11.45" customHeight="1">
      <c r="A22" s="446" t="s">
        <v>822</v>
      </c>
      <c r="B22" s="674">
        <v>96360.1</v>
      </c>
      <c r="C22" s="674">
        <v>0</v>
      </c>
      <c r="D22" s="674">
        <v>7427.4</v>
      </c>
      <c r="E22" s="674">
        <v>31462</v>
      </c>
      <c r="F22" s="674">
        <f t="shared" si="7"/>
        <v>38889.4</v>
      </c>
      <c r="G22" s="674">
        <v>8809.7999999999993</v>
      </c>
      <c r="H22" s="674">
        <v>566108.5</v>
      </c>
      <c r="I22" s="674">
        <f t="shared" si="5"/>
        <v>574918.30000000005</v>
      </c>
      <c r="J22" s="437">
        <v>121782.39999999999</v>
      </c>
      <c r="K22" s="437">
        <f t="shared" si="6"/>
        <v>831950.20000000007</v>
      </c>
      <c r="L22" s="447" t="s">
        <v>822</v>
      </c>
    </row>
    <row r="23" spans="1:12" s="536" customFormat="1" ht="11.45" customHeight="1">
      <c r="A23" s="251" t="s">
        <v>823</v>
      </c>
      <c r="B23" s="673">
        <v>93525.6</v>
      </c>
      <c r="C23" s="673">
        <v>0</v>
      </c>
      <c r="D23" s="673">
        <v>7441.3</v>
      </c>
      <c r="E23" s="673">
        <v>31761.200000000001</v>
      </c>
      <c r="F23" s="673">
        <f t="shared" si="7"/>
        <v>39202.5</v>
      </c>
      <c r="G23" s="673">
        <v>8212.2999999999993</v>
      </c>
      <c r="H23" s="673">
        <v>572822.80000000005</v>
      </c>
      <c r="I23" s="673">
        <f t="shared" si="5"/>
        <v>581035.10000000009</v>
      </c>
      <c r="J23" s="39">
        <v>123117.1</v>
      </c>
      <c r="K23" s="39">
        <f t="shared" si="6"/>
        <v>836880.3</v>
      </c>
      <c r="L23" s="315" t="s">
        <v>823</v>
      </c>
    </row>
    <row r="24" spans="1:12" s="536" customFormat="1" ht="11.45" customHeight="1">
      <c r="A24" s="446" t="s">
        <v>815</v>
      </c>
      <c r="B24" s="674">
        <v>90312.1</v>
      </c>
      <c r="C24" s="674">
        <v>0</v>
      </c>
      <c r="D24" s="674">
        <v>7420.6</v>
      </c>
      <c r="E24" s="674">
        <v>32192.400000000001</v>
      </c>
      <c r="F24" s="674">
        <f t="shared" si="7"/>
        <v>39613</v>
      </c>
      <c r="G24" s="674">
        <v>8867.7999999999993</v>
      </c>
      <c r="H24" s="674">
        <v>581826.19999999995</v>
      </c>
      <c r="I24" s="674">
        <f t="shared" si="5"/>
        <v>590694</v>
      </c>
      <c r="J24" s="437">
        <v>124622.2</v>
      </c>
      <c r="K24" s="437">
        <f t="shared" si="6"/>
        <v>845241.29999999993</v>
      </c>
      <c r="L24" s="447" t="s">
        <v>815</v>
      </c>
    </row>
    <row r="25" spans="1:12" s="536" customFormat="1" ht="11.45" customHeight="1">
      <c r="A25" s="251" t="s">
        <v>824</v>
      </c>
      <c r="B25" s="673">
        <v>84166.1</v>
      </c>
      <c r="C25" s="673">
        <v>0</v>
      </c>
      <c r="D25" s="673">
        <v>7827</v>
      </c>
      <c r="E25" s="673">
        <v>33423.199999999997</v>
      </c>
      <c r="F25" s="673">
        <f t="shared" si="7"/>
        <v>41250.199999999997</v>
      </c>
      <c r="G25" s="673">
        <v>9027.1</v>
      </c>
      <c r="H25" s="673">
        <v>589652.6</v>
      </c>
      <c r="I25" s="673">
        <f t="shared" si="5"/>
        <v>598679.69999999995</v>
      </c>
      <c r="J25" s="78">
        <v>126172</v>
      </c>
      <c r="K25" s="78">
        <f t="shared" si="6"/>
        <v>850268</v>
      </c>
      <c r="L25" s="315" t="s">
        <v>824</v>
      </c>
    </row>
    <row r="26" spans="1:12" s="536" customFormat="1" ht="11.45" customHeight="1">
      <c r="A26" s="446" t="s">
        <v>825</v>
      </c>
      <c r="B26" s="674">
        <v>82597.600000000006</v>
      </c>
      <c r="C26" s="674">
        <v>0</v>
      </c>
      <c r="D26" s="674">
        <v>8225.1</v>
      </c>
      <c r="E26" s="674">
        <v>32782.300000000003</v>
      </c>
      <c r="F26" s="674">
        <f t="shared" si="7"/>
        <v>41007.4</v>
      </c>
      <c r="G26" s="674">
        <v>9162.2999999999993</v>
      </c>
      <c r="H26" s="674">
        <v>598701.69999999995</v>
      </c>
      <c r="I26" s="674">
        <f t="shared" si="5"/>
        <v>607864</v>
      </c>
      <c r="J26" s="432">
        <v>127365.8</v>
      </c>
      <c r="K26" s="432">
        <f t="shared" si="6"/>
        <v>858834.8</v>
      </c>
      <c r="L26" s="447" t="s">
        <v>825</v>
      </c>
    </row>
    <row r="27" spans="1:12" s="536" customFormat="1" ht="11.45" customHeight="1">
      <c r="A27" s="251" t="s">
        <v>816</v>
      </c>
      <c r="B27" s="673">
        <v>97333.5</v>
      </c>
      <c r="C27" s="673">
        <v>0</v>
      </c>
      <c r="D27" s="673">
        <v>8161.5</v>
      </c>
      <c r="E27" s="673">
        <v>33950.300000000003</v>
      </c>
      <c r="F27" s="673">
        <f t="shared" si="7"/>
        <v>42111.8</v>
      </c>
      <c r="G27" s="673">
        <v>9118.7000000000007</v>
      </c>
      <c r="H27" s="673">
        <v>612395</v>
      </c>
      <c r="I27" s="673">
        <f t="shared" si="5"/>
        <v>621513.69999999995</v>
      </c>
      <c r="J27" s="78">
        <v>129711.2</v>
      </c>
      <c r="K27" s="78">
        <f t="shared" si="6"/>
        <v>890670.2</v>
      </c>
      <c r="L27" s="315" t="s">
        <v>816</v>
      </c>
    </row>
    <row r="28" spans="1:12" s="536" customFormat="1" ht="11.45" customHeight="1">
      <c r="A28" s="1145" t="s">
        <v>2268</v>
      </c>
      <c r="B28" s="824">
        <f>B40</f>
        <v>94894.9</v>
      </c>
      <c r="C28" s="824">
        <f t="shared" ref="C28:K28" si="8">C40</f>
        <v>0</v>
      </c>
      <c r="D28" s="824">
        <f t="shared" si="8"/>
        <v>8638.7999999999993</v>
      </c>
      <c r="E28" s="824">
        <f t="shared" si="8"/>
        <v>43216.2</v>
      </c>
      <c r="F28" s="824">
        <f t="shared" si="8"/>
        <v>51875.3</v>
      </c>
      <c r="G28" s="824">
        <f t="shared" si="8"/>
        <v>10561.3</v>
      </c>
      <c r="H28" s="824">
        <f t="shared" si="8"/>
        <v>714397</v>
      </c>
      <c r="I28" s="824">
        <f t="shared" si="8"/>
        <v>724958.3</v>
      </c>
      <c r="J28" s="824">
        <f t="shared" si="8"/>
        <v>149898.09999999995</v>
      </c>
      <c r="K28" s="824">
        <f t="shared" si="8"/>
        <v>1021626.6</v>
      </c>
      <c r="L28" s="1598" t="s">
        <v>2268</v>
      </c>
    </row>
    <row r="29" spans="1:12" s="536" customFormat="1" ht="11.45" customHeight="1">
      <c r="A29" s="251" t="s">
        <v>818</v>
      </c>
      <c r="B29" s="673">
        <v>94759.8</v>
      </c>
      <c r="C29" s="673">
        <v>0</v>
      </c>
      <c r="D29" s="673">
        <v>7896.2</v>
      </c>
      <c r="E29" s="673">
        <v>34131.599999999999</v>
      </c>
      <c r="F29" s="673">
        <f t="shared" si="7"/>
        <v>42027.799999999996</v>
      </c>
      <c r="G29" s="673">
        <v>9668.6</v>
      </c>
      <c r="H29" s="673">
        <v>614135.4</v>
      </c>
      <c r="I29" s="673">
        <f t="shared" si="5"/>
        <v>623804</v>
      </c>
      <c r="J29" s="78">
        <v>129751.70000000003</v>
      </c>
      <c r="K29" s="78">
        <f t="shared" si="6"/>
        <v>890343.3</v>
      </c>
      <c r="L29" s="315" t="s">
        <v>818</v>
      </c>
    </row>
    <row r="30" spans="1:12" s="536" customFormat="1" ht="11.45" customHeight="1">
      <c r="A30" s="446" t="s">
        <v>819</v>
      </c>
      <c r="B30" s="674">
        <v>101287.40000000001</v>
      </c>
      <c r="C30" s="674">
        <v>0</v>
      </c>
      <c r="D30" s="674">
        <v>8177.5</v>
      </c>
      <c r="E30" s="674">
        <v>35864.400000000001</v>
      </c>
      <c r="F30" s="674">
        <f t="shared" si="7"/>
        <v>44041.9</v>
      </c>
      <c r="G30" s="674">
        <v>9514.1</v>
      </c>
      <c r="H30" s="674">
        <v>624879.1</v>
      </c>
      <c r="I30" s="674">
        <f t="shared" si="5"/>
        <v>634393.19999999995</v>
      </c>
      <c r="J30" s="432">
        <v>131063.7</v>
      </c>
      <c r="K30" s="432">
        <f t="shared" si="6"/>
        <v>910786.2</v>
      </c>
      <c r="L30" s="447" t="s">
        <v>819</v>
      </c>
    </row>
    <row r="31" spans="1:12" s="536" customFormat="1" ht="11.45" customHeight="1">
      <c r="A31" s="251" t="s">
        <v>813</v>
      </c>
      <c r="B31" s="673">
        <v>94438.1</v>
      </c>
      <c r="C31" s="673">
        <v>0</v>
      </c>
      <c r="D31" s="673">
        <v>8115.2</v>
      </c>
      <c r="E31" s="673">
        <v>35931.1</v>
      </c>
      <c r="F31" s="673">
        <f t="shared" si="7"/>
        <v>44046.299999999996</v>
      </c>
      <c r="G31" s="673">
        <v>9562.1</v>
      </c>
      <c r="H31" s="673">
        <v>632711.19999999995</v>
      </c>
      <c r="I31" s="673">
        <f t="shared" si="5"/>
        <v>642273.29999999993</v>
      </c>
      <c r="J31" s="78">
        <v>132583.20000000001</v>
      </c>
      <c r="K31" s="78">
        <f t="shared" si="6"/>
        <v>913340.89999999991</v>
      </c>
      <c r="L31" s="315" t="s">
        <v>813</v>
      </c>
    </row>
    <row r="32" spans="1:12" s="536" customFormat="1" ht="11.45" customHeight="1">
      <c r="A32" s="446" t="s">
        <v>820</v>
      </c>
      <c r="B32" s="674">
        <v>92183.400000000009</v>
      </c>
      <c r="C32" s="674">
        <v>0</v>
      </c>
      <c r="D32" s="674">
        <v>8282.4</v>
      </c>
      <c r="E32" s="674">
        <v>36375.1</v>
      </c>
      <c r="F32" s="674">
        <f t="shared" si="7"/>
        <v>44657.5</v>
      </c>
      <c r="G32" s="674">
        <v>9749</v>
      </c>
      <c r="H32" s="674">
        <v>641755.30000000005</v>
      </c>
      <c r="I32" s="674">
        <f t="shared" si="5"/>
        <v>651504.30000000005</v>
      </c>
      <c r="J32" s="432">
        <v>134549.4</v>
      </c>
      <c r="K32" s="432">
        <f t="shared" si="6"/>
        <v>922894.60000000009</v>
      </c>
      <c r="L32" s="447" t="s">
        <v>820</v>
      </c>
    </row>
    <row r="33" spans="1:12" s="536" customFormat="1" ht="11.45" customHeight="1">
      <c r="A33" s="251" t="s">
        <v>821</v>
      </c>
      <c r="B33" s="673">
        <v>92603.1</v>
      </c>
      <c r="C33" s="673">
        <v>0</v>
      </c>
      <c r="D33" s="673">
        <v>8186.8</v>
      </c>
      <c r="E33" s="673">
        <v>37432.199999999997</v>
      </c>
      <c r="F33" s="673">
        <f t="shared" si="7"/>
        <v>45619</v>
      </c>
      <c r="G33" s="673">
        <v>9954.7000000000007</v>
      </c>
      <c r="H33" s="673">
        <v>653005.69999999995</v>
      </c>
      <c r="I33" s="673">
        <f t="shared" si="5"/>
        <v>662960.39999999991</v>
      </c>
      <c r="J33" s="78">
        <v>136505.79999999999</v>
      </c>
      <c r="K33" s="78">
        <f t="shared" si="6"/>
        <v>937688.29999999981</v>
      </c>
      <c r="L33" s="315" t="s">
        <v>821</v>
      </c>
    </row>
    <row r="34" spans="1:12" s="536" customFormat="1" ht="11.45" customHeight="1">
      <c r="A34" s="446" t="s">
        <v>814</v>
      </c>
      <c r="B34" s="674">
        <v>87276.5</v>
      </c>
      <c r="C34" s="674">
        <v>0</v>
      </c>
      <c r="D34" s="674">
        <v>8297.2999999999993</v>
      </c>
      <c r="E34" s="674">
        <v>38766.300000000003</v>
      </c>
      <c r="F34" s="674">
        <f t="shared" si="7"/>
        <v>47063.600000000006</v>
      </c>
      <c r="G34" s="674">
        <v>10328.1</v>
      </c>
      <c r="H34" s="674">
        <v>667054.69999999995</v>
      </c>
      <c r="I34" s="674">
        <f t="shared" si="5"/>
        <v>677382.79999999993</v>
      </c>
      <c r="J34" s="432">
        <v>140266.6</v>
      </c>
      <c r="K34" s="432">
        <f t="shared" si="6"/>
        <v>951989.49999999988</v>
      </c>
      <c r="L34" s="447" t="s">
        <v>814</v>
      </c>
    </row>
    <row r="35" spans="1:12" s="536" customFormat="1" ht="11.45" customHeight="1">
      <c r="A35" s="251" t="s">
        <v>822</v>
      </c>
      <c r="B35" s="673">
        <v>81033.399999999994</v>
      </c>
      <c r="C35" s="673">
        <v>0</v>
      </c>
      <c r="D35" s="673">
        <v>8339.9</v>
      </c>
      <c r="E35" s="673">
        <v>39788.300000000003</v>
      </c>
      <c r="F35" s="673">
        <f t="shared" si="7"/>
        <v>48128.200000000004</v>
      </c>
      <c r="G35" s="673">
        <v>10055.299999999999</v>
      </c>
      <c r="H35" s="673">
        <v>669588.80000000005</v>
      </c>
      <c r="I35" s="673">
        <f t="shared" si="5"/>
        <v>679644.10000000009</v>
      </c>
      <c r="J35" s="78">
        <v>142037.79999999999</v>
      </c>
      <c r="K35" s="78">
        <f t="shared" si="6"/>
        <v>950843.5</v>
      </c>
      <c r="L35" s="315" t="s">
        <v>822</v>
      </c>
    </row>
    <row r="36" spans="1:12" s="536" customFormat="1" ht="11.45" customHeight="1">
      <c r="A36" s="446" t="s">
        <v>823</v>
      </c>
      <c r="B36" s="674">
        <v>75069.299999999988</v>
      </c>
      <c r="C36" s="674">
        <v>0</v>
      </c>
      <c r="D36" s="674">
        <v>8346.4</v>
      </c>
      <c r="E36" s="674">
        <v>41045.300000000003</v>
      </c>
      <c r="F36" s="674">
        <f t="shared" si="7"/>
        <v>49391.700000000004</v>
      </c>
      <c r="G36" s="674">
        <v>10212.4</v>
      </c>
      <c r="H36" s="674">
        <v>677475.2</v>
      </c>
      <c r="I36" s="674">
        <f t="shared" si="5"/>
        <v>687687.6</v>
      </c>
      <c r="J36" s="432">
        <v>143704.29999999999</v>
      </c>
      <c r="K36" s="432">
        <f t="shared" si="6"/>
        <v>955852.89999999991</v>
      </c>
      <c r="L36" s="447" t="s">
        <v>823</v>
      </c>
    </row>
    <row r="37" spans="1:12" s="536" customFormat="1" ht="11.45" customHeight="1">
      <c r="A37" s="251" t="s">
        <v>815</v>
      </c>
      <c r="B37" s="673">
        <v>74575.5</v>
      </c>
      <c r="C37" s="673">
        <v>0</v>
      </c>
      <c r="D37" s="673">
        <v>8167.3</v>
      </c>
      <c r="E37" s="673">
        <v>41311.5</v>
      </c>
      <c r="F37" s="673">
        <f t="shared" si="7"/>
        <v>49478.8</v>
      </c>
      <c r="G37" s="673">
        <v>10030.9</v>
      </c>
      <c r="H37" s="673">
        <v>684860.8</v>
      </c>
      <c r="I37" s="673">
        <f t="shared" si="5"/>
        <v>694891.70000000007</v>
      </c>
      <c r="J37" s="78">
        <v>145259.4</v>
      </c>
      <c r="K37" s="78">
        <f t="shared" si="6"/>
        <v>964205.40000000014</v>
      </c>
      <c r="L37" s="315" t="s">
        <v>815</v>
      </c>
    </row>
    <row r="38" spans="1:12" s="536" customFormat="1" ht="11.45" customHeight="1">
      <c r="A38" s="446" t="s">
        <v>824</v>
      </c>
      <c r="B38" s="674">
        <v>71628.900000000009</v>
      </c>
      <c r="C38" s="674">
        <v>0</v>
      </c>
      <c r="D38" s="674">
        <v>8321.9</v>
      </c>
      <c r="E38" s="674">
        <v>42197.9</v>
      </c>
      <c r="F38" s="674">
        <f t="shared" si="7"/>
        <v>50519.8</v>
      </c>
      <c r="G38" s="674">
        <v>11012.3</v>
      </c>
      <c r="H38" s="674">
        <v>693005.3</v>
      </c>
      <c r="I38" s="674">
        <f t="shared" si="5"/>
        <v>704017.60000000009</v>
      </c>
      <c r="J38" s="432">
        <v>146307.70000000001</v>
      </c>
      <c r="K38" s="432">
        <f t="shared" si="6"/>
        <v>972474</v>
      </c>
      <c r="L38" s="447" t="s">
        <v>824</v>
      </c>
    </row>
    <row r="39" spans="1:12" s="536" customFormat="1" ht="11.45" customHeight="1">
      <c r="A39" s="251" t="s">
        <v>825</v>
      </c>
      <c r="B39" s="673">
        <v>76696.700000000012</v>
      </c>
      <c r="C39" s="673">
        <v>0</v>
      </c>
      <c r="D39" s="673">
        <v>8762.6</v>
      </c>
      <c r="E39" s="673">
        <v>42720.4</v>
      </c>
      <c r="F39" s="673">
        <f t="shared" si="7"/>
        <v>51483</v>
      </c>
      <c r="G39" s="673">
        <v>11044.7</v>
      </c>
      <c r="H39" s="673">
        <v>702614.1</v>
      </c>
      <c r="I39" s="673">
        <f t="shared" si="5"/>
        <v>713658.79999999993</v>
      </c>
      <c r="J39" s="78">
        <v>147068.9</v>
      </c>
      <c r="K39" s="78">
        <f t="shared" si="6"/>
        <v>988907.4</v>
      </c>
      <c r="L39" s="315" t="s">
        <v>825</v>
      </c>
    </row>
    <row r="40" spans="1:12" s="536" customFormat="1" ht="11.45" customHeight="1">
      <c r="A40" s="446" t="s">
        <v>816</v>
      </c>
      <c r="B40" s="674">
        <v>94894.9</v>
      </c>
      <c r="C40" s="674">
        <v>0</v>
      </c>
      <c r="D40" s="674">
        <v>8638.7999999999993</v>
      </c>
      <c r="E40" s="674">
        <v>43216.2</v>
      </c>
      <c r="F40" s="674">
        <v>51875.3</v>
      </c>
      <c r="G40" s="674">
        <v>10561.3</v>
      </c>
      <c r="H40" s="674">
        <v>714397</v>
      </c>
      <c r="I40" s="674">
        <f t="shared" si="5"/>
        <v>724958.3</v>
      </c>
      <c r="J40" s="432">
        <v>149898.09999999995</v>
      </c>
      <c r="K40" s="432">
        <f t="shared" si="6"/>
        <v>1021626.6</v>
      </c>
      <c r="L40" s="447" t="s">
        <v>816</v>
      </c>
    </row>
    <row r="41" spans="1:12" s="333" customFormat="1" ht="11.45" customHeight="1">
      <c r="A41" s="288" t="s">
        <v>2524</v>
      </c>
      <c r="B41" s="673"/>
      <c r="C41" s="673"/>
      <c r="D41" s="673"/>
      <c r="E41" s="673"/>
      <c r="F41" s="673"/>
      <c r="G41" s="673"/>
      <c r="H41" s="673"/>
      <c r="I41" s="673"/>
      <c r="J41" s="78"/>
      <c r="K41" s="78"/>
      <c r="L41" s="689" t="s">
        <v>2524</v>
      </c>
    </row>
    <row r="42" spans="1:12" s="333" customFormat="1" ht="11.45" customHeight="1">
      <c r="A42" s="446" t="s">
        <v>818</v>
      </c>
      <c r="B42" s="674">
        <v>97182.5</v>
      </c>
      <c r="C42" s="674">
        <v>0</v>
      </c>
      <c r="D42" s="674">
        <v>8808.5</v>
      </c>
      <c r="E42" s="674">
        <v>42955.3</v>
      </c>
      <c r="F42" s="674">
        <f t="shared" si="7"/>
        <v>51763.8</v>
      </c>
      <c r="G42" s="674">
        <v>10675.7</v>
      </c>
      <c r="H42" s="674">
        <v>709670.9</v>
      </c>
      <c r="I42" s="674">
        <f t="shared" si="5"/>
        <v>720346.6</v>
      </c>
      <c r="J42" s="432">
        <v>148839.4</v>
      </c>
      <c r="K42" s="432">
        <f t="shared" si="6"/>
        <v>1018132.2999999999</v>
      </c>
      <c r="L42" s="447" t="s">
        <v>818</v>
      </c>
    </row>
    <row r="43" spans="1:12" ht="11.45" customHeight="1">
      <c r="A43" s="251" t="s">
        <v>819</v>
      </c>
      <c r="B43" s="673">
        <v>101692</v>
      </c>
      <c r="C43" s="673">
        <v>0</v>
      </c>
      <c r="D43" s="673">
        <v>8788.2999999999993</v>
      </c>
      <c r="E43" s="673">
        <v>42722.8</v>
      </c>
      <c r="F43" s="673">
        <f t="shared" si="7"/>
        <v>51511.100000000006</v>
      </c>
      <c r="G43" s="673">
        <v>10638.4</v>
      </c>
      <c r="H43" s="673">
        <v>718497.3</v>
      </c>
      <c r="I43" s="673">
        <f t="shared" si="5"/>
        <v>729135.70000000007</v>
      </c>
      <c r="J43" s="78">
        <v>148946</v>
      </c>
      <c r="K43" s="78">
        <f t="shared" si="6"/>
        <v>1031284.8</v>
      </c>
      <c r="L43" s="315" t="s">
        <v>819</v>
      </c>
    </row>
    <row r="44" spans="1:12" ht="11.45" customHeight="1">
      <c r="A44" s="446" t="s">
        <v>813</v>
      </c>
      <c r="B44" s="674">
        <v>95695.1</v>
      </c>
      <c r="C44" s="674">
        <v>0</v>
      </c>
      <c r="D44" s="674">
        <v>8757.6</v>
      </c>
      <c r="E44" s="674">
        <v>43408.6</v>
      </c>
      <c r="F44" s="674">
        <f t="shared" si="7"/>
        <v>52166.2</v>
      </c>
      <c r="G44" s="674">
        <v>10874.6</v>
      </c>
      <c r="H44" s="674">
        <v>725258.8</v>
      </c>
      <c r="I44" s="674">
        <f t="shared" si="5"/>
        <v>736133.4</v>
      </c>
      <c r="J44" s="432">
        <v>150078.1</v>
      </c>
      <c r="K44" s="432">
        <f t="shared" si="6"/>
        <v>1034072.7999999999</v>
      </c>
      <c r="L44" s="447" t="s">
        <v>813</v>
      </c>
    </row>
    <row r="45" spans="1:12" ht="11.45" customHeight="1">
      <c r="A45" s="251" t="s">
        <v>820</v>
      </c>
      <c r="B45" s="673">
        <v>95668.9</v>
      </c>
      <c r="C45" s="673">
        <v>0</v>
      </c>
      <c r="D45" s="673">
        <v>8853.2999999999993</v>
      </c>
      <c r="E45" s="673">
        <v>44012.1</v>
      </c>
      <c r="F45" s="673">
        <f t="shared" si="7"/>
        <v>52865.399999999994</v>
      </c>
      <c r="G45" s="673">
        <v>11375</v>
      </c>
      <c r="H45" s="673">
        <v>736124.3</v>
      </c>
      <c r="I45" s="673">
        <f t="shared" si="5"/>
        <v>747499.3</v>
      </c>
      <c r="J45" s="78">
        <v>152208.6</v>
      </c>
      <c r="K45" s="78">
        <f t="shared" si="6"/>
        <v>1048242.2000000001</v>
      </c>
      <c r="L45" s="315" t="s">
        <v>820</v>
      </c>
    </row>
    <row r="46" spans="1:12" ht="11.45" customHeight="1">
      <c r="A46" s="446" t="s">
        <v>821</v>
      </c>
      <c r="B46" s="674">
        <v>97786.700000000012</v>
      </c>
      <c r="C46" s="674">
        <v>0</v>
      </c>
      <c r="D46" s="674">
        <v>9533.2000000000007</v>
      </c>
      <c r="E46" s="674">
        <v>45270.400000000001</v>
      </c>
      <c r="F46" s="674">
        <f t="shared" si="7"/>
        <v>54803.600000000006</v>
      </c>
      <c r="G46" s="674">
        <v>12061.4</v>
      </c>
      <c r="H46" s="674">
        <v>744331.1</v>
      </c>
      <c r="I46" s="674">
        <f t="shared" si="5"/>
        <v>756392.5</v>
      </c>
      <c r="J46" s="432">
        <v>153192</v>
      </c>
      <c r="K46" s="432">
        <f t="shared" si="6"/>
        <v>1062174.8</v>
      </c>
      <c r="L46" s="447" t="s">
        <v>821</v>
      </c>
    </row>
    <row r="47" spans="1:12" ht="11.45" customHeight="1">
      <c r="A47" s="251" t="s">
        <v>814</v>
      </c>
      <c r="B47" s="673">
        <v>98152.1</v>
      </c>
      <c r="C47" s="673">
        <v>0</v>
      </c>
      <c r="D47" s="673">
        <v>10375.700000000001</v>
      </c>
      <c r="E47" s="673">
        <v>44700.6</v>
      </c>
      <c r="F47" s="673">
        <f t="shared" si="7"/>
        <v>55076.3</v>
      </c>
      <c r="G47" s="673">
        <v>12971</v>
      </c>
      <c r="H47" s="673">
        <v>756910.9</v>
      </c>
      <c r="I47" s="673">
        <f t="shared" si="5"/>
        <v>769881.9</v>
      </c>
      <c r="J47" s="78">
        <v>157239.70000000001</v>
      </c>
      <c r="K47" s="78">
        <f t="shared" si="6"/>
        <v>1080350</v>
      </c>
      <c r="L47" s="315" t="s">
        <v>814</v>
      </c>
    </row>
    <row r="48" spans="1:12" ht="11.45" customHeight="1">
      <c r="A48" s="446" t="s">
        <v>822</v>
      </c>
      <c r="B48" s="674">
        <v>98916.900000000009</v>
      </c>
      <c r="C48" s="674">
        <v>0</v>
      </c>
      <c r="D48" s="674">
        <v>10319.200000000001</v>
      </c>
      <c r="E48" s="674">
        <v>45416.7</v>
      </c>
      <c r="F48" s="674">
        <f t="shared" si="7"/>
        <v>55735.899999999994</v>
      </c>
      <c r="G48" s="674">
        <v>13791.6</v>
      </c>
      <c r="H48" s="674">
        <v>760348.4</v>
      </c>
      <c r="I48" s="674">
        <f t="shared" si="5"/>
        <v>774140</v>
      </c>
      <c r="J48" s="432">
        <v>158042.9</v>
      </c>
      <c r="K48" s="432">
        <f t="shared" si="6"/>
        <v>1086835.7</v>
      </c>
      <c r="L48" s="447" t="s">
        <v>822</v>
      </c>
    </row>
    <row r="49" spans="1:13" ht="11.45" customHeight="1">
      <c r="A49" s="251" t="s">
        <v>823</v>
      </c>
      <c r="B49" s="673">
        <v>92946</v>
      </c>
      <c r="C49" s="673">
        <v>0</v>
      </c>
      <c r="D49" s="673">
        <v>10240</v>
      </c>
      <c r="E49" s="673">
        <v>44724.5</v>
      </c>
      <c r="F49" s="673">
        <f t="shared" si="7"/>
        <v>54964.5</v>
      </c>
      <c r="G49" s="673">
        <v>13628.4</v>
      </c>
      <c r="H49" s="673">
        <v>766391.8</v>
      </c>
      <c r="I49" s="673">
        <f t="shared" si="5"/>
        <v>780020.20000000007</v>
      </c>
      <c r="J49" s="78">
        <v>159232.4</v>
      </c>
      <c r="K49" s="78">
        <f t="shared" si="6"/>
        <v>1087163.1000000001</v>
      </c>
      <c r="L49" s="315" t="s">
        <v>823</v>
      </c>
    </row>
    <row r="50" spans="1:13" ht="11.45" customHeight="1">
      <c r="A50" s="446" t="s">
        <v>815</v>
      </c>
      <c r="B50" s="674">
        <v>92512</v>
      </c>
      <c r="C50" s="674">
        <v>0</v>
      </c>
      <c r="D50" s="674">
        <v>10322.9</v>
      </c>
      <c r="E50" s="674">
        <v>44055.7</v>
      </c>
      <c r="F50" s="674">
        <f t="shared" si="7"/>
        <v>54378.6</v>
      </c>
      <c r="G50" s="674">
        <v>13739.1</v>
      </c>
      <c r="H50" s="674">
        <v>774765.9</v>
      </c>
      <c r="I50" s="674">
        <f t="shared" si="5"/>
        <v>788505</v>
      </c>
      <c r="J50" s="432">
        <v>160864.5</v>
      </c>
      <c r="K50" s="432">
        <f t="shared" si="6"/>
        <v>1096260.1000000001</v>
      </c>
      <c r="L50" s="447" t="s">
        <v>815</v>
      </c>
    </row>
    <row r="51" spans="1:13" ht="11.45" customHeight="1" thickBot="1">
      <c r="A51" s="1566" t="s">
        <v>824</v>
      </c>
      <c r="B51" s="1693">
        <v>93266.6</v>
      </c>
      <c r="C51" s="1693">
        <v>0</v>
      </c>
      <c r="D51" s="1693">
        <v>10646.5</v>
      </c>
      <c r="E51" s="1693">
        <v>43856.9</v>
      </c>
      <c r="F51" s="1693">
        <f t="shared" si="7"/>
        <v>54503.4</v>
      </c>
      <c r="G51" s="1693">
        <v>13054.9</v>
      </c>
      <c r="H51" s="1693">
        <v>780995.1</v>
      </c>
      <c r="I51" s="1693">
        <f t="shared" si="5"/>
        <v>794050</v>
      </c>
      <c r="J51" s="1644">
        <v>163077.20000000001</v>
      </c>
      <c r="K51" s="1644">
        <f t="shared" si="6"/>
        <v>1104897.2</v>
      </c>
      <c r="L51" s="1645" t="s">
        <v>824</v>
      </c>
    </row>
    <row r="52" spans="1:13" s="710" customFormat="1">
      <c r="A52" s="650" t="s">
        <v>2338</v>
      </c>
      <c r="B52" s="1883" t="s">
        <v>2373</v>
      </c>
      <c r="C52" s="1883"/>
      <c r="D52" s="1883"/>
      <c r="E52" s="1883"/>
      <c r="F52" s="1883"/>
      <c r="G52" s="651" t="s">
        <v>247</v>
      </c>
      <c r="H52" s="1885" t="s">
        <v>2120</v>
      </c>
      <c r="I52" s="1885"/>
      <c r="J52" s="1885"/>
      <c r="K52" s="1885"/>
      <c r="L52" s="1885"/>
    </row>
    <row r="53" spans="1:13">
      <c r="A53" s="333"/>
      <c r="B53" s="1883" t="s">
        <v>2326</v>
      </c>
      <c r="C53" s="1883"/>
      <c r="D53" s="1883"/>
      <c r="E53" s="1883"/>
      <c r="F53" s="1883"/>
      <c r="G53" s="333"/>
      <c r="H53" s="333"/>
      <c r="I53" s="333"/>
      <c r="J53" s="333"/>
      <c r="K53" s="333"/>
      <c r="L53" s="333"/>
    </row>
    <row r="55" spans="1:13">
      <c r="D55" s="786"/>
      <c r="E55" s="786"/>
      <c r="G55" s="786"/>
      <c r="H55" s="786"/>
      <c r="M55" s="1696"/>
    </row>
    <row r="56" spans="1:13">
      <c r="D56" s="786"/>
      <c r="E56" s="786"/>
      <c r="G56" s="786"/>
      <c r="H56" s="786"/>
    </row>
    <row r="57" spans="1:13">
      <c r="D57" s="786"/>
      <c r="E57" s="786"/>
      <c r="G57" s="786"/>
      <c r="H57" s="786"/>
    </row>
    <row r="59" spans="1:13">
      <c r="L59" s="786"/>
    </row>
  </sheetData>
  <mergeCells count="15">
    <mergeCell ref="D1:F1"/>
    <mergeCell ref="D3:F3"/>
    <mergeCell ref="G3:I3"/>
    <mergeCell ref="L3:L5"/>
    <mergeCell ref="G1:I1"/>
    <mergeCell ref="K2:L2"/>
    <mergeCell ref="K1:L1"/>
    <mergeCell ref="K3:K4"/>
    <mergeCell ref="A3:A5"/>
    <mergeCell ref="J3:J4"/>
    <mergeCell ref="B53:F53"/>
    <mergeCell ref="B52:F52"/>
    <mergeCell ref="B3:B4"/>
    <mergeCell ref="C3:C4"/>
    <mergeCell ref="H52:L52"/>
  </mergeCells>
  <phoneticPr fontId="4" type="noConversion"/>
  <conditionalFormatting sqref="V14:X40 AI14:AK40 AV14:AX40 BI14:BK40 BV14:BX40 CI14:CK40 CV14:CX40 DI14:DK40 DV14:DX40 EI14:EK40 EV14:EX40 FI14:FK40 FV14:FX40 GI14:GK40 GV14:GX40 HI14:HK40 HV14:HX40 L10:L14 B10:K12 A10:A14 A6:L9">
    <cfRule type="expression" dxfId="7" priority="55" stopIfTrue="1">
      <formula>MOD(ROW(),2)=0</formula>
    </cfRule>
  </conditionalFormatting>
  <pageMargins left="0.62992125984252001" right="0.511811023622047" top="0.511811023622047" bottom="0.511811023622047" header="0" footer="0.183070866"/>
  <pageSetup paperSize="448" firstPageNumber="14" orientation="portrait" useFirstPageNumber="1" r:id="rId1"/>
  <headerFooter alignWithMargins="0">
    <oddFooter>&amp;C&amp;"Times New Roman,Regular"&amp;8&amp;P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8"/>
  <dimension ref="A1:I81"/>
  <sheetViews>
    <sheetView zoomScale="130" zoomScaleNormal="130" workbookViewId="0">
      <pane xSplit="1" ySplit="7" topLeftCell="B46" activePane="bottomRight" state="frozen"/>
      <selection pane="topRight" activeCell="C1" sqref="C1"/>
      <selection pane="bottomLeft" activeCell="A8" sqref="A8"/>
      <selection pane="bottomRight" activeCell="G53" sqref="G53"/>
    </sheetView>
  </sheetViews>
  <sheetFormatPr defaultColWidth="9.140625" defaultRowHeight="11.25"/>
  <cols>
    <col min="1" max="1" width="9.7109375" style="10" customWidth="1"/>
    <col min="2" max="2" width="11.140625" style="10" customWidth="1"/>
    <col min="3" max="3" width="10.7109375" style="10" customWidth="1"/>
    <col min="4" max="4" width="10.5703125" style="10" customWidth="1"/>
    <col min="5" max="5" width="10.7109375" style="10" customWidth="1"/>
    <col min="6" max="6" width="11.140625" style="10" customWidth="1"/>
    <col min="7" max="7" width="14.140625" style="10" customWidth="1"/>
    <col min="8" max="8" width="9.140625" style="10" customWidth="1"/>
    <col min="9" max="16384" width="9.140625" style="10"/>
  </cols>
  <sheetData>
    <row r="1" spans="1:9" s="47" customFormat="1" ht="15.75" customHeight="1">
      <c r="A1" s="1841" t="s">
        <v>2162</v>
      </c>
      <c r="B1" s="1841"/>
      <c r="C1" s="1841"/>
      <c r="D1" s="1841"/>
      <c r="E1" s="1841"/>
      <c r="F1" s="1841" t="s">
        <v>255</v>
      </c>
      <c r="G1" s="1841"/>
    </row>
    <row r="2" spans="1:9" s="54" customFormat="1" ht="12">
      <c r="F2" s="1762" t="s">
        <v>31</v>
      </c>
      <c r="G2" s="1893"/>
    </row>
    <row r="3" spans="1:9" s="580" customFormat="1" ht="15" customHeight="1">
      <c r="A3" s="1779" t="s">
        <v>1472</v>
      </c>
      <c r="B3" s="1785" t="s">
        <v>1334</v>
      </c>
      <c r="C3" s="1785" t="s">
        <v>262</v>
      </c>
      <c r="D3" s="1792" t="s">
        <v>253</v>
      </c>
      <c r="E3" s="1793"/>
      <c r="F3" s="1793"/>
      <c r="G3" s="1785" t="s">
        <v>1305</v>
      </c>
    </row>
    <row r="4" spans="1:9" s="580" customFormat="1" ht="12.75" customHeight="1">
      <c r="A4" s="1780"/>
      <c r="B4" s="1786"/>
      <c r="C4" s="1892"/>
      <c r="D4" s="1887" t="s">
        <v>254</v>
      </c>
      <c r="E4" s="1888"/>
      <c r="F4" s="1816" t="s">
        <v>2076</v>
      </c>
      <c r="G4" s="1786"/>
    </row>
    <row r="5" spans="1:9" s="262" customFormat="1" ht="19.5" customHeight="1">
      <c r="A5" s="1780"/>
      <c r="B5" s="1786"/>
      <c r="C5" s="1892"/>
      <c r="D5" s="1785" t="s">
        <v>1219</v>
      </c>
      <c r="E5" s="1785" t="s">
        <v>252</v>
      </c>
      <c r="F5" s="1894"/>
      <c r="G5" s="1786"/>
    </row>
    <row r="6" spans="1:9" s="262" customFormat="1" ht="14.25" customHeight="1">
      <c r="A6" s="1780"/>
      <c r="B6" s="1787"/>
      <c r="C6" s="1891"/>
      <c r="D6" s="1787"/>
      <c r="E6" s="1891"/>
      <c r="F6" s="1817"/>
      <c r="G6" s="1787"/>
    </row>
    <row r="7" spans="1:9" s="26" customFormat="1" ht="10.5" customHeight="1">
      <c r="A7" s="1781"/>
      <c r="B7" s="25">
        <v>1</v>
      </c>
      <c r="C7" s="25">
        <v>2</v>
      </c>
      <c r="D7" s="25">
        <v>3</v>
      </c>
      <c r="E7" s="25">
        <v>4</v>
      </c>
      <c r="F7" s="25">
        <v>5</v>
      </c>
      <c r="G7" s="25">
        <v>6</v>
      </c>
    </row>
    <row r="8" spans="1:9" ht="11.25" customHeight="1">
      <c r="A8" s="11" t="s">
        <v>549</v>
      </c>
      <c r="B8" s="34">
        <v>32689.9</v>
      </c>
      <c r="C8" s="34">
        <v>2958.6</v>
      </c>
      <c r="D8" s="34">
        <v>11806.7</v>
      </c>
      <c r="E8" s="34">
        <v>5227.5</v>
      </c>
      <c r="F8" s="34">
        <v>106.9</v>
      </c>
      <c r="G8" s="34">
        <f t="shared" ref="G8" si="0">B8+C8+D8+F8</f>
        <v>47562.1</v>
      </c>
      <c r="H8" s="53"/>
      <c r="I8" s="53"/>
    </row>
    <row r="9" spans="1:9" ht="11.25" customHeight="1">
      <c r="A9" s="446" t="s">
        <v>102</v>
      </c>
      <c r="B9" s="432">
        <v>36049.199999999997</v>
      </c>
      <c r="C9" s="432">
        <v>3399.5</v>
      </c>
      <c r="D9" s="432">
        <v>23159.5</v>
      </c>
      <c r="E9" s="432">
        <v>6640.7</v>
      </c>
      <c r="F9" s="432">
        <v>141.19999999999999</v>
      </c>
      <c r="G9" s="432">
        <f>B9+C9+D9+F9</f>
        <v>62749.399999999994</v>
      </c>
      <c r="H9" s="53"/>
      <c r="I9" s="53"/>
    </row>
    <row r="10" spans="1:9" ht="11.25" customHeight="1">
      <c r="A10" s="11" t="s">
        <v>98</v>
      </c>
      <c r="B10" s="34">
        <v>46157.1</v>
      </c>
      <c r="C10" s="34">
        <v>4308.3</v>
      </c>
      <c r="D10" s="34">
        <v>23468</v>
      </c>
      <c r="E10" s="34">
        <v>6367.5</v>
      </c>
      <c r="F10" s="34">
        <v>209.4</v>
      </c>
      <c r="G10" s="34">
        <f>B10+C10+D10+F10</f>
        <v>74142.799999999988</v>
      </c>
      <c r="H10" s="53"/>
      <c r="I10" s="53"/>
    </row>
    <row r="11" spans="1:9" ht="11.25" customHeight="1">
      <c r="A11" s="446" t="s">
        <v>241</v>
      </c>
      <c r="B11" s="432">
        <v>54795.1</v>
      </c>
      <c r="C11" s="432">
        <v>5731.8</v>
      </c>
      <c r="D11" s="432">
        <v>29007.7</v>
      </c>
      <c r="E11" s="432">
        <v>7766.5</v>
      </c>
      <c r="F11" s="432">
        <v>199.8</v>
      </c>
      <c r="G11" s="432">
        <v>89734.400000000009</v>
      </c>
      <c r="H11" s="53"/>
      <c r="I11" s="53"/>
    </row>
    <row r="12" spans="1:9" s="253" customFormat="1" ht="11.25" customHeight="1">
      <c r="A12" s="251" t="s">
        <v>1142</v>
      </c>
      <c r="B12" s="78">
        <v>58417.1</v>
      </c>
      <c r="C12" s="78">
        <v>6479.4</v>
      </c>
      <c r="D12" s="78">
        <v>32662.3</v>
      </c>
      <c r="E12" s="78">
        <v>10289.9</v>
      </c>
      <c r="F12" s="78">
        <v>243.9</v>
      </c>
      <c r="G12" s="78">
        <v>97802.7</v>
      </c>
      <c r="H12" s="251"/>
      <c r="I12" s="53"/>
    </row>
    <row r="13" spans="1:9" s="253" customFormat="1" ht="11.25" customHeight="1">
      <c r="A13" s="425" t="s">
        <v>1333</v>
      </c>
      <c r="B13" s="432">
        <v>67552.899999999994</v>
      </c>
      <c r="C13" s="432">
        <v>7819.4</v>
      </c>
      <c r="D13" s="432">
        <v>36803.4</v>
      </c>
      <c r="E13" s="432">
        <v>8422.6</v>
      </c>
      <c r="F13" s="432">
        <v>313.70000000000005</v>
      </c>
      <c r="G13" s="432">
        <v>112489.39999999998</v>
      </c>
      <c r="H13" s="251"/>
      <c r="I13" s="53"/>
    </row>
    <row r="14" spans="1:9" s="885" customFormat="1" ht="11.25" customHeight="1">
      <c r="A14" s="747" t="s">
        <v>1664</v>
      </c>
      <c r="B14" s="78">
        <v>76908.399999999994</v>
      </c>
      <c r="C14" s="78">
        <v>8576.7999999999993</v>
      </c>
      <c r="D14" s="78">
        <v>43997.7</v>
      </c>
      <c r="E14" s="78">
        <v>7480.2</v>
      </c>
      <c r="F14" s="78">
        <v>392.4</v>
      </c>
      <c r="G14" s="78">
        <v>129875.29999999999</v>
      </c>
      <c r="H14" s="704"/>
      <c r="I14" s="883"/>
    </row>
    <row r="15" spans="1:9" s="885" customFormat="1" ht="11.25" customHeight="1">
      <c r="A15" s="436" t="s">
        <v>1754</v>
      </c>
      <c r="B15" s="674">
        <v>87940.800000000003</v>
      </c>
      <c r="C15" s="674">
        <v>10213.1</v>
      </c>
      <c r="D15" s="674">
        <v>49838.9</v>
      </c>
      <c r="E15" s="674">
        <v>7889.3</v>
      </c>
      <c r="F15" s="674">
        <v>489.7</v>
      </c>
      <c r="G15" s="674">
        <v>148482.50000000003</v>
      </c>
      <c r="H15" s="704"/>
      <c r="I15" s="78"/>
    </row>
    <row r="16" spans="1:9" s="654" customFormat="1" ht="11.25" customHeight="1">
      <c r="A16" s="737" t="s">
        <v>1954</v>
      </c>
      <c r="B16" s="820">
        <v>122074.5</v>
      </c>
      <c r="C16" s="820">
        <v>10230.700000000001</v>
      </c>
      <c r="D16" s="820">
        <v>60299</v>
      </c>
      <c r="E16" s="820">
        <v>7133.4</v>
      </c>
      <c r="F16" s="820">
        <v>597.1</v>
      </c>
      <c r="G16" s="820">
        <v>193201.30000000002</v>
      </c>
      <c r="H16" s="653"/>
      <c r="I16" s="343"/>
    </row>
    <row r="17" spans="1:9" s="654" customFormat="1" ht="11.25" customHeight="1">
      <c r="A17" s="508" t="s">
        <v>2046</v>
      </c>
      <c r="B17" s="823">
        <f t="shared" ref="B17:G17" si="1">B29</f>
        <v>137531.79999999999</v>
      </c>
      <c r="C17" s="823">
        <f t="shared" si="1"/>
        <v>13733.4</v>
      </c>
      <c r="D17" s="823">
        <f t="shared" si="1"/>
        <v>72732.7</v>
      </c>
      <c r="E17" s="823">
        <f t="shared" si="1"/>
        <v>8987.9</v>
      </c>
      <c r="F17" s="823">
        <f t="shared" si="1"/>
        <v>661.5</v>
      </c>
      <c r="G17" s="823">
        <f t="shared" si="1"/>
        <v>224659.39999999997</v>
      </c>
      <c r="H17" s="653"/>
      <c r="I17" s="343"/>
    </row>
    <row r="18" spans="1:9" s="654" customFormat="1" ht="11.25" customHeight="1">
      <c r="A18" s="534" t="s">
        <v>818</v>
      </c>
      <c r="B18" s="763">
        <v>109025</v>
      </c>
      <c r="C18" s="763">
        <v>10638.4</v>
      </c>
      <c r="D18" s="763">
        <v>61615</v>
      </c>
      <c r="E18" s="763">
        <v>7746.1</v>
      </c>
      <c r="F18" s="763">
        <v>579.79999999999995</v>
      </c>
      <c r="G18" s="763">
        <f t="shared" ref="G18:G53" si="2">B18+C18+D18+F18</f>
        <v>181858.19999999998</v>
      </c>
      <c r="H18" s="653"/>
      <c r="I18" s="343"/>
    </row>
    <row r="19" spans="1:9" s="654" customFormat="1" ht="11.25" customHeight="1">
      <c r="A19" s="491" t="s">
        <v>819</v>
      </c>
      <c r="B19" s="1022">
        <v>112113.8</v>
      </c>
      <c r="C19" s="1022">
        <v>10010</v>
      </c>
      <c r="D19" s="1022">
        <v>59999</v>
      </c>
      <c r="E19" s="1022">
        <v>8315.9</v>
      </c>
      <c r="F19" s="1022">
        <v>595.79999999999995</v>
      </c>
      <c r="G19" s="1022">
        <f t="shared" si="2"/>
        <v>182718.59999999998</v>
      </c>
      <c r="H19" s="653"/>
      <c r="I19" s="343"/>
    </row>
    <row r="20" spans="1:9" s="654" customFormat="1" ht="11.25" customHeight="1">
      <c r="A20" s="386" t="s">
        <v>813</v>
      </c>
      <c r="B20" s="763">
        <v>118129.3</v>
      </c>
      <c r="C20" s="763">
        <v>10120.299999999999</v>
      </c>
      <c r="D20" s="763">
        <v>60919.7</v>
      </c>
      <c r="E20" s="763">
        <v>8762.2999999999993</v>
      </c>
      <c r="F20" s="763">
        <v>638.79999999999995</v>
      </c>
      <c r="G20" s="763">
        <f t="shared" si="2"/>
        <v>189808.09999999998</v>
      </c>
      <c r="H20" s="653"/>
      <c r="I20" s="343"/>
    </row>
    <row r="21" spans="1:9" s="654" customFormat="1" ht="11.25" customHeight="1">
      <c r="A21" s="491" t="s">
        <v>820</v>
      </c>
      <c r="B21" s="1022">
        <v>112704.50000000001</v>
      </c>
      <c r="C21" s="1022">
        <v>10709.7</v>
      </c>
      <c r="D21" s="1022">
        <v>62601.7</v>
      </c>
      <c r="E21" s="1022">
        <v>7746.7</v>
      </c>
      <c r="F21" s="1022">
        <v>632.6</v>
      </c>
      <c r="G21" s="1022">
        <f t="shared" si="2"/>
        <v>186648.50000000003</v>
      </c>
      <c r="H21" s="653"/>
      <c r="I21" s="343"/>
    </row>
    <row r="22" spans="1:9" s="654" customFormat="1" ht="11.25" customHeight="1">
      <c r="A22" s="386" t="s">
        <v>821</v>
      </c>
      <c r="B22" s="763">
        <v>111242</v>
      </c>
      <c r="C22" s="763">
        <v>10216.5</v>
      </c>
      <c r="D22" s="763">
        <v>64826</v>
      </c>
      <c r="E22" s="763">
        <v>6294.1</v>
      </c>
      <c r="F22" s="763">
        <v>639.29999999999995</v>
      </c>
      <c r="G22" s="763">
        <f t="shared" si="2"/>
        <v>186923.8</v>
      </c>
      <c r="H22" s="653"/>
      <c r="I22" s="343"/>
    </row>
    <row r="23" spans="1:9" s="654" customFormat="1" ht="11.25" customHeight="1">
      <c r="A23" s="1021" t="s">
        <v>814</v>
      </c>
      <c r="B23" s="1022">
        <v>113153.4</v>
      </c>
      <c r="C23" s="1022">
        <v>10203.1</v>
      </c>
      <c r="D23" s="1022">
        <v>67509.5</v>
      </c>
      <c r="E23" s="1022">
        <v>7473.2</v>
      </c>
      <c r="F23" s="1022">
        <v>632.20000000000005</v>
      </c>
      <c r="G23" s="1022">
        <f t="shared" si="2"/>
        <v>191498.2</v>
      </c>
      <c r="H23" s="653"/>
      <c r="I23" s="343"/>
    </row>
    <row r="24" spans="1:9" s="654" customFormat="1" ht="11.25" customHeight="1">
      <c r="A24" s="1023" t="s">
        <v>822</v>
      </c>
      <c r="B24" s="763">
        <v>112567.6</v>
      </c>
      <c r="C24" s="763">
        <v>10411.5</v>
      </c>
      <c r="D24" s="763">
        <v>64923.199999999997</v>
      </c>
      <c r="E24" s="763">
        <v>6122.5</v>
      </c>
      <c r="F24" s="763">
        <v>659.9</v>
      </c>
      <c r="G24" s="763">
        <f t="shared" si="2"/>
        <v>188562.19999999998</v>
      </c>
      <c r="H24" s="653"/>
      <c r="I24" s="343"/>
    </row>
    <row r="25" spans="1:9" s="654" customFormat="1" ht="11.25" customHeight="1">
      <c r="A25" s="1021" t="s">
        <v>823</v>
      </c>
      <c r="B25" s="1022">
        <v>112499.7</v>
      </c>
      <c r="C25" s="1022">
        <v>11008.1</v>
      </c>
      <c r="D25" s="1022">
        <v>67105.2</v>
      </c>
      <c r="E25" s="1022">
        <v>6814.4</v>
      </c>
      <c r="F25" s="1022">
        <v>639.9</v>
      </c>
      <c r="G25" s="1022">
        <f t="shared" si="2"/>
        <v>191252.9</v>
      </c>
      <c r="H25" s="653"/>
      <c r="I25" s="343"/>
    </row>
    <row r="26" spans="1:9" s="654" customFormat="1" ht="11.25" customHeight="1">
      <c r="A26" s="1023" t="s">
        <v>815</v>
      </c>
      <c r="B26" s="763">
        <v>114109.9</v>
      </c>
      <c r="C26" s="763">
        <v>10364.9</v>
      </c>
      <c r="D26" s="763">
        <v>67498.399999999994</v>
      </c>
      <c r="E26" s="763">
        <v>7067.5</v>
      </c>
      <c r="F26" s="763">
        <v>640</v>
      </c>
      <c r="G26" s="763">
        <f t="shared" si="2"/>
        <v>192613.19999999998</v>
      </c>
      <c r="H26" s="653"/>
      <c r="I26" s="343"/>
    </row>
    <row r="27" spans="1:9" s="654" customFormat="1" ht="11.25" customHeight="1">
      <c r="A27" s="1021" t="s">
        <v>824</v>
      </c>
      <c r="B27" s="1022">
        <v>113757.5</v>
      </c>
      <c r="C27" s="1022">
        <v>11105.2</v>
      </c>
      <c r="D27" s="1022">
        <v>65980.2</v>
      </c>
      <c r="E27" s="1022">
        <v>5430.1</v>
      </c>
      <c r="F27" s="1022">
        <v>661.4</v>
      </c>
      <c r="G27" s="1022">
        <f t="shared" si="2"/>
        <v>191504.3</v>
      </c>
      <c r="H27" s="653"/>
      <c r="I27" s="343"/>
    </row>
    <row r="28" spans="1:9" s="654" customFormat="1" ht="11.25" customHeight="1">
      <c r="A28" s="1023" t="s">
        <v>825</v>
      </c>
      <c r="B28" s="763">
        <v>117136.5</v>
      </c>
      <c r="C28" s="763">
        <v>11744.8</v>
      </c>
      <c r="D28" s="763">
        <v>66446.7</v>
      </c>
      <c r="E28" s="763">
        <v>7961.6</v>
      </c>
      <c r="F28" s="763">
        <v>640.6</v>
      </c>
      <c r="G28" s="763">
        <f t="shared" si="2"/>
        <v>195968.6</v>
      </c>
      <c r="H28" s="653"/>
      <c r="I28" s="343"/>
    </row>
    <row r="29" spans="1:9" s="654" customFormat="1" ht="11.25" customHeight="1">
      <c r="A29" s="1021" t="s">
        <v>816</v>
      </c>
      <c r="B29" s="1022">
        <v>137531.79999999999</v>
      </c>
      <c r="C29" s="1022">
        <v>13733.4</v>
      </c>
      <c r="D29" s="1022">
        <v>72732.7</v>
      </c>
      <c r="E29" s="1022">
        <v>8987.9</v>
      </c>
      <c r="F29" s="1022">
        <v>661.5</v>
      </c>
      <c r="G29" s="1022">
        <f t="shared" si="2"/>
        <v>224659.39999999997</v>
      </c>
      <c r="H29" s="653"/>
      <c r="I29" s="343"/>
    </row>
    <row r="30" spans="1:9" s="654" customFormat="1" ht="11.25" customHeight="1">
      <c r="A30" s="737" t="s">
        <v>2268</v>
      </c>
      <c r="B30" s="820">
        <f t="shared" ref="B30:G30" si="3">B42</f>
        <v>140917.5</v>
      </c>
      <c r="C30" s="820">
        <f t="shared" si="3"/>
        <v>14023</v>
      </c>
      <c r="D30" s="820">
        <f t="shared" si="3"/>
        <v>78043.399999999994</v>
      </c>
      <c r="E30" s="820">
        <f t="shared" si="3"/>
        <v>10474.5</v>
      </c>
      <c r="F30" s="820">
        <f t="shared" si="3"/>
        <v>759.1</v>
      </c>
      <c r="G30" s="820">
        <f t="shared" si="3"/>
        <v>233743</v>
      </c>
      <c r="H30" s="653"/>
      <c r="I30" s="343"/>
    </row>
    <row r="31" spans="1:9" s="654" customFormat="1" ht="11.25" customHeight="1">
      <c r="A31" s="491" t="s">
        <v>818</v>
      </c>
      <c r="B31" s="1022">
        <v>126258.4</v>
      </c>
      <c r="C31" s="1022">
        <v>12238.1</v>
      </c>
      <c r="D31" s="1022">
        <v>71127.100000000006</v>
      </c>
      <c r="E31" s="1022">
        <v>7306.6</v>
      </c>
      <c r="F31" s="1022">
        <v>664.2</v>
      </c>
      <c r="G31" s="1022">
        <f t="shared" si="2"/>
        <v>210287.80000000002</v>
      </c>
      <c r="H31" s="653"/>
      <c r="I31" s="343"/>
    </row>
    <row r="32" spans="1:9" s="654" customFormat="1" ht="11.25" customHeight="1">
      <c r="A32" s="386" t="s">
        <v>819</v>
      </c>
      <c r="B32" s="763">
        <v>147823.4</v>
      </c>
      <c r="C32" s="763">
        <v>11375.9</v>
      </c>
      <c r="D32" s="763">
        <v>70323.399999999994</v>
      </c>
      <c r="E32" s="763">
        <v>7226.9</v>
      </c>
      <c r="F32" s="763">
        <v>672.9</v>
      </c>
      <c r="G32" s="763">
        <f t="shared" si="2"/>
        <v>230195.59999999998</v>
      </c>
      <c r="H32" s="653"/>
      <c r="I32" s="343"/>
    </row>
    <row r="33" spans="1:9" s="654" customFormat="1" ht="11.25" customHeight="1">
      <c r="A33" s="491" t="s">
        <v>813</v>
      </c>
      <c r="B33" s="1022">
        <v>132823.20000000001</v>
      </c>
      <c r="C33" s="1022">
        <v>11307.9</v>
      </c>
      <c r="D33" s="1022">
        <v>70441.7</v>
      </c>
      <c r="E33" s="1022">
        <v>6525</v>
      </c>
      <c r="F33" s="1022">
        <v>687.4</v>
      </c>
      <c r="G33" s="1022">
        <f t="shared" si="2"/>
        <v>215260.19999999998</v>
      </c>
      <c r="H33" s="653"/>
      <c r="I33" s="343"/>
    </row>
    <row r="34" spans="1:9" s="654" customFormat="1" ht="11.25" customHeight="1">
      <c r="A34" s="386" t="s">
        <v>820</v>
      </c>
      <c r="B34" s="763">
        <v>126764.6</v>
      </c>
      <c r="C34" s="763">
        <v>12310.7</v>
      </c>
      <c r="D34" s="763">
        <v>70523.100000000006</v>
      </c>
      <c r="E34" s="763">
        <v>6573.2</v>
      </c>
      <c r="F34" s="763">
        <v>678.6</v>
      </c>
      <c r="G34" s="763">
        <f t="shared" si="2"/>
        <v>210277.00000000003</v>
      </c>
      <c r="H34" s="653"/>
      <c r="I34" s="343"/>
    </row>
    <row r="35" spans="1:9" s="654" customFormat="1" ht="11.25" customHeight="1">
      <c r="A35" s="491" t="s">
        <v>821</v>
      </c>
      <c r="B35" s="1022">
        <v>126883.2</v>
      </c>
      <c r="C35" s="1022">
        <v>11357.5</v>
      </c>
      <c r="D35" s="1022">
        <v>70096.5</v>
      </c>
      <c r="E35" s="1022">
        <v>7146.7</v>
      </c>
      <c r="F35" s="1022">
        <v>682.1</v>
      </c>
      <c r="G35" s="1022">
        <f t="shared" si="2"/>
        <v>209019.30000000002</v>
      </c>
      <c r="H35" s="653"/>
      <c r="I35" s="343"/>
    </row>
    <row r="36" spans="1:9" s="654" customFormat="1" ht="11.25" customHeight="1">
      <c r="A36" s="386" t="s">
        <v>814</v>
      </c>
      <c r="B36" s="763">
        <v>129149.2</v>
      </c>
      <c r="C36" s="763">
        <v>11537.3</v>
      </c>
      <c r="D36" s="763">
        <v>75626.899999999994</v>
      </c>
      <c r="E36" s="763">
        <v>7059.3</v>
      </c>
      <c r="F36" s="763">
        <v>670.4</v>
      </c>
      <c r="G36" s="763">
        <f t="shared" si="2"/>
        <v>216983.8</v>
      </c>
      <c r="H36" s="653"/>
      <c r="I36" s="343"/>
    </row>
    <row r="37" spans="1:9" s="654" customFormat="1" ht="11.25" customHeight="1">
      <c r="A37" s="491" t="s">
        <v>822</v>
      </c>
      <c r="B37" s="1022">
        <v>128248.3</v>
      </c>
      <c r="C37" s="1022">
        <v>12043.1</v>
      </c>
      <c r="D37" s="1022">
        <v>69361.7</v>
      </c>
      <c r="E37" s="1022">
        <v>6541.3</v>
      </c>
      <c r="F37" s="1022">
        <v>667.5</v>
      </c>
      <c r="G37" s="1022">
        <f t="shared" si="2"/>
        <v>210320.59999999998</v>
      </c>
      <c r="H37" s="653"/>
      <c r="I37" s="343"/>
    </row>
    <row r="38" spans="1:9" s="654" customFormat="1" ht="11.25" customHeight="1">
      <c r="A38" s="386" t="s">
        <v>823</v>
      </c>
      <c r="B38" s="763">
        <v>128338.1</v>
      </c>
      <c r="C38" s="763">
        <v>12783.3</v>
      </c>
      <c r="D38" s="763">
        <v>68679.600000000006</v>
      </c>
      <c r="E38" s="763">
        <v>7975.9</v>
      </c>
      <c r="F38" s="763">
        <v>748.4</v>
      </c>
      <c r="G38" s="763">
        <f t="shared" si="2"/>
        <v>210549.4</v>
      </c>
      <c r="H38" s="653"/>
      <c r="I38" s="343"/>
    </row>
    <row r="39" spans="1:9" s="654" customFormat="1" ht="11.25" customHeight="1">
      <c r="A39" s="491" t="s">
        <v>815</v>
      </c>
      <c r="B39" s="1022">
        <v>128133.1</v>
      </c>
      <c r="C39" s="1022">
        <v>12042.8</v>
      </c>
      <c r="D39" s="1022">
        <v>71374.100000000006</v>
      </c>
      <c r="E39" s="1022">
        <v>8152</v>
      </c>
      <c r="F39" s="1022">
        <v>700.4</v>
      </c>
      <c r="G39" s="1022">
        <f t="shared" si="2"/>
        <v>212250.4</v>
      </c>
      <c r="H39" s="653"/>
      <c r="I39" s="343"/>
    </row>
    <row r="40" spans="1:9" s="654" customFormat="1" ht="11.25" customHeight="1">
      <c r="A40" s="386" t="s">
        <v>824</v>
      </c>
      <c r="B40" s="763">
        <v>128346.7</v>
      </c>
      <c r="C40" s="763">
        <v>12550.3</v>
      </c>
      <c r="D40" s="763">
        <v>70643.7</v>
      </c>
      <c r="E40" s="763">
        <v>7619</v>
      </c>
      <c r="F40" s="763">
        <v>840.3</v>
      </c>
      <c r="G40" s="763">
        <f t="shared" si="2"/>
        <v>212381</v>
      </c>
      <c r="H40" s="653"/>
      <c r="I40" s="343"/>
    </row>
    <row r="41" spans="1:9" s="654" customFormat="1" ht="11.25" customHeight="1">
      <c r="A41" s="491" t="s">
        <v>825</v>
      </c>
      <c r="B41" s="1022">
        <v>133443.9</v>
      </c>
      <c r="C41" s="1022">
        <v>13183.7</v>
      </c>
      <c r="D41" s="1022">
        <v>63761.599999999999</v>
      </c>
      <c r="E41" s="1022">
        <v>9088.7999999999993</v>
      </c>
      <c r="F41" s="1022">
        <v>652.4</v>
      </c>
      <c r="G41" s="1022">
        <f t="shared" si="2"/>
        <v>211041.6</v>
      </c>
      <c r="H41" s="653"/>
      <c r="I41" s="343"/>
    </row>
    <row r="42" spans="1:9" s="654" customFormat="1" ht="11.25" customHeight="1">
      <c r="A42" s="386" t="s">
        <v>816</v>
      </c>
      <c r="B42" s="763">
        <v>140917.5</v>
      </c>
      <c r="C42" s="763">
        <v>14023</v>
      </c>
      <c r="D42" s="763">
        <v>78043.399999999994</v>
      </c>
      <c r="E42" s="763">
        <v>10474.5</v>
      </c>
      <c r="F42" s="763">
        <v>759.1</v>
      </c>
      <c r="G42" s="763">
        <f t="shared" si="2"/>
        <v>233743</v>
      </c>
      <c r="H42" s="653"/>
      <c r="I42" s="343"/>
    </row>
    <row r="43" spans="1:9" s="251" customFormat="1" ht="11.25" customHeight="1">
      <c r="A43" s="548" t="s">
        <v>2524</v>
      </c>
      <c r="B43" s="1022"/>
      <c r="C43" s="1022"/>
      <c r="D43" s="1022"/>
      <c r="E43" s="1022"/>
      <c r="F43" s="1022"/>
      <c r="G43" s="1022"/>
    </row>
    <row r="44" spans="1:9" s="11" customFormat="1" ht="11.25" customHeight="1">
      <c r="A44" s="386" t="s">
        <v>818</v>
      </c>
      <c r="B44" s="763">
        <v>137702.29999999999</v>
      </c>
      <c r="C44" s="763">
        <v>13317.5</v>
      </c>
      <c r="D44" s="763">
        <v>69416.600000000006</v>
      </c>
      <c r="E44" s="763">
        <v>9843.1</v>
      </c>
      <c r="F44" s="763">
        <v>831.5</v>
      </c>
      <c r="G44" s="763">
        <f t="shared" si="2"/>
        <v>221267.9</v>
      </c>
    </row>
    <row r="45" spans="1:9" s="11" customFormat="1" ht="11.25" customHeight="1">
      <c r="A45" s="491" t="s">
        <v>819</v>
      </c>
      <c r="B45" s="1022">
        <v>153394.6</v>
      </c>
      <c r="C45" s="1022">
        <v>14192.1</v>
      </c>
      <c r="D45" s="1022">
        <v>66040.5</v>
      </c>
      <c r="E45" s="1022">
        <v>11830.2</v>
      </c>
      <c r="F45" s="1022">
        <v>743.6</v>
      </c>
      <c r="G45" s="1022">
        <f t="shared" si="2"/>
        <v>234370.80000000002</v>
      </c>
    </row>
    <row r="46" spans="1:9" s="11" customFormat="1" ht="11.25" customHeight="1">
      <c r="A46" s="386" t="s">
        <v>813</v>
      </c>
      <c r="B46" s="763">
        <v>141018.9</v>
      </c>
      <c r="C46" s="763">
        <v>14502.5</v>
      </c>
      <c r="D46" s="763">
        <v>72210.8</v>
      </c>
      <c r="E46" s="763">
        <v>9259.9</v>
      </c>
      <c r="F46" s="763">
        <v>755</v>
      </c>
      <c r="G46" s="763">
        <f t="shared" si="2"/>
        <v>228487.2</v>
      </c>
    </row>
    <row r="47" spans="1:9" s="11" customFormat="1" ht="11.25" customHeight="1">
      <c r="A47" s="491" t="s">
        <v>820</v>
      </c>
      <c r="B47" s="1022">
        <v>139078.1</v>
      </c>
      <c r="C47" s="1022">
        <v>13346.1</v>
      </c>
      <c r="D47" s="1022">
        <v>74979.7</v>
      </c>
      <c r="E47" s="1022">
        <v>7573.2</v>
      </c>
      <c r="F47" s="1022">
        <v>714.3</v>
      </c>
      <c r="G47" s="1022">
        <f t="shared" si="2"/>
        <v>228118.2</v>
      </c>
    </row>
    <row r="48" spans="1:9" s="11" customFormat="1" ht="11.25" customHeight="1">
      <c r="A48" s="386" t="s">
        <v>821</v>
      </c>
      <c r="B48" s="763">
        <v>139109.20000000001</v>
      </c>
      <c r="C48" s="763">
        <v>13162.8</v>
      </c>
      <c r="D48" s="763">
        <v>72352</v>
      </c>
      <c r="E48" s="763">
        <v>7863.8</v>
      </c>
      <c r="F48" s="763">
        <v>703.6</v>
      </c>
      <c r="G48" s="763">
        <f t="shared" si="2"/>
        <v>225327.6</v>
      </c>
    </row>
    <row r="49" spans="1:9" s="11" customFormat="1" ht="11.25" customHeight="1">
      <c r="A49" s="491" t="s">
        <v>814</v>
      </c>
      <c r="B49" s="1022">
        <v>144679.1</v>
      </c>
      <c r="C49" s="1022">
        <v>13681.9</v>
      </c>
      <c r="D49" s="1022">
        <v>75596.3</v>
      </c>
      <c r="E49" s="1022">
        <v>9413.4</v>
      </c>
      <c r="F49" s="1022">
        <v>700.6</v>
      </c>
      <c r="G49" s="1022">
        <f t="shared" si="2"/>
        <v>234657.9</v>
      </c>
    </row>
    <row r="50" spans="1:9" s="11" customFormat="1" ht="11.25" customHeight="1">
      <c r="A50" s="386" t="s">
        <v>822</v>
      </c>
      <c r="B50" s="763">
        <v>144681.70000000001</v>
      </c>
      <c r="C50" s="763">
        <v>12674.1</v>
      </c>
      <c r="D50" s="763">
        <v>69935.199999999997</v>
      </c>
      <c r="E50" s="763">
        <v>7923.8</v>
      </c>
      <c r="F50" s="763">
        <v>736.6</v>
      </c>
      <c r="G50" s="763">
        <f t="shared" si="2"/>
        <v>228027.6</v>
      </c>
    </row>
    <row r="51" spans="1:9" s="11" customFormat="1" ht="11.25" customHeight="1">
      <c r="A51" s="491" t="s">
        <v>823</v>
      </c>
      <c r="B51" s="1022">
        <v>145963</v>
      </c>
      <c r="C51" s="1022">
        <v>12972.6</v>
      </c>
      <c r="D51" s="1022">
        <v>67134</v>
      </c>
      <c r="E51" s="1022">
        <v>9931.4</v>
      </c>
      <c r="F51" s="1022">
        <v>673</v>
      </c>
      <c r="G51" s="1022">
        <f t="shared" si="2"/>
        <v>226742.6</v>
      </c>
    </row>
    <row r="52" spans="1:9" s="11" customFormat="1" ht="11.25" customHeight="1">
      <c r="A52" s="386" t="s">
        <v>815</v>
      </c>
      <c r="B52" s="763">
        <v>144646.5</v>
      </c>
      <c r="C52" s="763">
        <v>14853.8</v>
      </c>
      <c r="D52" s="763">
        <v>64863.3</v>
      </c>
      <c r="E52" s="763">
        <v>12151.1</v>
      </c>
      <c r="F52" s="763">
        <v>726.7</v>
      </c>
      <c r="G52" s="763">
        <f t="shared" si="2"/>
        <v>225090.3</v>
      </c>
    </row>
    <row r="53" spans="1:9" s="11" customFormat="1" ht="11.25" customHeight="1" thickBot="1">
      <c r="A53" s="1088" t="s">
        <v>824</v>
      </c>
      <c r="B53" s="1695">
        <v>144759</v>
      </c>
      <c r="C53" s="1695">
        <v>14032</v>
      </c>
      <c r="D53" s="1695">
        <v>67496.600000000006</v>
      </c>
      <c r="E53" s="1695">
        <v>10726.7</v>
      </c>
      <c r="F53" s="1695">
        <v>703.7</v>
      </c>
      <c r="G53" s="1695">
        <f t="shared" si="2"/>
        <v>226991.30000000002</v>
      </c>
    </row>
    <row r="54" spans="1:9" s="11" customFormat="1" ht="11.25" customHeight="1">
      <c r="A54" s="351"/>
      <c r="B54" s="77" t="s">
        <v>2250</v>
      </c>
      <c r="C54" s="77"/>
      <c r="D54" s="77"/>
      <c r="E54" s="77"/>
      <c r="F54" s="77"/>
      <c r="G54" s="77"/>
      <c r="I54" s="214"/>
    </row>
    <row r="55" spans="1:9" s="11" customFormat="1">
      <c r="A55" s="643" t="s">
        <v>2325</v>
      </c>
      <c r="B55" s="1858" t="s">
        <v>2122</v>
      </c>
      <c r="C55" s="1858"/>
      <c r="D55" s="1858"/>
      <c r="E55" s="1142"/>
      <c r="F55" s="1142"/>
      <c r="G55" s="1142"/>
    </row>
    <row r="56" spans="1:9">
      <c r="A56" s="11"/>
      <c r="B56" s="77"/>
      <c r="C56" s="77"/>
      <c r="D56" s="77"/>
      <c r="E56" s="77"/>
      <c r="F56" s="77"/>
      <c r="G56" s="77"/>
    </row>
    <row r="57" spans="1:9">
      <c r="A57" s="11"/>
      <c r="B57" s="11"/>
      <c r="C57" s="11"/>
      <c r="D57" s="11"/>
      <c r="E57" s="11"/>
      <c r="F57" s="11"/>
      <c r="G57" s="214"/>
    </row>
    <row r="58" spans="1:9">
      <c r="A58" s="11"/>
      <c r="B58" s="92"/>
      <c r="C58" s="11"/>
      <c r="D58" s="11"/>
      <c r="E58" s="11"/>
      <c r="F58" s="11"/>
      <c r="G58" s="214"/>
    </row>
    <row r="60" spans="1:9">
      <c r="G60" s="53"/>
    </row>
    <row r="61" spans="1:9">
      <c r="G61" s="53"/>
    </row>
    <row r="71" spans="2:7">
      <c r="B71" s="53"/>
      <c r="C71" s="53"/>
      <c r="D71" s="53"/>
      <c r="E71" s="53"/>
      <c r="F71" s="53"/>
      <c r="G71" s="53"/>
    </row>
    <row r="72" spans="2:7">
      <c r="B72" s="53"/>
      <c r="C72" s="53"/>
      <c r="D72" s="53"/>
      <c r="E72" s="53"/>
      <c r="F72" s="53"/>
      <c r="G72" s="53"/>
    </row>
    <row r="73" spans="2:7">
      <c r="B73" s="53"/>
      <c r="C73" s="53"/>
      <c r="D73" s="53"/>
      <c r="E73" s="53"/>
      <c r="F73" s="53"/>
      <c r="G73" s="53"/>
    </row>
    <row r="74" spans="2:7">
      <c r="B74" s="53"/>
      <c r="C74" s="53"/>
      <c r="D74" s="53"/>
      <c r="E74" s="53"/>
      <c r="F74" s="53"/>
      <c r="G74" s="53"/>
    </row>
    <row r="75" spans="2:7">
      <c r="B75" s="53"/>
      <c r="C75" s="53"/>
      <c r="D75" s="53"/>
      <c r="E75" s="53"/>
      <c r="F75" s="53"/>
      <c r="G75" s="53"/>
    </row>
    <row r="76" spans="2:7">
      <c r="B76" s="53"/>
      <c r="C76" s="53"/>
      <c r="D76" s="53"/>
      <c r="E76" s="53"/>
      <c r="F76" s="53"/>
      <c r="G76" s="53"/>
    </row>
    <row r="77" spans="2:7">
      <c r="B77" s="53"/>
      <c r="C77" s="53"/>
      <c r="D77" s="53"/>
      <c r="E77" s="53"/>
      <c r="F77" s="53"/>
      <c r="G77" s="53"/>
    </row>
    <row r="78" spans="2:7">
      <c r="B78" s="53"/>
      <c r="C78" s="53"/>
      <c r="D78" s="53"/>
      <c r="E78" s="53"/>
      <c r="F78" s="53"/>
      <c r="G78" s="53"/>
    </row>
    <row r="79" spans="2:7">
      <c r="B79" s="53"/>
      <c r="C79" s="53"/>
      <c r="D79" s="53"/>
      <c r="E79" s="53"/>
      <c r="F79" s="53"/>
      <c r="G79" s="53"/>
    </row>
    <row r="80" spans="2:7">
      <c r="B80" s="53"/>
      <c r="C80" s="53"/>
      <c r="D80" s="53"/>
      <c r="E80" s="53"/>
      <c r="F80" s="53"/>
      <c r="G80" s="53"/>
    </row>
    <row r="81" spans="2:7">
      <c r="B81" s="53"/>
      <c r="C81" s="53"/>
      <c r="D81" s="53"/>
      <c r="E81" s="53"/>
      <c r="F81" s="53"/>
      <c r="G81" s="53"/>
    </row>
  </sheetData>
  <mergeCells count="13">
    <mergeCell ref="D5:D6"/>
    <mergeCell ref="D4:E4"/>
    <mergeCell ref="D3:F3"/>
    <mergeCell ref="B55:D55"/>
    <mergeCell ref="F1:G1"/>
    <mergeCell ref="A1:E1"/>
    <mergeCell ref="A3:A7"/>
    <mergeCell ref="E5:E6"/>
    <mergeCell ref="C3:C6"/>
    <mergeCell ref="B3:B6"/>
    <mergeCell ref="F2:G2"/>
    <mergeCell ref="G3:G6"/>
    <mergeCell ref="F4:F6"/>
  </mergeCells>
  <phoneticPr fontId="0" type="noConversion"/>
  <pageMargins left="0.62992125984252001" right="0.511811023622047" top="0.511811023622047" bottom="0.511811023622047" header="0" footer="0.39370078740157499"/>
  <pageSetup paperSize="448" firstPageNumber="16" orientation="portrait" useFirstPageNumber="1" r:id="rId1"/>
  <headerFooter alignWithMargins="0">
    <oddFooter>&amp;C&amp;"Times New Roman,Regular"&amp;8&amp;P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9"/>
  <dimension ref="A1:L79"/>
  <sheetViews>
    <sheetView zoomScale="160" zoomScaleNormal="160" workbookViewId="0">
      <pane xSplit="1" ySplit="7" topLeftCell="B47" activePane="bottomRight" state="frozen"/>
      <selection pane="topRight" activeCell="C1" sqref="C1"/>
      <selection pane="bottomLeft" activeCell="A8" sqref="A8"/>
      <selection pane="bottomRight" activeCell="J53" sqref="J53"/>
    </sheetView>
  </sheetViews>
  <sheetFormatPr defaultColWidth="9.140625" defaultRowHeight="11.25"/>
  <cols>
    <col min="1" max="1" width="10.140625" style="253" customWidth="1"/>
    <col min="2" max="2" width="7.42578125" style="253" customWidth="1"/>
    <col min="3" max="3" width="7.140625" style="253" customWidth="1"/>
    <col min="4" max="4" width="7" style="253" customWidth="1"/>
    <col min="5" max="5" width="6.42578125" style="253" customWidth="1"/>
    <col min="6" max="6" width="7.42578125" style="253" customWidth="1"/>
    <col min="7" max="7" width="8.28515625" style="253" customWidth="1"/>
    <col min="8" max="8" width="7.28515625" style="253" customWidth="1"/>
    <col min="9" max="9" width="8" style="253" customWidth="1"/>
    <col min="10" max="10" width="7.5703125" style="253" customWidth="1"/>
    <col min="11" max="16384" width="9.140625" style="253"/>
  </cols>
  <sheetData>
    <row r="1" spans="1:12" s="256" customFormat="1" ht="13.5" customHeight="1">
      <c r="A1" s="1895" t="s">
        <v>2163</v>
      </c>
      <c r="B1" s="1895"/>
      <c r="C1" s="1895"/>
      <c r="D1" s="1895"/>
      <c r="E1" s="1895"/>
      <c r="F1" s="1895"/>
      <c r="G1" s="1895"/>
      <c r="H1" s="1895"/>
      <c r="I1" s="1897" t="s">
        <v>256</v>
      </c>
      <c r="J1" s="1897"/>
    </row>
    <row r="2" spans="1:12" s="259" customFormat="1" ht="12">
      <c r="I2" s="1898" t="s">
        <v>31</v>
      </c>
      <c r="J2" s="1898"/>
    </row>
    <row r="3" spans="1:12" s="580" customFormat="1" ht="15" customHeight="1">
      <c r="A3" s="1797" t="s">
        <v>1494</v>
      </c>
      <c r="B3" s="1884" t="s">
        <v>257</v>
      </c>
      <c r="C3" s="1843" t="s">
        <v>741</v>
      </c>
      <c r="D3" s="1844"/>
      <c r="E3" s="1844"/>
      <c r="F3" s="1844"/>
      <c r="G3" s="1845"/>
      <c r="H3" s="1785" t="s">
        <v>1473</v>
      </c>
      <c r="I3" s="1785" t="s">
        <v>260</v>
      </c>
      <c r="J3" s="1785" t="s">
        <v>261</v>
      </c>
    </row>
    <row r="4" spans="1:12" s="580" customFormat="1" ht="12.75" customHeight="1">
      <c r="A4" s="1797"/>
      <c r="B4" s="1896"/>
      <c r="C4" s="1785" t="s">
        <v>1220</v>
      </c>
      <c r="D4" s="1785" t="s">
        <v>743</v>
      </c>
      <c r="E4" s="1785" t="s">
        <v>857</v>
      </c>
      <c r="F4" s="1785" t="s">
        <v>258</v>
      </c>
      <c r="G4" s="1785" t="s">
        <v>259</v>
      </c>
      <c r="H4" s="1786"/>
      <c r="I4" s="1786"/>
      <c r="J4" s="1786"/>
    </row>
    <row r="5" spans="1:12" s="262" customFormat="1" ht="19.5" customHeight="1">
      <c r="A5" s="1797"/>
      <c r="B5" s="1896"/>
      <c r="C5" s="1786"/>
      <c r="D5" s="1786"/>
      <c r="E5" s="1892"/>
      <c r="F5" s="1786"/>
      <c r="G5" s="1786"/>
      <c r="H5" s="1786"/>
      <c r="I5" s="1786"/>
      <c r="J5" s="1786"/>
    </row>
    <row r="6" spans="1:12" s="262" customFormat="1" ht="14.25" customHeight="1">
      <c r="A6" s="1797"/>
      <c r="B6" s="1795"/>
      <c r="C6" s="1787"/>
      <c r="D6" s="1787"/>
      <c r="E6" s="1891"/>
      <c r="F6" s="1787"/>
      <c r="G6" s="1787"/>
      <c r="H6" s="1787"/>
      <c r="I6" s="1787"/>
      <c r="J6" s="1787"/>
    </row>
    <row r="7" spans="1:12" s="339" customFormat="1" ht="10.5" customHeight="1">
      <c r="A7" s="1797"/>
      <c r="B7" s="761">
        <v>1</v>
      </c>
      <c r="C7" s="762">
        <v>2</v>
      </c>
      <c r="D7" s="762">
        <v>3</v>
      </c>
      <c r="E7" s="762">
        <v>4</v>
      </c>
      <c r="F7" s="762">
        <v>5</v>
      </c>
      <c r="G7" s="762">
        <v>6</v>
      </c>
      <c r="H7" s="762">
        <v>7</v>
      </c>
      <c r="I7" s="762">
        <v>8</v>
      </c>
      <c r="J7" s="762">
        <v>9</v>
      </c>
    </row>
    <row r="8" spans="1:12" s="356" customFormat="1" ht="11.25" customHeight="1">
      <c r="A8" s="356" t="s">
        <v>549</v>
      </c>
      <c r="B8" s="673">
        <v>32813.800000000003</v>
      </c>
      <c r="C8" s="673">
        <v>25927.7</v>
      </c>
      <c r="D8" s="39">
        <v>946.4</v>
      </c>
      <c r="E8" s="39">
        <v>1696.8</v>
      </c>
      <c r="F8" s="39">
        <v>7334.2</v>
      </c>
      <c r="G8" s="39">
        <f t="shared" ref="G8:G12" si="0">C8+D8+E8+F8</f>
        <v>35905.1</v>
      </c>
      <c r="H8" s="673">
        <v>-21156.799999999999</v>
      </c>
      <c r="I8" s="78">
        <f t="shared" ref="I8:I12" si="1">G8+H8</f>
        <v>14748.3</v>
      </c>
      <c r="J8" s="78">
        <f t="shared" ref="J8:J12" si="2">B8+I8</f>
        <v>47562.100000000006</v>
      </c>
    </row>
    <row r="9" spans="1:12" s="356" customFormat="1" ht="11.25" customHeight="1">
      <c r="A9" s="886" t="s">
        <v>102</v>
      </c>
      <c r="B9" s="674">
        <v>43227.5</v>
      </c>
      <c r="C9" s="674">
        <v>28471.5</v>
      </c>
      <c r="D9" s="437">
        <v>853.1</v>
      </c>
      <c r="E9" s="437">
        <v>2022.1</v>
      </c>
      <c r="F9" s="437">
        <v>6846.8</v>
      </c>
      <c r="G9" s="437">
        <f t="shared" si="0"/>
        <v>38193.5</v>
      </c>
      <c r="H9" s="674">
        <v>-18671.599999999999</v>
      </c>
      <c r="I9" s="432">
        <f t="shared" si="1"/>
        <v>19521.900000000001</v>
      </c>
      <c r="J9" s="432">
        <f t="shared" si="2"/>
        <v>62749.4</v>
      </c>
      <c r="K9" s="884"/>
    </row>
    <row r="10" spans="1:12" s="356" customFormat="1" ht="11.25" customHeight="1">
      <c r="A10" s="356" t="s">
        <v>98</v>
      </c>
      <c r="B10" s="673">
        <v>61181</v>
      </c>
      <c r="C10" s="673">
        <v>21471.200000000001</v>
      </c>
      <c r="D10" s="39">
        <v>830.7</v>
      </c>
      <c r="E10" s="39">
        <v>2588.6999999999998</v>
      </c>
      <c r="F10" s="39">
        <v>6613.9</v>
      </c>
      <c r="G10" s="39">
        <f t="shared" si="0"/>
        <v>31504.5</v>
      </c>
      <c r="H10" s="673">
        <v>-18542.7</v>
      </c>
      <c r="I10" s="78">
        <f t="shared" si="1"/>
        <v>12961.8</v>
      </c>
      <c r="J10" s="78">
        <f t="shared" si="2"/>
        <v>74142.8</v>
      </c>
      <c r="K10" s="884"/>
    </row>
    <row r="11" spans="1:12" s="356" customFormat="1" ht="11.25" customHeight="1">
      <c r="A11" s="886" t="s">
        <v>241</v>
      </c>
      <c r="B11" s="674">
        <v>61342.1</v>
      </c>
      <c r="C11" s="674">
        <v>31710.5</v>
      </c>
      <c r="D11" s="437">
        <v>776.7</v>
      </c>
      <c r="E11" s="437">
        <v>3143.7</v>
      </c>
      <c r="F11" s="437">
        <v>18608.8</v>
      </c>
      <c r="G11" s="437">
        <f t="shared" si="0"/>
        <v>54239.7</v>
      </c>
      <c r="H11" s="674">
        <v>-25847.4</v>
      </c>
      <c r="I11" s="432">
        <f t="shared" si="1"/>
        <v>28392.299999999996</v>
      </c>
      <c r="J11" s="432">
        <f t="shared" si="2"/>
        <v>89734.399999999994</v>
      </c>
      <c r="K11" s="884"/>
    </row>
    <row r="12" spans="1:12" s="356" customFormat="1" ht="11.25" customHeight="1">
      <c r="A12" s="356" t="s">
        <v>1142</v>
      </c>
      <c r="B12" s="673">
        <v>68930.100000000006</v>
      </c>
      <c r="C12" s="673">
        <v>37854.9</v>
      </c>
      <c r="D12" s="39">
        <v>1181.9000000000001</v>
      </c>
      <c r="E12" s="39">
        <v>3598.7</v>
      </c>
      <c r="F12" s="39">
        <v>22627.4</v>
      </c>
      <c r="G12" s="39">
        <f t="shared" si="0"/>
        <v>65262.9</v>
      </c>
      <c r="H12" s="673">
        <v>-36390.300000000003</v>
      </c>
      <c r="I12" s="78">
        <f t="shared" si="1"/>
        <v>28872.6</v>
      </c>
      <c r="J12" s="78">
        <f t="shared" si="2"/>
        <v>97802.700000000012</v>
      </c>
      <c r="K12" s="884"/>
    </row>
    <row r="13" spans="1:12" s="356" customFormat="1" ht="11.25" customHeight="1">
      <c r="A13" s="886" t="s">
        <v>1333</v>
      </c>
      <c r="B13" s="674">
        <v>103246</v>
      </c>
      <c r="C13" s="674">
        <v>27069</v>
      </c>
      <c r="D13" s="437">
        <v>1354.5</v>
      </c>
      <c r="E13" s="437">
        <v>4180.2</v>
      </c>
      <c r="F13" s="437">
        <v>10219</v>
      </c>
      <c r="G13" s="437">
        <v>42822.7</v>
      </c>
      <c r="H13" s="674">
        <v>-33579.300000000003</v>
      </c>
      <c r="I13" s="432">
        <v>9243.3999999999942</v>
      </c>
      <c r="J13" s="432">
        <v>112489.4</v>
      </c>
      <c r="K13" s="884"/>
    </row>
    <row r="14" spans="1:12" s="885" customFormat="1" ht="11.25" customHeight="1">
      <c r="A14" s="747" t="s">
        <v>1664</v>
      </c>
      <c r="B14" s="78">
        <v>147496.6</v>
      </c>
      <c r="C14" s="673">
        <v>3840.6</v>
      </c>
      <c r="D14" s="673">
        <v>1202.7</v>
      </c>
      <c r="E14" s="673">
        <v>4272.7</v>
      </c>
      <c r="F14" s="673">
        <v>6279.2</v>
      </c>
      <c r="G14" s="673">
        <v>15595.2</v>
      </c>
      <c r="H14" s="673">
        <v>-33216.5</v>
      </c>
      <c r="I14" s="673">
        <v>-17621.3</v>
      </c>
      <c r="J14" s="673">
        <v>129875.3</v>
      </c>
    </row>
    <row r="15" spans="1:12" s="887" customFormat="1" ht="11.25" customHeight="1">
      <c r="A15" s="436" t="s">
        <v>1754</v>
      </c>
      <c r="B15" s="674">
        <v>177401.3</v>
      </c>
      <c r="C15" s="674">
        <v>810.5</v>
      </c>
      <c r="D15" s="674">
        <v>2160.8000000000002</v>
      </c>
      <c r="E15" s="674">
        <v>4645.6000000000004</v>
      </c>
      <c r="F15" s="674">
        <v>5659.2</v>
      </c>
      <c r="G15" s="674">
        <v>13276.1</v>
      </c>
      <c r="H15" s="674">
        <v>-42194.9</v>
      </c>
      <c r="I15" s="674">
        <v>-28918.800000000003</v>
      </c>
      <c r="J15" s="674">
        <v>148482.5</v>
      </c>
      <c r="L15" s="888"/>
    </row>
    <row r="16" spans="1:12" s="654" customFormat="1" ht="11.25" customHeight="1">
      <c r="A16" s="737" t="s">
        <v>1954</v>
      </c>
      <c r="B16" s="820">
        <v>218904.1</v>
      </c>
      <c r="C16" s="820">
        <v>13373.7</v>
      </c>
      <c r="D16" s="820">
        <v>2015.5</v>
      </c>
      <c r="E16" s="820">
        <v>4966.8999999999996</v>
      </c>
      <c r="F16" s="820">
        <v>6024.4</v>
      </c>
      <c r="G16" s="820">
        <v>26380.5</v>
      </c>
      <c r="H16" s="820">
        <v>-52083.3</v>
      </c>
      <c r="I16" s="820">
        <v>-25702.800000000003</v>
      </c>
      <c r="J16" s="820">
        <v>193201.3</v>
      </c>
      <c r="L16" s="653"/>
    </row>
    <row r="17" spans="1:12" s="654" customFormat="1" ht="11.25" customHeight="1">
      <c r="A17" s="508" t="s">
        <v>2046</v>
      </c>
      <c r="B17" s="823">
        <f>B29</f>
        <v>252027</v>
      </c>
      <c r="C17" s="823">
        <f t="shared" ref="C17:J17" si="3">C29</f>
        <v>12977.7</v>
      </c>
      <c r="D17" s="823">
        <f t="shared" si="3"/>
        <v>2157.8000000000002</v>
      </c>
      <c r="E17" s="823">
        <f t="shared" si="3"/>
        <v>4976.6000000000004</v>
      </c>
      <c r="F17" s="823">
        <f t="shared" si="3"/>
        <v>5054.3999999999996</v>
      </c>
      <c r="G17" s="823">
        <f t="shared" si="3"/>
        <v>25166.5</v>
      </c>
      <c r="H17" s="823">
        <f t="shared" si="3"/>
        <v>-52534.1</v>
      </c>
      <c r="I17" s="823">
        <f t="shared" si="3"/>
        <v>-27367.599999999999</v>
      </c>
      <c r="J17" s="823">
        <f t="shared" si="3"/>
        <v>224659.4</v>
      </c>
      <c r="L17" s="653"/>
    </row>
    <row r="18" spans="1:12" s="654" customFormat="1" ht="11.25" customHeight="1">
      <c r="A18" s="386" t="s">
        <v>818</v>
      </c>
      <c r="B18" s="678">
        <v>222971.6</v>
      </c>
      <c r="C18" s="678">
        <v>-254.7</v>
      </c>
      <c r="D18" s="678">
        <v>2006.8</v>
      </c>
      <c r="E18" s="678">
        <v>4923.1000000000004</v>
      </c>
      <c r="F18" s="678">
        <v>4936.7</v>
      </c>
      <c r="G18" s="678">
        <f t="shared" ref="G18:G41" si="4">C18+D18+E18+F18</f>
        <v>11611.900000000001</v>
      </c>
      <c r="H18" s="678">
        <v>-52725.3</v>
      </c>
      <c r="I18" s="343">
        <f t="shared" ref="I18:I29" si="5">G18+H18</f>
        <v>-41113.4</v>
      </c>
      <c r="J18" s="343">
        <f t="shared" ref="J18:J29" si="6">B18+I18</f>
        <v>181858.2</v>
      </c>
      <c r="L18" s="653"/>
    </row>
    <row r="19" spans="1:12" s="654" customFormat="1" ht="11.25" customHeight="1">
      <c r="A19" s="491" t="s">
        <v>819</v>
      </c>
      <c r="B19" s="672">
        <v>227994.8</v>
      </c>
      <c r="C19" s="672">
        <v>-1519.1</v>
      </c>
      <c r="D19" s="672">
        <v>2009.6</v>
      </c>
      <c r="E19" s="672">
        <v>4820.5</v>
      </c>
      <c r="F19" s="672">
        <v>5256.8</v>
      </c>
      <c r="G19" s="672">
        <f t="shared" si="4"/>
        <v>10567.8</v>
      </c>
      <c r="H19" s="672">
        <v>-55844</v>
      </c>
      <c r="I19" s="427">
        <f t="shared" si="5"/>
        <v>-45276.2</v>
      </c>
      <c r="J19" s="427">
        <f t="shared" si="6"/>
        <v>182718.59999999998</v>
      </c>
      <c r="L19" s="653"/>
    </row>
    <row r="20" spans="1:12" s="654" customFormat="1" ht="11.25" customHeight="1">
      <c r="A20" s="386" t="s">
        <v>813</v>
      </c>
      <c r="B20" s="678">
        <v>233071.6</v>
      </c>
      <c r="C20" s="678">
        <v>1004.4</v>
      </c>
      <c r="D20" s="678">
        <v>1986.2</v>
      </c>
      <c r="E20" s="678">
        <v>4830.8</v>
      </c>
      <c r="F20" s="678">
        <v>5228.3999999999996</v>
      </c>
      <c r="G20" s="678">
        <f t="shared" si="4"/>
        <v>13049.8</v>
      </c>
      <c r="H20" s="678">
        <v>-56313.3</v>
      </c>
      <c r="I20" s="343">
        <f t="shared" si="5"/>
        <v>-43263.5</v>
      </c>
      <c r="J20" s="343">
        <f t="shared" si="6"/>
        <v>189808.1</v>
      </c>
      <c r="L20" s="653"/>
    </row>
    <row r="21" spans="1:12" s="654" customFormat="1" ht="11.25" customHeight="1">
      <c r="A21" s="491" t="s">
        <v>820</v>
      </c>
      <c r="B21" s="672">
        <v>234188.5</v>
      </c>
      <c r="C21" s="672">
        <v>1350.8</v>
      </c>
      <c r="D21" s="672">
        <v>1988.9</v>
      </c>
      <c r="E21" s="672">
        <v>4860.5</v>
      </c>
      <c r="F21" s="672">
        <v>5210.7</v>
      </c>
      <c r="G21" s="672">
        <f t="shared" si="4"/>
        <v>13410.900000000001</v>
      </c>
      <c r="H21" s="672">
        <v>-60950.9</v>
      </c>
      <c r="I21" s="427">
        <f t="shared" si="5"/>
        <v>-47540</v>
      </c>
      <c r="J21" s="427">
        <f t="shared" si="6"/>
        <v>186648.5</v>
      </c>
      <c r="L21" s="653"/>
    </row>
    <row r="22" spans="1:12" s="654" customFormat="1" ht="11.25" customHeight="1">
      <c r="A22" s="386" t="s">
        <v>821</v>
      </c>
      <c r="B22" s="678">
        <v>233489.3</v>
      </c>
      <c r="C22" s="678">
        <v>3205.6</v>
      </c>
      <c r="D22" s="678">
        <v>1994</v>
      </c>
      <c r="E22" s="678">
        <v>4877.1000000000004</v>
      </c>
      <c r="F22" s="678">
        <v>4923.3999999999996</v>
      </c>
      <c r="G22" s="678">
        <f t="shared" si="4"/>
        <v>15000.1</v>
      </c>
      <c r="H22" s="678">
        <v>-61565.599999999999</v>
      </c>
      <c r="I22" s="343">
        <f t="shared" si="5"/>
        <v>-46565.5</v>
      </c>
      <c r="J22" s="343">
        <f t="shared" si="6"/>
        <v>186923.8</v>
      </c>
      <c r="L22" s="653"/>
    </row>
    <row r="23" spans="1:12" s="654" customFormat="1" ht="11.25" customHeight="1">
      <c r="A23" s="491" t="s">
        <v>814</v>
      </c>
      <c r="B23" s="672">
        <v>235538.8</v>
      </c>
      <c r="C23" s="672">
        <v>4872.5</v>
      </c>
      <c r="D23" s="672">
        <v>1926.2</v>
      </c>
      <c r="E23" s="672">
        <v>4921.2</v>
      </c>
      <c r="F23" s="672">
        <v>4885</v>
      </c>
      <c r="G23" s="672">
        <f t="shared" si="4"/>
        <v>16604.900000000001</v>
      </c>
      <c r="H23" s="672">
        <v>-60645.5</v>
      </c>
      <c r="I23" s="427">
        <f t="shared" si="5"/>
        <v>-44040.6</v>
      </c>
      <c r="J23" s="427">
        <f t="shared" si="6"/>
        <v>191498.19999999998</v>
      </c>
      <c r="L23" s="653"/>
    </row>
    <row r="24" spans="1:12" s="654" customFormat="1" ht="11.25" customHeight="1">
      <c r="A24" s="386" t="s">
        <v>822</v>
      </c>
      <c r="B24" s="678">
        <v>236674.5</v>
      </c>
      <c r="C24" s="678">
        <v>923.2</v>
      </c>
      <c r="D24" s="678">
        <v>1868.6</v>
      </c>
      <c r="E24" s="678">
        <v>4865.5</v>
      </c>
      <c r="F24" s="678">
        <v>5119.8</v>
      </c>
      <c r="G24" s="678">
        <f t="shared" si="4"/>
        <v>12777.1</v>
      </c>
      <c r="H24" s="678">
        <v>-60889.4</v>
      </c>
      <c r="I24" s="343">
        <f t="shared" si="5"/>
        <v>-48112.3</v>
      </c>
      <c r="J24" s="343">
        <f t="shared" si="6"/>
        <v>188562.2</v>
      </c>
      <c r="L24" s="653"/>
    </row>
    <row r="25" spans="1:12" s="654" customFormat="1" ht="11.25" customHeight="1">
      <c r="A25" s="491" t="s">
        <v>823</v>
      </c>
      <c r="B25" s="672">
        <v>240191.5</v>
      </c>
      <c r="C25" s="672">
        <v>-470.3</v>
      </c>
      <c r="D25" s="672">
        <v>1871.3</v>
      </c>
      <c r="E25" s="672">
        <v>4840</v>
      </c>
      <c r="F25" s="672">
        <v>5097.5</v>
      </c>
      <c r="G25" s="672">
        <f t="shared" si="4"/>
        <v>11338.5</v>
      </c>
      <c r="H25" s="672">
        <v>-60277.1</v>
      </c>
      <c r="I25" s="427">
        <f t="shared" si="5"/>
        <v>-48938.6</v>
      </c>
      <c r="J25" s="427">
        <f t="shared" si="6"/>
        <v>191252.9</v>
      </c>
      <c r="L25" s="653"/>
    </row>
    <row r="26" spans="1:12" s="654" customFormat="1" ht="11.25" customHeight="1">
      <c r="A26" s="386" t="s">
        <v>815</v>
      </c>
      <c r="B26" s="678">
        <v>242368.9</v>
      </c>
      <c r="C26" s="678">
        <v>-218.8</v>
      </c>
      <c r="D26" s="678">
        <v>1849.4</v>
      </c>
      <c r="E26" s="678">
        <v>4866.8999999999996</v>
      </c>
      <c r="F26" s="678">
        <v>5137.8</v>
      </c>
      <c r="G26" s="678">
        <f t="shared" si="4"/>
        <v>11635.3</v>
      </c>
      <c r="H26" s="678">
        <v>-61391</v>
      </c>
      <c r="I26" s="343">
        <f t="shared" si="5"/>
        <v>-49755.7</v>
      </c>
      <c r="J26" s="343">
        <f t="shared" si="6"/>
        <v>192613.2</v>
      </c>
      <c r="L26" s="653"/>
    </row>
    <row r="27" spans="1:12" s="654" customFormat="1" ht="11.25" customHeight="1">
      <c r="A27" s="491" t="s">
        <v>824</v>
      </c>
      <c r="B27" s="672">
        <v>242030</v>
      </c>
      <c r="C27" s="672">
        <v>2900.4</v>
      </c>
      <c r="D27" s="672">
        <v>1851.9</v>
      </c>
      <c r="E27" s="672">
        <v>4873.1000000000004</v>
      </c>
      <c r="F27" s="672">
        <v>5301</v>
      </c>
      <c r="G27" s="672">
        <f t="shared" si="4"/>
        <v>14926.400000000001</v>
      </c>
      <c r="H27" s="672">
        <v>-65452.1</v>
      </c>
      <c r="I27" s="427">
        <f t="shared" si="5"/>
        <v>-50525.7</v>
      </c>
      <c r="J27" s="427">
        <f t="shared" si="6"/>
        <v>191504.3</v>
      </c>
      <c r="L27" s="653"/>
    </row>
    <row r="28" spans="1:12" s="654" customFormat="1" ht="11.25" customHeight="1">
      <c r="A28" s="386" t="s">
        <v>825</v>
      </c>
      <c r="B28" s="678">
        <v>246330.1</v>
      </c>
      <c r="C28" s="678">
        <v>8419.9</v>
      </c>
      <c r="D28" s="678">
        <v>2154</v>
      </c>
      <c r="E28" s="678">
        <v>4983</v>
      </c>
      <c r="F28" s="678">
        <v>5119.5</v>
      </c>
      <c r="G28" s="678">
        <f t="shared" si="4"/>
        <v>20676.400000000001</v>
      </c>
      <c r="H28" s="678">
        <v>-71037.899999999994</v>
      </c>
      <c r="I28" s="343">
        <f t="shared" si="5"/>
        <v>-50361.499999999993</v>
      </c>
      <c r="J28" s="343">
        <f t="shared" si="6"/>
        <v>195968.6</v>
      </c>
      <c r="L28" s="653"/>
    </row>
    <row r="29" spans="1:12" s="654" customFormat="1" ht="11.25" customHeight="1">
      <c r="A29" s="491" t="s">
        <v>816</v>
      </c>
      <c r="B29" s="672">
        <v>252027</v>
      </c>
      <c r="C29" s="672">
        <v>12977.7</v>
      </c>
      <c r="D29" s="672">
        <v>2157.8000000000002</v>
      </c>
      <c r="E29" s="672">
        <v>4976.6000000000004</v>
      </c>
      <c r="F29" s="672">
        <v>5054.3999999999996</v>
      </c>
      <c r="G29" s="672">
        <f t="shared" si="4"/>
        <v>25166.5</v>
      </c>
      <c r="H29" s="672">
        <v>-52534.1</v>
      </c>
      <c r="I29" s="427">
        <f t="shared" si="5"/>
        <v>-27367.599999999999</v>
      </c>
      <c r="J29" s="427">
        <f t="shared" si="6"/>
        <v>224659.4</v>
      </c>
      <c r="L29" s="653"/>
    </row>
    <row r="30" spans="1:12" s="654" customFormat="1" ht="11.25" customHeight="1">
      <c r="A30" s="737" t="s">
        <v>2268</v>
      </c>
      <c r="B30" s="820">
        <f>B42</f>
        <v>253509.8</v>
      </c>
      <c r="C30" s="820">
        <f t="shared" ref="C30:J30" si="7">C42</f>
        <v>22572.2</v>
      </c>
      <c r="D30" s="820">
        <f t="shared" si="7"/>
        <v>2367.8000000000002</v>
      </c>
      <c r="E30" s="820">
        <f t="shared" si="7"/>
        <v>5146.2</v>
      </c>
      <c r="F30" s="820">
        <f t="shared" si="7"/>
        <v>5582.5</v>
      </c>
      <c r="G30" s="820">
        <f>G42</f>
        <v>35668.699999999997</v>
      </c>
      <c r="H30" s="820">
        <f t="shared" si="7"/>
        <v>-55435.5</v>
      </c>
      <c r="I30" s="820">
        <f t="shared" si="7"/>
        <v>-19766.800000000003</v>
      </c>
      <c r="J30" s="820">
        <f t="shared" si="7"/>
        <v>233743</v>
      </c>
      <c r="L30" s="653"/>
    </row>
    <row r="31" spans="1:12" s="654" customFormat="1" ht="11.25" customHeight="1">
      <c r="A31" s="491" t="s">
        <v>818</v>
      </c>
      <c r="B31" s="672">
        <v>251647.8</v>
      </c>
      <c r="C31" s="672">
        <v>3564.5</v>
      </c>
      <c r="D31" s="672">
        <v>2147.5</v>
      </c>
      <c r="E31" s="672">
        <v>4920.2</v>
      </c>
      <c r="F31" s="672">
        <v>4809.8</v>
      </c>
      <c r="G31" s="672">
        <f t="shared" si="4"/>
        <v>15442</v>
      </c>
      <c r="H31" s="672">
        <v>-56802</v>
      </c>
      <c r="I31" s="427">
        <f t="shared" ref="I31:I41" si="8">G31+H31</f>
        <v>-41360</v>
      </c>
      <c r="J31" s="427">
        <f t="shared" ref="J31:J41" si="9">B31+I31</f>
        <v>210287.8</v>
      </c>
      <c r="L31" s="653"/>
    </row>
    <row r="32" spans="1:12" s="654" customFormat="1" ht="11.25" customHeight="1">
      <c r="A32" s="386" t="s">
        <v>819</v>
      </c>
      <c r="B32" s="678">
        <v>251630.1</v>
      </c>
      <c r="C32" s="678">
        <v>14699.8</v>
      </c>
      <c r="D32" s="678">
        <v>2150.1999999999998</v>
      </c>
      <c r="E32" s="678">
        <v>4833.8999999999996</v>
      </c>
      <c r="F32" s="678">
        <v>4986.5</v>
      </c>
      <c r="G32" s="678">
        <f t="shared" si="4"/>
        <v>26670.400000000001</v>
      </c>
      <c r="H32" s="678">
        <v>-48104.9</v>
      </c>
      <c r="I32" s="343">
        <f t="shared" si="8"/>
        <v>-21434.5</v>
      </c>
      <c r="J32" s="343">
        <f t="shared" si="9"/>
        <v>230195.6</v>
      </c>
      <c r="L32" s="653"/>
    </row>
    <row r="33" spans="1:12" s="654" customFormat="1" ht="11.25" customHeight="1">
      <c r="A33" s="491" t="s">
        <v>813</v>
      </c>
      <c r="B33" s="672">
        <v>250809.7</v>
      </c>
      <c r="C33" s="672">
        <v>6694.8</v>
      </c>
      <c r="D33" s="672">
        <v>2152.6</v>
      </c>
      <c r="E33" s="672">
        <v>4844.2</v>
      </c>
      <c r="F33" s="672">
        <v>5276.5</v>
      </c>
      <c r="G33" s="672">
        <f t="shared" si="4"/>
        <v>18968.099999999999</v>
      </c>
      <c r="H33" s="672">
        <v>-54517.599999999999</v>
      </c>
      <c r="I33" s="427">
        <f t="shared" si="8"/>
        <v>-35549.5</v>
      </c>
      <c r="J33" s="427">
        <f t="shared" si="9"/>
        <v>215260.2</v>
      </c>
      <c r="L33" s="653"/>
    </row>
    <row r="34" spans="1:12" s="654" customFormat="1" ht="11.25" customHeight="1">
      <c r="A34" s="386" t="s">
        <v>820</v>
      </c>
      <c r="B34" s="678">
        <v>251637.5</v>
      </c>
      <c r="C34" s="678">
        <v>8497.2999999999993</v>
      </c>
      <c r="D34" s="678">
        <v>2154.9</v>
      </c>
      <c r="E34" s="678">
        <v>4848.8</v>
      </c>
      <c r="F34" s="678">
        <v>5566.5</v>
      </c>
      <c r="G34" s="678">
        <f t="shared" si="4"/>
        <v>21067.5</v>
      </c>
      <c r="H34" s="678">
        <v>-62428</v>
      </c>
      <c r="I34" s="343">
        <f t="shared" si="8"/>
        <v>-41360.5</v>
      </c>
      <c r="J34" s="343">
        <f t="shared" si="9"/>
        <v>210277</v>
      </c>
      <c r="L34" s="653"/>
    </row>
    <row r="35" spans="1:12" s="654" customFormat="1" ht="11.25" customHeight="1">
      <c r="A35" s="491" t="s">
        <v>821</v>
      </c>
      <c r="B35" s="672">
        <v>252830</v>
      </c>
      <c r="C35" s="672">
        <v>8979.1</v>
      </c>
      <c r="D35" s="672">
        <v>2157.4</v>
      </c>
      <c r="E35" s="672">
        <v>4885.6000000000004</v>
      </c>
      <c r="F35" s="672">
        <v>5450.6</v>
      </c>
      <c r="G35" s="672">
        <f t="shared" si="4"/>
        <v>21472.7</v>
      </c>
      <c r="H35" s="672">
        <v>-65283.4</v>
      </c>
      <c r="I35" s="427">
        <f t="shared" si="8"/>
        <v>-43810.7</v>
      </c>
      <c r="J35" s="427">
        <f t="shared" si="9"/>
        <v>209019.3</v>
      </c>
      <c r="L35" s="653"/>
    </row>
    <row r="36" spans="1:12" s="654" customFormat="1" ht="11.25" customHeight="1">
      <c r="A36" s="386" t="s">
        <v>814</v>
      </c>
      <c r="B36" s="678">
        <v>253497.7</v>
      </c>
      <c r="C36" s="678">
        <v>9238.6</v>
      </c>
      <c r="D36" s="678">
        <v>2160</v>
      </c>
      <c r="E36" s="678">
        <v>4986.5</v>
      </c>
      <c r="F36" s="678">
        <v>4920.3999999999996</v>
      </c>
      <c r="G36" s="678">
        <f t="shared" si="4"/>
        <v>21305.5</v>
      </c>
      <c r="H36" s="678">
        <v>-57819.4</v>
      </c>
      <c r="I36" s="343">
        <f t="shared" si="8"/>
        <v>-36513.9</v>
      </c>
      <c r="J36" s="343">
        <f t="shared" si="9"/>
        <v>216983.80000000002</v>
      </c>
      <c r="L36" s="653"/>
    </row>
    <row r="37" spans="1:12" s="654" customFormat="1" ht="11.25" customHeight="1">
      <c r="A37" s="491" t="s">
        <v>822</v>
      </c>
      <c r="B37" s="672">
        <v>253560.4</v>
      </c>
      <c r="C37" s="672">
        <v>7367.2</v>
      </c>
      <c r="D37" s="672">
        <v>2208.4</v>
      </c>
      <c r="E37" s="672">
        <v>4993.1000000000004</v>
      </c>
      <c r="F37" s="672">
        <v>5010.5</v>
      </c>
      <c r="G37" s="672">
        <f t="shared" si="4"/>
        <v>19579.2</v>
      </c>
      <c r="H37" s="672">
        <v>-62819</v>
      </c>
      <c r="I37" s="427">
        <f t="shared" si="8"/>
        <v>-43239.8</v>
      </c>
      <c r="J37" s="427">
        <f t="shared" si="9"/>
        <v>210320.59999999998</v>
      </c>
      <c r="L37" s="653"/>
    </row>
    <row r="38" spans="1:12" s="654" customFormat="1" ht="11.25" customHeight="1">
      <c r="A38" s="386" t="s">
        <v>823</v>
      </c>
      <c r="B38" s="678">
        <v>253570.9</v>
      </c>
      <c r="C38" s="678">
        <v>7078.4</v>
      </c>
      <c r="D38" s="678">
        <v>2211.1</v>
      </c>
      <c r="E38" s="678">
        <v>4920.7</v>
      </c>
      <c r="F38" s="678">
        <v>4992.3999999999996</v>
      </c>
      <c r="G38" s="678">
        <f t="shared" si="4"/>
        <v>19202.599999999999</v>
      </c>
      <c r="H38" s="678">
        <v>-62224.1</v>
      </c>
      <c r="I38" s="343">
        <f t="shared" si="8"/>
        <v>-43021.5</v>
      </c>
      <c r="J38" s="343">
        <f t="shared" si="9"/>
        <v>210549.4</v>
      </c>
      <c r="L38" s="653"/>
    </row>
    <row r="39" spans="1:12" s="654" customFormat="1" ht="11.25" customHeight="1">
      <c r="A39" s="491" t="s">
        <v>815</v>
      </c>
      <c r="B39" s="672">
        <v>252905.8</v>
      </c>
      <c r="C39" s="672">
        <v>10068.4</v>
      </c>
      <c r="D39" s="672">
        <v>2213.9</v>
      </c>
      <c r="E39" s="672">
        <v>4958.8999999999996</v>
      </c>
      <c r="F39" s="672">
        <v>5064.8999999999996</v>
      </c>
      <c r="G39" s="672">
        <f t="shared" si="4"/>
        <v>22306.1</v>
      </c>
      <c r="H39" s="672">
        <v>-62961.5</v>
      </c>
      <c r="I39" s="427">
        <f t="shared" si="8"/>
        <v>-40655.4</v>
      </c>
      <c r="J39" s="427">
        <f t="shared" si="9"/>
        <v>212250.4</v>
      </c>
      <c r="L39" s="653"/>
    </row>
    <row r="40" spans="1:12" s="654" customFormat="1" ht="11.25" customHeight="1">
      <c r="A40" s="386" t="s">
        <v>824</v>
      </c>
      <c r="B40" s="678">
        <v>251317</v>
      </c>
      <c r="C40" s="678">
        <v>10370.6</v>
      </c>
      <c r="D40" s="678">
        <v>2342</v>
      </c>
      <c r="E40" s="678">
        <v>5037.6000000000004</v>
      </c>
      <c r="F40" s="678">
        <v>5588.5</v>
      </c>
      <c r="G40" s="678">
        <f t="shared" si="4"/>
        <v>23338.7</v>
      </c>
      <c r="H40" s="678">
        <v>-62274.7</v>
      </c>
      <c r="I40" s="343">
        <f t="shared" si="8"/>
        <v>-38936</v>
      </c>
      <c r="J40" s="343">
        <f t="shared" si="9"/>
        <v>212381</v>
      </c>
      <c r="L40" s="653"/>
    </row>
    <row r="41" spans="1:12" s="654" customFormat="1" ht="11.25" customHeight="1">
      <c r="A41" s="491" t="s">
        <v>825</v>
      </c>
      <c r="B41" s="672">
        <v>252375.2</v>
      </c>
      <c r="C41" s="672">
        <v>10663.6</v>
      </c>
      <c r="D41" s="672">
        <v>2385.4</v>
      </c>
      <c r="E41" s="672">
        <v>5071.1000000000004</v>
      </c>
      <c r="F41" s="672">
        <v>5458.2</v>
      </c>
      <c r="G41" s="672">
        <f t="shared" si="4"/>
        <v>23578.3</v>
      </c>
      <c r="H41" s="672">
        <v>-64911.9</v>
      </c>
      <c r="I41" s="427">
        <f t="shared" si="8"/>
        <v>-41333.600000000006</v>
      </c>
      <c r="J41" s="427">
        <f t="shared" si="9"/>
        <v>211041.6</v>
      </c>
      <c r="L41" s="653"/>
    </row>
    <row r="42" spans="1:12" s="654" customFormat="1" ht="11.25" customHeight="1">
      <c r="A42" s="386" t="s">
        <v>816</v>
      </c>
      <c r="B42" s="678">
        <v>253509.8</v>
      </c>
      <c r="C42" s="678">
        <v>22572.2</v>
      </c>
      <c r="D42" s="678">
        <v>2367.8000000000002</v>
      </c>
      <c r="E42" s="678">
        <v>5146.2</v>
      </c>
      <c r="F42" s="678">
        <v>5582.5</v>
      </c>
      <c r="G42" s="678">
        <f>C42+D42+E42+F42</f>
        <v>35668.699999999997</v>
      </c>
      <c r="H42" s="678">
        <v>-55435.5</v>
      </c>
      <c r="I42" s="678">
        <f>G42+H42</f>
        <v>-19766.800000000003</v>
      </c>
      <c r="J42" s="678">
        <f t="shared" ref="J42:J53" si="10">B42+I42</f>
        <v>233743</v>
      </c>
      <c r="L42" s="653"/>
    </row>
    <row r="43" spans="1:12" s="333" customFormat="1" ht="11.25" customHeight="1">
      <c r="A43" s="548" t="s">
        <v>2524</v>
      </c>
      <c r="B43" s="672"/>
      <c r="C43" s="672"/>
      <c r="D43" s="672"/>
      <c r="E43" s="672"/>
      <c r="F43" s="672"/>
      <c r="G43" s="672"/>
      <c r="H43" s="672"/>
      <c r="I43" s="672"/>
      <c r="J43" s="672"/>
      <c r="K43" s="1036"/>
    </row>
    <row r="44" spans="1:12" s="333" customFormat="1" ht="11.25" customHeight="1">
      <c r="A44" s="386" t="s">
        <v>818</v>
      </c>
      <c r="B44" s="678">
        <v>251973.1</v>
      </c>
      <c r="C44" s="678">
        <v>12131.7</v>
      </c>
      <c r="D44" s="678">
        <v>2356.5</v>
      </c>
      <c r="E44" s="678">
        <v>5096.8999999999996</v>
      </c>
      <c r="F44" s="678">
        <v>4998.2</v>
      </c>
      <c r="G44" s="678">
        <f t="shared" ref="G44:G53" si="11">C44+D44+E44+F44</f>
        <v>24583.3</v>
      </c>
      <c r="H44" s="678">
        <v>-55288.5</v>
      </c>
      <c r="I44" s="678">
        <f t="shared" ref="I44:I53" si="12">G44+H44</f>
        <v>-30705.200000000001</v>
      </c>
      <c r="J44" s="678">
        <f t="shared" si="10"/>
        <v>221267.9</v>
      </c>
    </row>
    <row r="45" spans="1:12" ht="11.25" customHeight="1">
      <c r="A45" s="491" t="s">
        <v>819</v>
      </c>
      <c r="B45" s="672">
        <v>254675.20000000001</v>
      </c>
      <c r="C45" s="672">
        <v>17116.900000000001</v>
      </c>
      <c r="D45" s="672">
        <v>2359.9</v>
      </c>
      <c r="E45" s="672">
        <v>5051.1000000000004</v>
      </c>
      <c r="F45" s="672">
        <v>4959.7</v>
      </c>
      <c r="G45" s="672">
        <f t="shared" si="11"/>
        <v>29487.600000000002</v>
      </c>
      <c r="H45" s="672">
        <v>-49792</v>
      </c>
      <c r="I45" s="672">
        <f t="shared" si="12"/>
        <v>-20304.399999999998</v>
      </c>
      <c r="J45" s="672">
        <f t="shared" si="10"/>
        <v>234370.80000000002</v>
      </c>
    </row>
    <row r="46" spans="1:12" ht="11.25" customHeight="1">
      <c r="A46" s="386" t="s">
        <v>813</v>
      </c>
      <c r="B46" s="678">
        <v>251729.4</v>
      </c>
      <c r="C46" s="678">
        <v>10446.5</v>
      </c>
      <c r="D46" s="678">
        <v>2363.1999999999998</v>
      </c>
      <c r="E46" s="678">
        <v>5003.2</v>
      </c>
      <c r="F46" s="678">
        <v>5009.8999999999996</v>
      </c>
      <c r="G46" s="678">
        <f t="shared" si="11"/>
        <v>22822.800000000003</v>
      </c>
      <c r="H46" s="678">
        <v>-46065</v>
      </c>
      <c r="I46" s="678">
        <f t="shared" si="12"/>
        <v>-23242.199999999997</v>
      </c>
      <c r="J46" s="678">
        <f t="shared" si="10"/>
        <v>228487.2</v>
      </c>
    </row>
    <row r="47" spans="1:12" ht="11.25" customHeight="1">
      <c r="A47" s="491" t="s">
        <v>820</v>
      </c>
      <c r="B47" s="672">
        <v>248150.39999999999</v>
      </c>
      <c r="C47" s="672">
        <v>14507.2</v>
      </c>
      <c r="D47" s="672">
        <v>2366.6999999999998</v>
      </c>
      <c r="E47" s="672">
        <v>4969</v>
      </c>
      <c r="F47" s="672">
        <v>4984.8</v>
      </c>
      <c r="G47" s="672">
        <f t="shared" si="11"/>
        <v>26827.7</v>
      </c>
      <c r="H47" s="672">
        <v>-46859.9</v>
      </c>
      <c r="I47" s="672">
        <f t="shared" si="12"/>
        <v>-20032.2</v>
      </c>
      <c r="J47" s="672">
        <f t="shared" si="10"/>
        <v>228118.19999999998</v>
      </c>
    </row>
    <row r="48" spans="1:12" ht="11.25" customHeight="1">
      <c r="A48" s="386" t="s">
        <v>821</v>
      </c>
      <c r="B48" s="678">
        <v>245304.3</v>
      </c>
      <c r="C48" s="678">
        <v>15583.1</v>
      </c>
      <c r="D48" s="678">
        <v>2370.1</v>
      </c>
      <c r="E48" s="678">
        <v>4945</v>
      </c>
      <c r="F48" s="678">
        <v>5195.3</v>
      </c>
      <c r="G48" s="678">
        <f t="shared" si="11"/>
        <v>28093.5</v>
      </c>
      <c r="H48" s="678">
        <v>-48070.2</v>
      </c>
      <c r="I48" s="678">
        <f t="shared" si="12"/>
        <v>-19976.699999999997</v>
      </c>
      <c r="J48" s="678">
        <f t="shared" si="10"/>
        <v>225327.59999999998</v>
      </c>
    </row>
    <row r="49" spans="1:10" ht="11.25" customHeight="1">
      <c r="A49" s="491" t="s">
        <v>814</v>
      </c>
      <c r="B49" s="672">
        <v>247691.7</v>
      </c>
      <c r="C49" s="672">
        <v>21067.4</v>
      </c>
      <c r="D49" s="672">
        <v>2373.5</v>
      </c>
      <c r="E49" s="672">
        <v>4979</v>
      </c>
      <c r="F49" s="672">
        <v>5857.6</v>
      </c>
      <c r="G49" s="672">
        <f t="shared" si="11"/>
        <v>34277.5</v>
      </c>
      <c r="H49" s="672">
        <v>-47311.3</v>
      </c>
      <c r="I49" s="672">
        <f t="shared" si="12"/>
        <v>-13033.800000000003</v>
      </c>
      <c r="J49" s="672">
        <f t="shared" si="10"/>
        <v>234657.90000000002</v>
      </c>
    </row>
    <row r="50" spans="1:10" ht="11.25" customHeight="1">
      <c r="A50" s="386" t="s">
        <v>822</v>
      </c>
      <c r="B50" s="678">
        <v>245563.2</v>
      </c>
      <c r="C50" s="678">
        <v>17669.8</v>
      </c>
      <c r="D50" s="678">
        <v>2347.6</v>
      </c>
      <c r="E50" s="678">
        <v>4910.8999999999996</v>
      </c>
      <c r="F50" s="678">
        <v>5208</v>
      </c>
      <c r="G50" s="678">
        <f t="shared" si="11"/>
        <v>30136.299999999996</v>
      </c>
      <c r="H50" s="678">
        <v>-47671.9</v>
      </c>
      <c r="I50" s="678">
        <f t="shared" si="12"/>
        <v>-17535.600000000006</v>
      </c>
      <c r="J50" s="678">
        <f t="shared" si="10"/>
        <v>228027.6</v>
      </c>
    </row>
    <row r="51" spans="1:10" ht="11.25" customHeight="1">
      <c r="A51" s="491" t="s">
        <v>823</v>
      </c>
      <c r="B51" s="672">
        <v>250320.8</v>
      </c>
      <c r="C51" s="672">
        <v>13370.8</v>
      </c>
      <c r="D51" s="672">
        <v>2352.6</v>
      </c>
      <c r="E51" s="672">
        <v>4783.6000000000004</v>
      </c>
      <c r="F51" s="672">
        <v>6300.3</v>
      </c>
      <c r="G51" s="672">
        <f t="shared" si="11"/>
        <v>26807.3</v>
      </c>
      <c r="H51" s="672">
        <v>-50385.5</v>
      </c>
      <c r="I51" s="672">
        <f t="shared" si="12"/>
        <v>-23578.2</v>
      </c>
      <c r="J51" s="672">
        <f t="shared" si="10"/>
        <v>226742.59999999998</v>
      </c>
    </row>
    <row r="52" spans="1:10" ht="11.25" customHeight="1">
      <c r="A52" s="386" t="s">
        <v>815</v>
      </c>
      <c r="B52" s="678">
        <v>251391.3</v>
      </c>
      <c r="C52" s="678">
        <v>11760.6</v>
      </c>
      <c r="D52" s="678">
        <v>2354.3000000000002</v>
      </c>
      <c r="E52" s="678">
        <v>4815</v>
      </c>
      <c r="F52" s="678">
        <v>6937.1</v>
      </c>
      <c r="G52" s="678">
        <f t="shared" si="11"/>
        <v>25867</v>
      </c>
      <c r="H52" s="678">
        <v>-52168</v>
      </c>
      <c r="I52" s="678">
        <f t="shared" si="12"/>
        <v>-26301</v>
      </c>
      <c r="J52" s="678">
        <f t="shared" si="10"/>
        <v>225090.3</v>
      </c>
    </row>
    <row r="53" spans="1:10" ht="11.25" customHeight="1" thickBot="1">
      <c r="A53" s="1088" t="s">
        <v>824</v>
      </c>
      <c r="B53" s="1686">
        <v>249633.4</v>
      </c>
      <c r="C53" s="1686">
        <v>16694.900000000001</v>
      </c>
      <c r="D53" s="1686">
        <v>2328</v>
      </c>
      <c r="E53" s="1686">
        <v>4776.5</v>
      </c>
      <c r="F53" s="1686">
        <v>5714.6</v>
      </c>
      <c r="G53" s="1686">
        <f t="shared" si="11"/>
        <v>29514</v>
      </c>
      <c r="H53" s="1686">
        <v>-52156.1</v>
      </c>
      <c r="I53" s="1686">
        <f t="shared" si="12"/>
        <v>-22642.1</v>
      </c>
      <c r="J53" s="1686">
        <f t="shared" si="10"/>
        <v>226991.3</v>
      </c>
    </row>
    <row r="54" spans="1:10">
      <c r="A54" s="764" t="s">
        <v>2331</v>
      </c>
      <c r="B54" s="397" t="s">
        <v>2122</v>
      </c>
      <c r="C54" s="397"/>
      <c r="D54" s="397"/>
      <c r="E54" s="397"/>
      <c r="F54" s="397"/>
      <c r="G54" s="397"/>
      <c r="H54" s="397"/>
      <c r="I54" s="397"/>
      <c r="J54" s="397"/>
    </row>
    <row r="55" spans="1:10">
      <c r="A55" s="333"/>
      <c r="B55" s="333"/>
      <c r="C55" s="333"/>
      <c r="D55" s="333"/>
      <c r="E55" s="333"/>
      <c r="F55" s="333"/>
      <c r="G55" s="333"/>
      <c r="H55" s="333"/>
      <c r="I55" s="333"/>
      <c r="J55" s="333"/>
    </row>
    <row r="56" spans="1:10">
      <c r="B56" s="333"/>
    </row>
    <row r="59" spans="1:10">
      <c r="B59" s="269"/>
      <c r="C59" s="269"/>
      <c r="D59" s="269"/>
      <c r="E59" s="269"/>
      <c r="F59" s="269"/>
      <c r="G59" s="269"/>
      <c r="H59" s="269"/>
      <c r="I59" s="269"/>
      <c r="J59" s="269"/>
    </row>
    <row r="69" spans="2:10">
      <c r="B69" s="269"/>
      <c r="C69" s="269"/>
      <c r="D69" s="269"/>
      <c r="E69" s="269"/>
      <c r="F69" s="269"/>
      <c r="G69" s="269"/>
      <c r="H69" s="269"/>
      <c r="I69" s="269"/>
      <c r="J69" s="269"/>
    </row>
    <row r="70" spans="2:10">
      <c r="B70" s="269"/>
      <c r="C70" s="269"/>
      <c r="D70" s="269"/>
      <c r="E70" s="269"/>
      <c r="F70" s="269"/>
      <c r="G70" s="269"/>
      <c r="H70" s="269"/>
      <c r="I70" s="269"/>
      <c r="J70" s="269"/>
    </row>
    <row r="71" spans="2:10">
      <c r="B71" s="269"/>
      <c r="C71" s="269"/>
      <c r="D71" s="269"/>
      <c r="E71" s="269"/>
      <c r="F71" s="269"/>
      <c r="G71" s="269"/>
      <c r="H71" s="269"/>
      <c r="I71" s="269"/>
      <c r="J71" s="269"/>
    </row>
    <row r="72" spans="2:10">
      <c r="B72" s="269"/>
      <c r="C72" s="269"/>
      <c r="D72" s="269"/>
      <c r="E72" s="269"/>
      <c r="F72" s="269"/>
      <c r="G72" s="269"/>
      <c r="H72" s="269"/>
      <c r="I72" s="269"/>
      <c r="J72" s="269"/>
    </row>
    <row r="73" spans="2:10">
      <c r="B73" s="269"/>
      <c r="C73" s="269"/>
      <c r="D73" s="269"/>
      <c r="E73" s="269"/>
      <c r="F73" s="269"/>
      <c r="G73" s="269"/>
      <c r="H73" s="269"/>
      <c r="I73" s="269"/>
      <c r="J73" s="269"/>
    </row>
    <row r="74" spans="2:10">
      <c r="B74" s="269"/>
      <c r="C74" s="269"/>
      <c r="D74" s="269"/>
      <c r="E74" s="269"/>
      <c r="F74" s="269"/>
      <c r="G74" s="269"/>
      <c r="H74" s="269"/>
      <c r="I74" s="269"/>
      <c r="J74" s="269"/>
    </row>
    <row r="75" spans="2:10">
      <c r="B75" s="269"/>
      <c r="C75" s="269"/>
      <c r="D75" s="269"/>
      <c r="E75" s="269"/>
      <c r="F75" s="269"/>
      <c r="G75" s="269"/>
      <c r="H75" s="269"/>
      <c r="I75" s="269"/>
      <c r="J75" s="269"/>
    </row>
    <row r="76" spans="2:10">
      <c r="B76" s="269"/>
      <c r="C76" s="269"/>
      <c r="D76" s="269"/>
      <c r="E76" s="269"/>
      <c r="F76" s="269"/>
      <c r="G76" s="269"/>
      <c r="H76" s="269"/>
      <c r="I76" s="269"/>
      <c r="J76" s="269"/>
    </row>
    <row r="77" spans="2:10">
      <c r="B77" s="269"/>
      <c r="C77" s="269"/>
      <c r="D77" s="269"/>
      <c r="E77" s="269"/>
      <c r="F77" s="269"/>
      <c r="G77" s="269"/>
      <c r="H77" s="269"/>
      <c r="I77" s="269"/>
      <c r="J77" s="269"/>
    </row>
    <row r="78" spans="2:10">
      <c r="B78" s="269"/>
      <c r="C78" s="269"/>
      <c r="D78" s="269"/>
      <c r="E78" s="269"/>
      <c r="F78" s="269"/>
      <c r="G78" s="269"/>
      <c r="H78" s="269"/>
      <c r="I78" s="269"/>
      <c r="J78" s="269"/>
    </row>
    <row r="79" spans="2:10">
      <c r="B79" s="269"/>
      <c r="C79" s="269"/>
      <c r="D79" s="269"/>
      <c r="E79" s="269"/>
      <c r="F79" s="269"/>
      <c r="G79" s="269"/>
      <c r="H79" s="269"/>
      <c r="I79" s="269"/>
      <c r="J79" s="269"/>
    </row>
  </sheetData>
  <mergeCells count="14">
    <mergeCell ref="I1:J1"/>
    <mergeCell ref="I2:J2"/>
    <mergeCell ref="D4:D6"/>
    <mergeCell ref="E4:E6"/>
    <mergeCell ref="J3:J6"/>
    <mergeCell ref="I3:I6"/>
    <mergeCell ref="C4:C6"/>
    <mergeCell ref="A3:A7"/>
    <mergeCell ref="A1:H1"/>
    <mergeCell ref="F4:F6"/>
    <mergeCell ref="G4:G6"/>
    <mergeCell ref="B3:B6"/>
    <mergeCell ref="C3:G3"/>
    <mergeCell ref="H3:H6"/>
  </mergeCells>
  <phoneticPr fontId="57" type="noConversion"/>
  <conditionalFormatting sqref="A30 G18:G29 G31:G41 B8:J14 A8:A17">
    <cfRule type="expression" dxfId="6" priority="41" stopIfTrue="1">
      <formula>MOD(ROW(),2)=1</formula>
    </cfRule>
    <cfRule type="expression" priority="42" stopIfTrue="1">
      <formula>MOD(ROW(),2)=1</formula>
    </cfRule>
  </conditionalFormatting>
  <conditionalFormatting sqref="A30 A16:A17">
    <cfRule type="expression" priority="38" stopIfTrue="1">
      <formula>MOD(row,0)=0</formula>
    </cfRule>
  </conditionalFormatting>
  <conditionalFormatting sqref="A30 A16:A17">
    <cfRule type="expression" priority="33" stopIfTrue="1">
      <formula>MOD((((#REF!))),0)=0</formula>
    </cfRule>
  </conditionalFormatting>
  <conditionalFormatting sqref="A30 A17">
    <cfRule type="expression" dxfId="5" priority="27" stopIfTrue="1">
      <formula>MOD(ROW(),2)=1</formula>
    </cfRule>
  </conditionalFormatting>
  <conditionalFormatting sqref="A30 A17">
    <cfRule type="expression" priority="24" stopIfTrue="1">
      <formula>MOD((((#REF!))),0)=0</formula>
    </cfRule>
  </conditionalFormatting>
  <pageMargins left="0.59055118110236204" right="0.511811023622047" top="0.511811023622047" bottom="0.511811023622047" header="0" footer="0.35433070866141703"/>
  <pageSetup paperSize="448" firstPageNumber="17" orientation="portrait" useFirstPageNumber="1" r:id="rId1"/>
  <headerFooter>
    <oddFooter>&amp;C&amp;"Times New Roman,Regular"&amp;8&amp;P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10"/>
  <dimension ref="A1:X81"/>
  <sheetViews>
    <sheetView zoomScale="160" zoomScaleNormal="160" workbookViewId="0">
      <pane xSplit="1" ySplit="7" topLeftCell="B49" activePane="bottomRight" state="frozen"/>
      <selection pane="topRight" activeCell="C1" sqref="C1"/>
      <selection pane="bottomLeft" activeCell="A8" sqref="A8"/>
      <selection pane="bottomRight" activeCell="H55" sqref="H55"/>
    </sheetView>
  </sheetViews>
  <sheetFormatPr defaultColWidth="9.140625" defaultRowHeight="11.25"/>
  <cols>
    <col min="1" max="1" width="8.42578125" style="769" customWidth="1"/>
    <col min="2" max="2" width="6.7109375" style="253" customWidth="1"/>
    <col min="3" max="3" width="5.85546875" style="253" customWidth="1"/>
    <col min="4" max="4" width="6.85546875" style="253" customWidth="1"/>
    <col min="5" max="5" width="7.28515625" style="253" customWidth="1"/>
    <col min="6" max="6" width="6.85546875" style="253" customWidth="1"/>
    <col min="7" max="7" width="5.7109375" style="253" customWidth="1"/>
    <col min="8" max="8" width="7.42578125" style="253" bestFit="1" customWidth="1"/>
    <col min="9" max="9" width="7.42578125" style="263" customWidth="1"/>
    <col min="10" max="10" width="6.5703125" style="253" customWidth="1"/>
    <col min="11" max="11" width="5.42578125" style="253" customWidth="1"/>
    <col min="12" max="12" width="6.28515625" style="253" customWidth="1"/>
    <col min="13" max="13" width="8.42578125" style="253" customWidth="1"/>
    <col min="14" max="14" width="8.28515625" style="253" customWidth="1"/>
    <col min="15" max="15" width="8.85546875" style="253" customWidth="1"/>
    <col min="16" max="16" width="9.5703125" style="253" customWidth="1"/>
    <col min="17" max="17" width="9.85546875" style="253" customWidth="1"/>
    <col min="18" max="18" width="10.28515625" style="253" customWidth="1"/>
    <col min="19" max="19" width="9.85546875" style="253" customWidth="1"/>
    <col min="20" max="20" width="9.140625" style="769" customWidth="1"/>
    <col min="21" max="16384" width="9.140625" style="253"/>
  </cols>
  <sheetData>
    <row r="1" spans="1:24" s="765" customFormat="1" ht="16.5" customHeight="1">
      <c r="B1" s="766"/>
      <c r="C1" s="766"/>
      <c r="D1" s="766"/>
      <c r="E1" s="766"/>
      <c r="F1" s="766"/>
      <c r="G1" s="766"/>
      <c r="H1" s="766"/>
      <c r="I1" s="767"/>
      <c r="J1" s="1916" t="s">
        <v>676</v>
      </c>
      <c r="K1" s="1916"/>
      <c r="L1" s="1916"/>
      <c r="M1" s="1917" t="s">
        <v>2308</v>
      </c>
      <c r="N1" s="1917"/>
      <c r="O1" s="768"/>
      <c r="P1" s="768"/>
      <c r="Q1" s="768"/>
      <c r="R1" s="768"/>
      <c r="S1" s="1915" t="s">
        <v>189</v>
      </c>
      <c r="T1" s="1915"/>
    </row>
    <row r="2" spans="1:24" ht="12" customHeight="1">
      <c r="B2" s="770"/>
      <c r="C2" s="770"/>
      <c r="D2" s="770"/>
      <c r="E2" s="770"/>
      <c r="F2" s="770"/>
      <c r="G2" s="770"/>
      <c r="L2" s="770"/>
      <c r="M2" s="770"/>
      <c r="N2" s="771"/>
      <c r="O2" s="770"/>
      <c r="P2" s="770"/>
      <c r="Q2" s="770"/>
      <c r="R2" s="770"/>
      <c r="S2" s="1919" t="s">
        <v>31</v>
      </c>
      <c r="T2" s="1919"/>
    </row>
    <row r="3" spans="1:24" s="774" customFormat="1" ht="12.75" customHeight="1">
      <c r="A3" s="1899" t="s">
        <v>1474</v>
      </c>
      <c r="B3" s="1903" t="s">
        <v>740</v>
      </c>
      <c r="C3" s="1903"/>
      <c r="D3" s="1903"/>
      <c r="E3" s="1903"/>
      <c r="F3" s="1910" t="s">
        <v>829</v>
      </c>
      <c r="G3" s="1911"/>
      <c r="H3" s="1911"/>
      <c r="I3" s="1911"/>
      <c r="J3" s="1911"/>
      <c r="K3" s="1911"/>
      <c r="L3" s="1911"/>
      <c r="M3" s="1911" t="s">
        <v>828</v>
      </c>
      <c r="N3" s="1911"/>
      <c r="O3" s="1911"/>
      <c r="P3" s="772"/>
      <c r="Q3" s="1902" t="s">
        <v>1476</v>
      </c>
      <c r="R3" s="1902" t="s">
        <v>1477</v>
      </c>
      <c r="S3" s="1918" t="s">
        <v>2309</v>
      </c>
      <c r="T3" s="1907" t="s">
        <v>733</v>
      </c>
    </row>
    <row r="4" spans="1:24" s="775" customFormat="1" ht="15" customHeight="1">
      <c r="A4" s="1900"/>
      <c r="B4" s="1902" t="s">
        <v>1221</v>
      </c>
      <c r="C4" s="1914" t="s">
        <v>203</v>
      </c>
      <c r="D4" s="1907" t="s">
        <v>595</v>
      </c>
      <c r="E4" s="1902" t="s">
        <v>1222</v>
      </c>
      <c r="F4" s="1904" t="s">
        <v>642</v>
      </c>
      <c r="G4" s="1905"/>
      <c r="H4" s="1905"/>
      <c r="I4" s="1905"/>
      <c r="J4" s="1905"/>
      <c r="K4" s="1905"/>
      <c r="L4" s="1906"/>
      <c r="M4" s="1903" t="s">
        <v>857</v>
      </c>
      <c r="N4" s="1903"/>
      <c r="O4" s="1903"/>
      <c r="P4" s="1902" t="s">
        <v>1475</v>
      </c>
      <c r="Q4" s="1902"/>
      <c r="R4" s="1902"/>
      <c r="S4" s="1918"/>
      <c r="T4" s="1908"/>
    </row>
    <row r="5" spans="1:24" s="775" customFormat="1" ht="15" customHeight="1">
      <c r="A5" s="1900"/>
      <c r="B5" s="1902"/>
      <c r="C5" s="1914"/>
      <c r="D5" s="1908"/>
      <c r="E5" s="1902"/>
      <c r="F5" s="1903" t="s">
        <v>2291</v>
      </c>
      <c r="G5" s="1903"/>
      <c r="H5" s="1903"/>
      <c r="I5" s="1903"/>
      <c r="J5" s="1903" t="s">
        <v>743</v>
      </c>
      <c r="K5" s="1903"/>
      <c r="L5" s="1903"/>
      <c r="M5" s="1907" t="s">
        <v>1225</v>
      </c>
      <c r="N5" s="1907" t="s">
        <v>203</v>
      </c>
      <c r="O5" s="1907" t="s">
        <v>1226</v>
      </c>
      <c r="P5" s="1902"/>
      <c r="Q5" s="1902"/>
      <c r="R5" s="1902"/>
      <c r="S5" s="1918"/>
      <c r="T5" s="1908"/>
    </row>
    <row r="6" spans="1:24" s="775" customFormat="1" ht="34.5" customHeight="1">
      <c r="A6" s="1900"/>
      <c r="B6" s="1902"/>
      <c r="C6" s="1914"/>
      <c r="D6" s="1909"/>
      <c r="E6" s="1902"/>
      <c r="F6" s="773" t="s">
        <v>152</v>
      </c>
      <c r="G6" s="776" t="s">
        <v>203</v>
      </c>
      <c r="H6" s="1089" t="s">
        <v>2142</v>
      </c>
      <c r="I6" s="773" t="s">
        <v>1223</v>
      </c>
      <c r="J6" s="773" t="s">
        <v>152</v>
      </c>
      <c r="K6" s="777" t="s">
        <v>203</v>
      </c>
      <c r="L6" s="773" t="s">
        <v>1224</v>
      </c>
      <c r="M6" s="1909"/>
      <c r="N6" s="1909"/>
      <c r="O6" s="1909"/>
      <c r="P6" s="1902"/>
      <c r="Q6" s="1902"/>
      <c r="R6" s="1902"/>
      <c r="S6" s="1918"/>
      <c r="T6" s="1908"/>
    </row>
    <row r="7" spans="1:24" s="779" customFormat="1" ht="10.5">
      <c r="A7" s="1901"/>
      <c r="B7" s="381">
        <v>1</v>
      </c>
      <c r="C7" s="381">
        <v>2</v>
      </c>
      <c r="D7" s="381">
        <v>3</v>
      </c>
      <c r="E7" s="381">
        <v>4</v>
      </c>
      <c r="F7" s="381">
        <v>5</v>
      </c>
      <c r="G7" s="381">
        <v>6</v>
      </c>
      <c r="H7" s="381">
        <v>7</v>
      </c>
      <c r="I7" s="381">
        <v>8</v>
      </c>
      <c r="J7" s="381">
        <v>9</v>
      </c>
      <c r="K7" s="381">
        <v>10</v>
      </c>
      <c r="L7" s="381">
        <v>11</v>
      </c>
      <c r="M7" s="381">
        <v>12</v>
      </c>
      <c r="N7" s="381">
        <v>13</v>
      </c>
      <c r="O7" s="381">
        <v>14</v>
      </c>
      <c r="P7" s="381">
        <v>15</v>
      </c>
      <c r="Q7" s="381">
        <v>16</v>
      </c>
      <c r="R7" s="381">
        <v>17</v>
      </c>
      <c r="S7" s="778">
        <v>18</v>
      </c>
      <c r="T7" s="1909"/>
    </row>
    <row r="8" spans="1:24" ht="10.35" customHeight="1">
      <c r="A8" s="357" t="s">
        <v>549</v>
      </c>
      <c r="B8" s="595">
        <v>37295.9</v>
      </c>
      <c r="C8" s="595">
        <v>-268</v>
      </c>
      <c r="D8" s="595">
        <v>-4108</v>
      </c>
      <c r="E8" s="595">
        <v>32919.9</v>
      </c>
      <c r="F8" s="780">
        <v>46720.800000000003</v>
      </c>
      <c r="G8" s="595">
        <v>66</v>
      </c>
      <c r="H8" s="595">
        <v>46157.5</v>
      </c>
      <c r="I8" s="595">
        <f t="shared" ref="I8:I12" si="0">F8+G8+H8</f>
        <v>92944.3</v>
      </c>
      <c r="J8" s="780">
        <v>10113.5</v>
      </c>
      <c r="K8" s="595">
        <v>27.3</v>
      </c>
      <c r="L8" s="595">
        <f t="shared" ref="L8:L12" si="1">J8+K8</f>
        <v>10140.799999999999</v>
      </c>
      <c r="M8" s="595">
        <v>184305.4</v>
      </c>
      <c r="N8" s="595">
        <v>14936.2</v>
      </c>
      <c r="O8" s="595">
        <v>199241.60000000001</v>
      </c>
      <c r="P8" s="595">
        <f t="shared" ref="P8:P12" si="2">I8+L8+O8</f>
        <v>302326.7</v>
      </c>
      <c r="Q8" s="755">
        <v>-38741.400000000023</v>
      </c>
      <c r="R8" s="595">
        <f t="shared" ref="R8:R12" si="3">P8+Q8</f>
        <v>263585.3</v>
      </c>
      <c r="S8" s="595">
        <f t="shared" ref="S8:S12" si="4">E8+R8</f>
        <v>296505.2</v>
      </c>
      <c r="T8" s="359" t="s">
        <v>549</v>
      </c>
      <c r="U8" s="269"/>
      <c r="V8" s="269"/>
      <c r="W8" s="269"/>
      <c r="X8" s="269"/>
    </row>
    <row r="9" spans="1:24" ht="10.35" customHeight="1">
      <c r="A9" s="454" t="s">
        <v>102</v>
      </c>
      <c r="B9" s="1115">
        <v>47442</v>
      </c>
      <c r="C9" s="1115">
        <v>-242.5</v>
      </c>
      <c r="D9" s="1115">
        <v>-4794.1000000000004</v>
      </c>
      <c r="E9" s="1115">
        <v>42405.4</v>
      </c>
      <c r="F9" s="1116">
        <v>57982.1</v>
      </c>
      <c r="G9" s="1115">
        <v>56.3</v>
      </c>
      <c r="H9" s="1115">
        <v>49790.8</v>
      </c>
      <c r="I9" s="1115">
        <f t="shared" si="0"/>
        <v>107829.20000000001</v>
      </c>
      <c r="J9" s="1116">
        <v>10883.7</v>
      </c>
      <c r="K9" s="1115">
        <v>71.7</v>
      </c>
      <c r="L9" s="1115">
        <f t="shared" si="1"/>
        <v>10955.400000000001</v>
      </c>
      <c r="M9" s="1115">
        <v>210497.4</v>
      </c>
      <c r="N9" s="1115">
        <v>18617.3</v>
      </c>
      <c r="O9" s="1115">
        <v>229114.69999999998</v>
      </c>
      <c r="P9" s="1115">
        <f t="shared" si="2"/>
        <v>347899.3</v>
      </c>
      <c r="Q9" s="1114">
        <v>-41248.899999999958</v>
      </c>
      <c r="R9" s="1115">
        <f t="shared" si="3"/>
        <v>306650.40000000002</v>
      </c>
      <c r="S9" s="1115">
        <f t="shared" si="4"/>
        <v>349055.80000000005</v>
      </c>
      <c r="T9" s="455" t="s">
        <v>102</v>
      </c>
      <c r="U9" s="269"/>
      <c r="V9" s="269"/>
      <c r="W9" s="269"/>
      <c r="X9" s="269"/>
    </row>
    <row r="10" spans="1:24" ht="10.35" customHeight="1">
      <c r="A10" s="357" t="s">
        <v>98</v>
      </c>
      <c r="B10" s="595">
        <v>67049.8</v>
      </c>
      <c r="C10" s="595">
        <v>-221.7</v>
      </c>
      <c r="D10" s="595">
        <v>-5768.2</v>
      </c>
      <c r="E10" s="595">
        <v>61059.900000000009</v>
      </c>
      <c r="F10" s="780">
        <v>54225</v>
      </c>
      <c r="G10" s="595">
        <v>175.5</v>
      </c>
      <c r="H10" s="595">
        <v>61381.4</v>
      </c>
      <c r="I10" s="595">
        <f t="shared" si="0"/>
        <v>115781.9</v>
      </c>
      <c r="J10" s="780">
        <v>12762.9</v>
      </c>
      <c r="K10" s="595">
        <v>93.8</v>
      </c>
      <c r="L10" s="595">
        <f t="shared" si="1"/>
        <v>12856.699999999999</v>
      </c>
      <c r="M10" s="595">
        <v>261852</v>
      </c>
      <c r="N10" s="595">
        <v>23541.3</v>
      </c>
      <c r="O10" s="595">
        <v>285393.3</v>
      </c>
      <c r="P10" s="595">
        <f t="shared" si="2"/>
        <v>414031.89999999997</v>
      </c>
      <c r="Q10" s="755">
        <v>-45754.599999999977</v>
      </c>
      <c r="R10" s="595">
        <f t="shared" si="3"/>
        <v>368277.3</v>
      </c>
      <c r="S10" s="595">
        <f t="shared" si="4"/>
        <v>429337.2</v>
      </c>
      <c r="T10" s="359" t="s">
        <v>98</v>
      </c>
      <c r="U10" s="269"/>
      <c r="V10" s="269"/>
      <c r="W10" s="269"/>
      <c r="X10" s="269"/>
    </row>
    <row r="11" spans="1:24" ht="10.35" customHeight="1">
      <c r="A11" s="454" t="s">
        <v>241</v>
      </c>
      <c r="B11" s="1115">
        <v>70573.399999999994</v>
      </c>
      <c r="C11" s="1115">
        <v>-404.7</v>
      </c>
      <c r="D11" s="1115">
        <v>-6049.4</v>
      </c>
      <c r="E11" s="1115">
        <v>64119.299999999996</v>
      </c>
      <c r="F11" s="1116">
        <v>73200.600000000006</v>
      </c>
      <c r="G11" s="1115">
        <v>372.6</v>
      </c>
      <c r="H11" s="1115">
        <v>63438.3</v>
      </c>
      <c r="I11" s="1115">
        <f t="shared" si="0"/>
        <v>137011.5</v>
      </c>
      <c r="J11" s="1116">
        <v>16901.400000000001</v>
      </c>
      <c r="K11" s="1115">
        <v>108</v>
      </c>
      <c r="L11" s="1115">
        <f t="shared" si="1"/>
        <v>17009.400000000001</v>
      </c>
      <c r="M11" s="1115">
        <v>332161.3</v>
      </c>
      <c r="N11" s="1115">
        <v>27348.5</v>
      </c>
      <c r="O11" s="1115">
        <v>359509.8</v>
      </c>
      <c r="P11" s="1115">
        <f t="shared" si="2"/>
        <v>513530.69999999995</v>
      </c>
      <c r="Q11" s="1114">
        <v>-67193.599999999977</v>
      </c>
      <c r="R11" s="1115">
        <f t="shared" si="3"/>
        <v>446337.1</v>
      </c>
      <c r="S11" s="1115">
        <f t="shared" si="4"/>
        <v>510456.39999999997</v>
      </c>
      <c r="T11" s="455" t="s">
        <v>241</v>
      </c>
      <c r="U11" s="269"/>
      <c r="V11" s="269"/>
      <c r="W11" s="269"/>
      <c r="X11" s="269"/>
    </row>
    <row r="12" spans="1:24" ht="10.35" customHeight="1">
      <c r="A12" s="357" t="s">
        <v>1142</v>
      </c>
      <c r="B12" s="595">
        <v>78818.7</v>
      </c>
      <c r="C12" s="595">
        <v>-378.5</v>
      </c>
      <c r="D12" s="595">
        <v>-6273.8</v>
      </c>
      <c r="E12" s="595">
        <v>72166.399999999994</v>
      </c>
      <c r="F12" s="781">
        <v>91700.5</v>
      </c>
      <c r="G12" s="595">
        <v>261.89999999999998</v>
      </c>
      <c r="H12" s="595">
        <v>63861.3</v>
      </c>
      <c r="I12" s="595">
        <f t="shared" si="0"/>
        <v>155823.70000000001</v>
      </c>
      <c r="J12" s="781">
        <v>15284.1</v>
      </c>
      <c r="K12" s="595">
        <v>46</v>
      </c>
      <c r="L12" s="595">
        <f t="shared" si="1"/>
        <v>15330.1</v>
      </c>
      <c r="M12" s="595">
        <v>398311.5</v>
      </c>
      <c r="N12" s="595">
        <v>31174.9</v>
      </c>
      <c r="O12" s="595">
        <v>429486.4</v>
      </c>
      <c r="P12" s="595">
        <f t="shared" si="2"/>
        <v>600640.20000000007</v>
      </c>
      <c r="Q12" s="755">
        <v>-82966.200000000099</v>
      </c>
      <c r="R12" s="595">
        <f t="shared" si="3"/>
        <v>517674</v>
      </c>
      <c r="S12" s="595">
        <f t="shared" si="4"/>
        <v>589840.4</v>
      </c>
      <c r="T12" s="359" t="s">
        <v>1142</v>
      </c>
      <c r="U12" s="269"/>
      <c r="V12" s="269"/>
      <c r="W12" s="269"/>
      <c r="X12" s="269"/>
    </row>
    <row r="13" spans="1:24" ht="10.35" customHeight="1">
      <c r="A13" s="454" t="s">
        <v>1333</v>
      </c>
      <c r="B13" s="1115">
        <v>113250.1</v>
      </c>
      <c r="C13" s="1115">
        <v>-344.5</v>
      </c>
      <c r="D13" s="1115">
        <v>-6493.8</v>
      </c>
      <c r="E13" s="1115">
        <v>106411.8</v>
      </c>
      <c r="F13" s="1117">
        <v>110094.5</v>
      </c>
      <c r="G13" s="1115">
        <v>249.7</v>
      </c>
      <c r="H13" s="1115">
        <v>64634.2</v>
      </c>
      <c r="I13" s="1115">
        <v>174978.4</v>
      </c>
      <c r="J13" s="1117">
        <v>9376.7999999999993</v>
      </c>
      <c r="K13" s="1115">
        <v>43.7</v>
      </c>
      <c r="L13" s="1115">
        <v>9420.5</v>
      </c>
      <c r="M13" s="1115">
        <v>440915.1</v>
      </c>
      <c r="N13" s="1115">
        <v>36526.800000000003</v>
      </c>
      <c r="O13" s="1115">
        <v>477441.89999999997</v>
      </c>
      <c r="P13" s="1115">
        <v>661840.79999999993</v>
      </c>
      <c r="Q13" s="1114">
        <v>-88069.7</v>
      </c>
      <c r="R13" s="1115">
        <v>573771.1</v>
      </c>
      <c r="S13" s="1115">
        <v>680182.9</v>
      </c>
      <c r="T13" s="455" t="s">
        <v>1333</v>
      </c>
      <c r="U13" s="269"/>
      <c r="V13" s="269"/>
      <c r="W13" s="269"/>
      <c r="X13" s="269"/>
    </row>
    <row r="14" spans="1:24" s="251" customFormat="1" ht="10.35" customHeight="1">
      <c r="A14" s="594" t="s">
        <v>1664</v>
      </c>
      <c r="B14" s="78">
        <v>160056.6</v>
      </c>
      <c r="C14" s="78">
        <v>-318.89999999999998</v>
      </c>
      <c r="D14" s="78">
        <v>-6695</v>
      </c>
      <c r="E14" s="78">
        <v>153042.70000000001</v>
      </c>
      <c r="F14" s="78">
        <v>117498.3</v>
      </c>
      <c r="G14" s="78">
        <v>266.89999999999998</v>
      </c>
      <c r="H14" s="78">
        <v>76341.3</v>
      </c>
      <c r="I14" s="78">
        <v>194106.5</v>
      </c>
      <c r="J14" s="78">
        <v>12612.9</v>
      </c>
      <c r="K14" s="78">
        <v>40.6</v>
      </c>
      <c r="L14" s="78">
        <v>12653.5</v>
      </c>
      <c r="M14" s="78">
        <v>493936.5</v>
      </c>
      <c r="N14" s="78">
        <v>43834.8</v>
      </c>
      <c r="O14" s="78">
        <v>537771.30000000005</v>
      </c>
      <c r="P14" s="78">
        <v>744531.3</v>
      </c>
      <c r="Q14" s="755">
        <v>-105128.7</v>
      </c>
      <c r="R14" s="78">
        <v>639402.60000000009</v>
      </c>
      <c r="S14" s="78">
        <v>792445.3</v>
      </c>
      <c r="T14" s="640" t="s">
        <v>1664</v>
      </c>
    </row>
    <row r="15" spans="1:24" s="388" customFormat="1" ht="10.35" customHeight="1">
      <c r="A15" s="880" t="s">
        <v>1754</v>
      </c>
      <c r="B15" s="756">
        <v>189228.79999999999</v>
      </c>
      <c r="C15" s="756">
        <v>-274.10000000000002</v>
      </c>
      <c r="D15" s="756">
        <v>-7257.5</v>
      </c>
      <c r="E15" s="756">
        <v>181697.19999999998</v>
      </c>
      <c r="F15" s="756">
        <v>110224.8</v>
      </c>
      <c r="G15" s="756">
        <v>183.4</v>
      </c>
      <c r="H15" s="756">
        <v>105074</v>
      </c>
      <c r="I15" s="756">
        <v>215482.2</v>
      </c>
      <c r="J15" s="756">
        <v>16448.8</v>
      </c>
      <c r="K15" s="756">
        <v>80.3</v>
      </c>
      <c r="L15" s="756">
        <v>16529.099999999999</v>
      </c>
      <c r="M15" s="756">
        <v>557021.80000000005</v>
      </c>
      <c r="N15" s="756">
        <v>50121.5</v>
      </c>
      <c r="O15" s="756">
        <v>607143.30000000005</v>
      </c>
      <c r="P15" s="756">
        <v>839154.60000000009</v>
      </c>
      <c r="Q15" s="756">
        <v>-110802.8</v>
      </c>
      <c r="R15" s="756">
        <v>728351.8</v>
      </c>
      <c r="S15" s="756">
        <v>910049</v>
      </c>
      <c r="T15" s="827" t="s">
        <v>1754</v>
      </c>
      <c r="U15" s="343"/>
    </row>
    <row r="16" spans="1:24" s="388" customFormat="1" ht="10.35" customHeight="1">
      <c r="A16" s="843" t="s">
        <v>1954</v>
      </c>
      <c r="B16" s="844">
        <v>233135.6</v>
      </c>
      <c r="C16" s="844">
        <v>-83</v>
      </c>
      <c r="D16" s="844">
        <v>-8475.2000000000007</v>
      </c>
      <c r="E16" s="844">
        <v>224577.4</v>
      </c>
      <c r="F16" s="844">
        <v>114189.1</v>
      </c>
      <c r="G16" s="844">
        <v>-89.1</v>
      </c>
      <c r="H16" s="844">
        <v>138762.6</v>
      </c>
      <c r="I16" s="844">
        <v>252862.6</v>
      </c>
      <c r="J16" s="844">
        <v>15573</v>
      </c>
      <c r="K16" s="844">
        <v>108.3</v>
      </c>
      <c r="L16" s="844">
        <v>15681.3</v>
      </c>
      <c r="M16" s="844">
        <v>650644</v>
      </c>
      <c r="N16" s="844">
        <v>60778.8</v>
      </c>
      <c r="O16" s="844">
        <v>711422.8</v>
      </c>
      <c r="P16" s="844">
        <v>979966.70000000007</v>
      </c>
      <c r="Q16" s="844">
        <v>-127800.9</v>
      </c>
      <c r="R16" s="844">
        <v>852165.8</v>
      </c>
      <c r="S16" s="844">
        <v>1076743.2</v>
      </c>
      <c r="T16" s="845" t="s">
        <v>1954</v>
      </c>
      <c r="U16" s="343"/>
    </row>
    <row r="17" spans="1:21" s="388" customFormat="1" ht="10.35" customHeight="1">
      <c r="A17" s="1024" t="s">
        <v>2046</v>
      </c>
      <c r="B17" s="1118">
        <f>B29</f>
        <v>266697</v>
      </c>
      <c r="C17" s="1118">
        <f t="shared" ref="C17:S17" si="5">C29</f>
        <v>-46.6</v>
      </c>
      <c r="D17" s="1118">
        <f t="shared" si="5"/>
        <v>-9534.1</v>
      </c>
      <c r="E17" s="1118">
        <f t="shared" si="5"/>
        <v>257116.3</v>
      </c>
      <c r="F17" s="1118">
        <f t="shared" si="5"/>
        <v>97307.599999999991</v>
      </c>
      <c r="G17" s="1118">
        <f t="shared" si="5"/>
        <v>-108.6</v>
      </c>
      <c r="H17" s="1118">
        <f t="shared" si="5"/>
        <v>191178.6</v>
      </c>
      <c r="I17" s="1118">
        <f t="shared" si="5"/>
        <v>288377.59999999998</v>
      </c>
      <c r="J17" s="1118">
        <f t="shared" si="5"/>
        <v>16744.2</v>
      </c>
      <c r="K17" s="1118">
        <f t="shared" si="5"/>
        <v>142.6</v>
      </c>
      <c r="L17" s="1118">
        <f t="shared" si="5"/>
        <v>16886.8</v>
      </c>
      <c r="M17" s="1118">
        <f t="shared" si="5"/>
        <v>752988.79999999993</v>
      </c>
      <c r="N17" s="1118">
        <f t="shared" si="5"/>
        <v>71394.7</v>
      </c>
      <c r="O17" s="1118">
        <f t="shared" si="5"/>
        <v>824383.49999999988</v>
      </c>
      <c r="P17" s="1118">
        <f t="shared" si="5"/>
        <v>1129647.8999999999</v>
      </c>
      <c r="Q17" s="1118">
        <f t="shared" si="5"/>
        <v>-153298.70000000001</v>
      </c>
      <c r="R17" s="1118">
        <f t="shared" si="5"/>
        <v>976349.2</v>
      </c>
      <c r="S17" s="1118">
        <f t="shared" si="5"/>
        <v>1233465.5</v>
      </c>
      <c r="T17" s="815" t="s">
        <v>2046</v>
      </c>
      <c r="U17" s="343"/>
    </row>
    <row r="18" spans="1:21" s="388" customFormat="1" ht="10.35" customHeight="1">
      <c r="A18" s="386" t="s">
        <v>818</v>
      </c>
      <c r="B18" s="724">
        <v>235885.4</v>
      </c>
      <c r="C18" s="724">
        <v>-82.9</v>
      </c>
      <c r="D18" s="343">
        <v>-8610.6</v>
      </c>
      <c r="E18" s="724">
        <f t="shared" ref="E18:E53" si="6">D18+C18+B18</f>
        <v>227191.9</v>
      </c>
      <c r="F18" s="724">
        <v>116648.3</v>
      </c>
      <c r="G18" s="724">
        <v>-52.9</v>
      </c>
      <c r="H18" s="343">
        <v>142260.9</v>
      </c>
      <c r="I18" s="724">
        <f t="shared" ref="I18:I53" si="7">H18+G18+F18</f>
        <v>258856.3</v>
      </c>
      <c r="J18" s="724">
        <v>15529.7</v>
      </c>
      <c r="K18" s="724">
        <v>113.4</v>
      </c>
      <c r="L18" s="724">
        <f t="shared" ref="L18:L53" si="8">J18+K18</f>
        <v>15643.1</v>
      </c>
      <c r="M18" s="724">
        <v>644864.30000000005</v>
      </c>
      <c r="N18" s="724">
        <v>61192.5</v>
      </c>
      <c r="O18" s="724">
        <f t="shared" ref="O18:O53" si="9">M18+N18</f>
        <v>706056.8</v>
      </c>
      <c r="P18" s="724">
        <f t="shared" ref="P18:P53" si="10">I18+L18+O18</f>
        <v>980556.2</v>
      </c>
      <c r="Q18" s="724">
        <v>-130812.1</v>
      </c>
      <c r="R18" s="724">
        <f t="shared" ref="R18:R48" si="11">P18+Q18</f>
        <v>849744.1</v>
      </c>
      <c r="S18" s="724">
        <f t="shared" ref="S18:S48" si="12">E18+R18</f>
        <v>1076936</v>
      </c>
      <c r="T18" s="574" t="s">
        <v>818</v>
      </c>
      <c r="U18" s="343"/>
    </row>
    <row r="19" spans="1:21" s="388" customFormat="1" ht="10.35" customHeight="1">
      <c r="A19" s="491" t="s">
        <v>819</v>
      </c>
      <c r="B19" s="756">
        <v>241535</v>
      </c>
      <c r="C19" s="756">
        <v>-82.9</v>
      </c>
      <c r="D19" s="427">
        <v>-8757.5</v>
      </c>
      <c r="E19" s="756">
        <f t="shared" si="6"/>
        <v>232694.6</v>
      </c>
      <c r="F19" s="756">
        <v>113296.3</v>
      </c>
      <c r="G19" s="756">
        <v>-60</v>
      </c>
      <c r="H19" s="427">
        <v>146558.1</v>
      </c>
      <c r="I19" s="756">
        <f t="shared" si="7"/>
        <v>259794.40000000002</v>
      </c>
      <c r="J19" s="756">
        <v>15633</v>
      </c>
      <c r="K19" s="756">
        <v>118.7</v>
      </c>
      <c r="L19" s="756">
        <f t="shared" si="8"/>
        <v>15751.7</v>
      </c>
      <c r="M19" s="756">
        <v>651267.9</v>
      </c>
      <c r="N19" s="756">
        <v>61740.4</v>
      </c>
      <c r="O19" s="756">
        <f t="shared" si="9"/>
        <v>713008.3</v>
      </c>
      <c r="P19" s="756">
        <f t="shared" si="10"/>
        <v>988554.40000000014</v>
      </c>
      <c r="Q19" s="756">
        <v>-130725.2</v>
      </c>
      <c r="R19" s="756">
        <f t="shared" si="11"/>
        <v>857829.20000000019</v>
      </c>
      <c r="S19" s="756">
        <f t="shared" si="12"/>
        <v>1090523.8000000003</v>
      </c>
      <c r="T19" s="538" t="s">
        <v>819</v>
      </c>
      <c r="U19" s="343"/>
    </row>
    <row r="20" spans="1:21" s="388" customFormat="1" ht="10.35" customHeight="1">
      <c r="A20" s="386" t="s">
        <v>813</v>
      </c>
      <c r="B20" s="724">
        <v>246745.8</v>
      </c>
      <c r="C20" s="724">
        <v>-79.599999999999994</v>
      </c>
      <c r="D20" s="343">
        <v>-8801</v>
      </c>
      <c r="E20" s="724">
        <f t="shared" si="6"/>
        <v>237865.19999999998</v>
      </c>
      <c r="F20" s="724">
        <v>113640.1</v>
      </c>
      <c r="G20" s="724">
        <v>-53.3</v>
      </c>
      <c r="H20" s="343">
        <v>150412.6</v>
      </c>
      <c r="I20" s="724">
        <f t="shared" si="7"/>
        <v>263999.40000000002</v>
      </c>
      <c r="J20" s="724">
        <v>15429.5</v>
      </c>
      <c r="K20" s="724">
        <v>119.6</v>
      </c>
      <c r="L20" s="724">
        <f t="shared" si="8"/>
        <v>15549.1</v>
      </c>
      <c r="M20" s="724">
        <v>659321.59999999998</v>
      </c>
      <c r="N20" s="724">
        <v>62392.3</v>
      </c>
      <c r="O20" s="724">
        <f t="shared" si="9"/>
        <v>721713.9</v>
      </c>
      <c r="P20" s="724">
        <f t="shared" si="10"/>
        <v>1001262.4</v>
      </c>
      <c r="Q20" s="724">
        <v>-135906.5</v>
      </c>
      <c r="R20" s="724">
        <f t="shared" si="11"/>
        <v>865355.9</v>
      </c>
      <c r="S20" s="724">
        <f t="shared" si="12"/>
        <v>1103221.1000000001</v>
      </c>
      <c r="T20" s="574" t="s">
        <v>813</v>
      </c>
      <c r="U20" s="343"/>
    </row>
    <row r="21" spans="1:21" s="388" customFormat="1" ht="10.35" customHeight="1">
      <c r="A21" s="491" t="s">
        <v>820</v>
      </c>
      <c r="B21" s="756">
        <v>247313.7</v>
      </c>
      <c r="C21" s="756">
        <v>-79.400000000000006</v>
      </c>
      <c r="D21" s="427">
        <v>-8873.6</v>
      </c>
      <c r="E21" s="756">
        <f t="shared" si="6"/>
        <v>238360.7</v>
      </c>
      <c r="F21" s="756">
        <v>110003</v>
      </c>
      <c r="G21" s="756">
        <v>-93.5</v>
      </c>
      <c r="H21" s="427">
        <v>154679.29999999999</v>
      </c>
      <c r="I21" s="756">
        <f t="shared" si="7"/>
        <v>264588.79999999999</v>
      </c>
      <c r="J21" s="756">
        <v>14933.8</v>
      </c>
      <c r="K21" s="756">
        <v>121.5</v>
      </c>
      <c r="L21" s="756">
        <f t="shared" si="8"/>
        <v>15055.3</v>
      </c>
      <c r="M21" s="756">
        <v>663877.80000000005</v>
      </c>
      <c r="N21" s="756">
        <v>62802.1</v>
      </c>
      <c r="O21" s="756">
        <f t="shared" si="9"/>
        <v>726679.9</v>
      </c>
      <c r="P21" s="756">
        <f t="shared" si="10"/>
        <v>1006324</v>
      </c>
      <c r="Q21" s="756">
        <v>-135056.9</v>
      </c>
      <c r="R21" s="756">
        <f t="shared" si="11"/>
        <v>871267.1</v>
      </c>
      <c r="S21" s="756">
        <f t="shared" si="12"/>
        <v>1109627.8</v>
      </c>
      <c r="T21" s="538" t="s">
        <v>820</v>
      </c>
      <c r="U21" s="343"/>
    </row>
    <row r="22" spans="1:21" s="388" customFormat="1" ht="10.35" customHeight="1">
      <c r="A22" s="386" t="s">
        <v>821</v>
      </c>
      <c r="B22" s="724">
        <v>245055.9</v>
      </c>
      <c r="C22" s="724">
        <v>-79.400000000000006</v>
      </c>
      <c r="D22" s="343">
        <v>-8963</v>
      </c>
      <c r="E22" s="724">
        <f t="shared" si="6"/>
        <v>236013.5</v>
      </c>
      <c r="F22" s="724">
        <v>108618.9</v>
      </c>
      <c r="G22" s="724">
        <v>-77.5</v>
      </c>
      <c r="H22" s="343">
        <v>159082.1</v>
      </c>
      <c r="I22" s="724">
        <f t="shared" si="7"/>
        <v>267623.5</v>
      </c>
      <c r="J22" s="724">
        <v>15233.5</v>
      </c>
      <c r="K22" s="724">
        <v>123.8</v>
      </c>
      <c r="L22" s="724">
        <f t="shared" si="8"/>
        <v>15357.3</v>
      </c>
      <c r="M22" s="724">
        <v>672927.1</v>
      </c>
      <c r="N22" s="724">
        <v>63846.8</v>
      </c>
      <c r="O22" s="724">
        <f t="shared" si="9"/>
        <v>736773.9</v>
      </c>
      <c r="P22" s="724">
        <f t="shared" si="10"/>
        <v>1019754.7</v>
      </c>
      <c r="Q22" s="724">
        <v>-135614.29999999999</v>
      </c>
      <c r="R22" s="724">
        <f t="shared" si="11"/>
        <v>884140.39999999991</v>
      </c>
      <c r="S22" s="724">
        <f t="shared" si="12"/>
        <v>1120153.8999999999</v>
      </c>
      <c r="T22" s="574" t="s">
        <v>821</v>
      </c>
      <c r="U22" s="343"/>
    </row>
    <row r="23" spans="1:21" s="388" customFormat="1" ht="10.35" customHeight="1">
      <c r="A23" s="491" t="s">
        <v>814</v>
      </c>
      <c r="B23" s="756">
        <v>247248.3</v>
      </c>
      <c r="C23" s="756">
        <v>-63.8</v>
      </c>
      <c r="D23" s="427">
        <v>-9026.9</v>
      </c>
      <c r="E23" s="756">
        <f t="shared" si="6"/>
        <v>238157.59999999998</v>
      </c>
      <c r="F23" s="756">
        <v>98616.8</v>
      </c>
      <c r="G23" s="756">
        <v>-77.3</v>
      </c>
      <c r="H23" s="427">
        <v>162236.1</v>
      </c>
      <c r="I23" s="756">
        <f t="shared" si="7"/>
        <v>260775.60000000003</v>
      </c>
      <c r="J23" s="756">
        <v>15860.7</v>
      </c>
      <c r="K23" s="756">
        <v>126.3</v>
      </c>
      <c r="L23" s="756">
        <f t="shared" si="8"/>
        <v>15987</v>
      </c>
      <c r="M23" s="756">
        <v>695351.7</v>
      </c>
      <c r="N23" s="756">
        <v>64571</v>
      </c>
      <c r="O23" s="756">
        <f t="shared" si="9"/>
        <v>759922.7</v>
      </c>
      <c r="P23" s="756">
        <f t="shared" si="10"/>
        <v>1036685.3</v>
      </c>
      <c r="Q23" s="756">
        <v>-134877.4</v>
      </c>
      <c r="R23" s="756">
        <f t="shared" si="11"/>
        <v>901807.9</v>
      </c>
      <c r="S23" s="756">
        <f t="shared" si="12"/>
        <v>1139965.5</v>
      </c>
      <c r="T23" s="538" t="s">
        <v>814</v>
      </c>
      <c r="U23" s="343"/>
    </row>
    <row r="24" spans="1:21" s="388" customFormat="1" ht="10.35" customHeight="1">
      <c r="A24" s="386" t="s">
        <v>822</v>
      </c>
      <c r="B24" s="724">
        <f>236674.5+11331.7</f>
        <v>248006.2</v>
      </c>
      <c r="C24" s="724">
        <v>-63.6</v>
      </c>
      <c r="D24" s="343">
        <v>-9076.7999999999993</v>
      </c>
      <c r="E24" s="343">
        <f t="shared" si="6"/>
        <v>238865.80000000002</v>
      </c>
      <c r="F24" s="724">
        <f>923.2+95426.8</f>
        <v>96350</v>
      </c>
      <c r="G24" s="724">
        <v>-82.3</v>
      </c>
      <c r="H24" s="343">
        <v>167656.79999999999</v>
      </c>
      <c r="I24" s="343">
        <f t="shared" si="7"/>
        <v>263924.5</v>
      </c>
      <c r="J24" s="724">
        <f>1621.2+14096.2</f>
        <v>15717.400000000001</v>
      </c>
      <c r="K24" s="724">
        <v>129</v>
      </c>
      <c r="L24" s="724">
        <f t="shared" si="8"/>
        <v>15846.400000000001</v>
      </c>
      <c r="M24" s="724">
        <f>3684.7+693643.9</f>
        <v>697328.6</v>
      </c>
      <c r="N24" s="724">
        <v>65115.9</v>
      </c>
      <c r="O24" s="724">
        <f t="shared" si="9"/>
        <v>762444.5</v>
      </c>
      <c r="P24" s="724">
        <f t="shared" si="10"/>
        <v>1042215.4</v>
      </c>
      <c r="Q24" s="724">
        <v>-137810.29999999999</v>
      </c>
      <c r="R24" s="724">
        <f t="shared" si="11"/>
        <v>904405.10000000009</v>
      </c>
      <c r="S24" s="724">
        <f t="shared" si="12"/>
        <v>1143270.9000000001</v>
      </c>
      <c r="T24" s="574" t="s">
        <v>822</v>
      </c>
      <c r="U24" s="343"/>
    </row>
    <row r="25" spans="1:21" s="388" customFormat="1" ht="10.35" customHeight="1">
      <c r="A25" s="491" t="s">
        <v>823</v>
      </c>
      <c r="B25" s="756">
        <f>240191.5+12306.8</f>
        <v>252498.3</v>
      </c>
      <c r="C25" s="756">
        <v>-63.6</v>
      </c>
      <c r="D25" s="427">
        <v>-9135.4</v>
      </c>
      <c r="E25" s="427">
        <f t="shared" si="6"/>
        <v>243299.3</v>
      </c>
      <c r="F25" s="756">
        <f>-470.3+93969.3</f>
        <v>93499</v>
      </c>
      <c r="G25" s="756">
        <v>-96.3</v>
      </c>
      <c r="H25" s="427">
        <v>172045.2</v>
      </c>
      <c r="I25" s="427">
        <f t="shared" si="7"/>
        <v>265447.90000000002</v>
      </c>
      <c r="J25" s="756">
        <f>1622.9+13509.8</f>
        <v>15132.699999999999</v>
      </c>
      <c r="K25" s="756">
        <v>131.30000000000001</v>
      </c>
      <c r="L25" s="756">
        <f t="shared" si="8"/>
        <v>15263.999999999998</v>
      </c>
      <c r="M25" s="756">
        <f>3676.6+701802.5</f>
        <v>705479.1</v>
      </c>
      <c r="N25" s="756">
        <v>66149.100000000006</v>
      </c>
      <c r="O25" s="756">
        <f t="shared" si="9"/>
        <v>771628.2</v>
      </c>
      <c r="P25" s="756">
        <f t="shared" si="10"/>
        <v>1052340.1000000001</v>
      </c>
      <c r="Q25" s="756">
        <v>-141475.1</v>
      </c>
      <c r="R25" s="756">
        <f t="shared" si="11"/>
        <v>910865.00000000012</v>
      </c>
      <c r="S25" s="756">
        <f t="shared" si="12"/>
        <v>1154164.3</v>
      </c>
      <c r="T25" s="538" t="s">
        <v>823</v>
      </c>
      <c r="U25" s="343"/>
    </row>
    <row r="26" spans="1:21" s="388" customFormat="1" ht="10.35" customHeight="1">
      <c r="A26" s="386" t="s">
        <v>815</v>
      </c>
      <c r="B26" s="724">
        <f>242368.9+11777</f>
        <v>254145.9</v>
      </c>
      <c r="C26" s="724">
        <v>-62.1</v>
      </c>
      <c r="D26" s="343">
        <v>-9271.2000000000007</v>
      </c>
      <c r="E26" s="343">
        <f t="shared" si="6"/>
        <v>244812.6</v>
      </c>
      <c r="F26" s="724">
        <f>-218.8+90507.2</f>
        <v>90288.4</v>
      </c>
      <c r="G26" s="724">
        <v>-78.900000000000006</v>
      </c>
      <c r="H26" s="343">
        <v>176411</v>
      </c>
      <c r="I26" s="343">
        <f t="shared" si="7"/>
        <v>266620.5</v>
      </c>
      <c r="J26" s="724">
        <f>1599.3+14158.5</f>
        <v>15757.8</v>
      </c>
      <c r="K26" s="724">
        <v>134.80000000000001</v>
      </c>
      <c r="L26" s="724">
        <f t="shared" si="8"/>
        <v>15892.599999999999</v>
      </c>
      <c r="M26" s="724">
        <f>3729.4+712208.2</f>
        <v>715937.6</v>
      </c>
      <c r="N26" s="724">
        <v>67404.7</v>
      </c>
      <c r="O26" s="724">
        <f t="shared" si="9"/>
        <v>783342.29999999993</v>
      </c>
      <c r="P26" s="724">
        <f t="shared" si="10"/>
        <v>1065855.3999999999</v>
      </c>
      <c r="Q26" s="724">
        <v>-144771.6</v>
      </c>
      <c r="R26" s="724">
        <f t="shared" si="11"/>
        <v>921083.79999999993</v>
      </c>
      <c r="S26" s="724">
        <f t="shared" si="12"/>
        <v>1165896.3999999999</v>
      </c>
      <c r="T26" s="574" t="s">
        <v>815</v>
      </c>
      <c r="U26" s="343"/>
    </row>
    <row r="27" spans="1:21" s="388" customFormat="1" ht="10.35" customHeight="1">
      <c r="A27" s="491" t="s">
        <v>824</v>
      </c>
      <c r="B27" s="756">
        <f>242030+12307.1</f>
        <v>254337.1</v>
      </c>
      <c r="C27" s="756">
        <v>-62.1</v>
      </c>
      <c r="D27" s="427">
        <v>-9392</v>
      </c>
      <c r="E27" s="427">
        <f t="shared" si="6"/>
        <v>244883</v>
      </c>
      <c r="F27" s="756">
        <f>2900.4+81255.3</f>
        <v>84155.7</v>
      </c>
      <c r="G27" s="756">
        <v>-91.6</v>
      </c>
      <c r="H27" s="427">
        <v>180860.79999999999</v>
      </c>
      <c r="I27" s="427">
        <f t="shared" si="7"/>
        <v>264924.89999999997</v>
      </c>
      <c r="J27" s="756">
        <f>1600.9+14721.7</f>
        <v>16322.6</v>
      </c>
      <c r="K27" s="756">
        <v>147.30000000000001</v>
      </c>
      <c r="L27" s="756">
        <f t="shared" si="8"/>
        <v>16469.900000000001</v>
      </c>
      <c r="M27" s="756">
        <f>3729.3+722632.6</f>
        <v>726361.9</v>
      </c>
      <c r="N27" s="756">
        <v>68513.600000000006</v>
      </c>
      <c r="O27" s="756">
        <f t="shared" si="9"/>
        <v>794875.5</v>
      </c>
      <c r="P27" s="756">
        <f t="shared" si="10"/>
        <v>1076270.3</v>
      </c>
      <c r="Q27" s="756">
        <v>-143770.5</v>
      </c>
      <c r="R27" s="756">
        <f t="shared" si="11"/>
        <v>932499.8</v>
      </c>
      <c r="S27" s="756">
        <f t="shared" si="12"/>
        <v>1177382.8</v>
      </c>
      <c r="T27" s="538" t="s">
        <v>824</v>
      </c>
      <c r="U27" s="343"/>
    </row>
    <row r="28" spans="1:21" s="388" customFormat="1" ht="10.35" customHeight="1">
      <c r="A28" s="386" t="s">
        <v>825</v>
      </c>
      <c r="B28" s="724">
        <f>246330.1+11187.7</f>
        <v>257517.80000000002</v>
      </c>
      <c r="C28" s="724">
        <v>-62.1</v>
      </c>
      <c r="D28" s="343">
        <v>-9472.1</v>
      </c>
      <c r="E28" s="343">
        <f t="shared" si="6"/>
        <v>247983.6</v>
      </c>
      <c r="F28" s="724">
        <f>8419.9+74150.4</f>
        <v>82570.299999999988</v>
      </c>
      <c r="G28" s="724">
        <v>-86.7</v>
      </c>
      <c r="H28" s="343">
        <v>185730.1</v>
      </c>
      <c r="I28" s="343">
        <f t="shared" si="7"/>
        <v>268213.69999999995</v>
      </c>
      <c r="J28" s="724">
        <f>1900.7+14953</f>
        <v>16853.7</v>
      </c>
      <c r="K28" s="724">
        <v>144.1</v>
      </c>
      <c r="L28" s="724">
        <f t="shared" si="8"/>
        <v>16997.8</v>
      </c>
      <c r="M28" s="724">
        <f>3830.4+732454.7</f>
        <v>736285.1</v>
      </c>
      <c r="N28" s="724">
        <v>69618.7</v>
      </c>
      <c r="O28" s="724">
        <f t="shared" si="9"/>
        <v>805903.79999999993</v>
      </c>
      <c r="P28" s="724">
        <f t="shared" si="10"/>
        <v>1091115.2999999998</v>
      </c>
      <c r="Q28" s="724">
        <v>-148993</v>
      </c>
      <c r="R28" s="724">
        <f t="shared" si="11"/>
        <v>942122.29999999981</v>
      </c>
      <c r="S28" s="724">
        <f t="shared" si="12"/>
        <v>1190105.8999999999</v>
      </c>
      <c r="T28" s="574" t="s">
        <v>825</v>
      </c>
      <c r="U28" s="343"/>
    </row>
    <row r="29" spans="1:21" s="388" customFormat="1" ht="10.35" customHeight="1">
      <c r="A29" s="491" t="s">
        <v>816</v>
      </c>
      <c r="B29" s="756">
        <f>252027+14670</f>
        <v>266697</v>
      </c>
      <c r="C29" s="756">
        <v>-46.6</v>
      </c>
      <c r="D29" s="427">
        <v>-9534.1</v>
      </c>
      <c r="E29" s="427">
        <f t="shared" si="6"/>
        <v>257116.3</v>
      </c>
      <c r="F29" s="756">
        <f>12978.2+84329.4</f>
        <v>97307.599999999991</v>
      </c>
      <c r="G29" s="756">
        <v>-108.6</v>
      </c>
      <c r="H29" s="427">
        <v>191178.6</v>
      </c>
      <c r="I29" s="427">
        <f t="shared" si="7"/>
        <v>288377.59999999998</v>
      </c>
      <c r="J29" s="756">
        <f>1902.3+14841.9</f>
        <v>16744.2</v>
      </c>
      <c r="K29" s="756">
        <v>142.6</v>
      </c>
      <c r="L29" s="756">
        <f t="shared" si="8"/>
        <v>16886.8</v>
      </c>
      <c r="M29" s="756">
        <f>3822.1+749166.7</f>
        <v>752988.79999999993</v>
      </c>
      <c r="N29" s="756">
        <v>71394.7</v>
      </c>
      <c r="O29" s="756">
        <f t="shared" si="9"/>
        <v>824383.49999999988</v>
      </c>
      <c r="P29" s="756">
        <f t="shared" si="10"/>
        <v>1129647.8999999999</v>
      </c>
      <c r="Q29" s="756">
        <v>-153298.70000000001</v>
      </c>
      <c r="R29" s="756">
        <f t="shared" si="11"/>
        <v>976349.2</v>
      </c>
      <c r="S29" s="756">
        <f t="shared" si="12"/>
        <v>1233465.5</v>
      </c>
      <c r="T29" s="538" t="s">
        <v>816</v>
      </c>
      <c r="U29" s="343"/>
    </row>
    <row r="30" spans="1:21" s="388" customFormat="1" ht="10.35" customHeight="1">
      <c r="A30" s="843" t="s">
        <v>2268</v>
      </c>
      <c r="B30" s="844">
        <f>B42</f>
        <v>264674.5</v>
      </c>
      <c r="C30" s="844">
        <f t="shared" ref="C30:S30" si="13">C42</f>
        <v>-20.5</v>
      </c>
      <c r="D30" s="844">
        <f t="shared" si="13"/>
        <v>-11436.5</v>
      </c>
      <c r="E30" s="844">
        <f t="shared" si="13"/>
        <v>253217.5</v>
      </c>
      <c r="F30" s="844">
        <f t="shared" si="13"/>
        <v>94869.599999999991</v>
      </c>
      <c r="G30" s="844">
        <f t="shared" si="13"/>
        <v>-3111.6</v>
      </c>
      <c r="H30" s="844">
        <f t="shared" si="13"/>
        <v>237765</v>
      </c>
      <c r="I30" s="844">
        <f t="shared" si="13"/>
        <v>329523</v>
      </c>
      <c r="J30" s="844">
        <f t="shared" si="13"/>
        <v>11337.8</v>
      </c>
      <c r="K30" s="844">
        <f t="shared" si="13"/>
        <v>787.8</v>
      </c>
      <c r="L30" s="844">
        <f t="shared" si="13"/>
        <v>12125.599999999999</v>
      </c>
      <c r="M30" s="844">
        <f t="shared" si="13"/>
        <v>880749.5</v>
      </c>
      <c r="N30" s="844">
        <f t="shared" si="13"/>
        <v>89467</v>
      </c>
      <c r="O30" s="844">
        <f t="shared" si="13"/>
        <v>970216.5</v>
      </c>
      <c r="P30" s="844">
        <f t="shared" si="13"/>
        <v>1311865.1000000001</v>
      </c>
      <c r="Q30" s="844">
        <f t="shared" si="13"/>
        <v>-191334.1</v>
      </c>
      <c r="R30" s="844">
        <f t="shared" si="13"/>
        <v>1120531</v>
      </c>
      <c r="S30" s="844">
        <f t="shared" si="13"/>
        <v>1373748.5</v>
      </c>
      <c r="T30" s="845" t="s">
        <v>2268</v>
      </c>
      <c r="U30" s="343"/>
    </row>
    <row r="31" spans="1:21" s="388" customFormat="1" ht="10.35" customHeight="1">
      <c r="A31" s="491" t="s">
        <v>818</v>
      </c>
      <c r="B31" s="756">
        <f>251647.8+13105.2</f>
        <v>264753</v>
      </c>
      <c r="C31" s="756">
        <v>-46.6</v>
      </c>
      <c r="D31" s="427">
        <v>-9696.6</v>
      </c>
      <c r="E31" s="427">
        <f t="shared" si="6"/>
        <v>255009.8</v>
      </c>
      <c r="F31" s="756">
        <f>3564.5+91185.5</f>
        <v>94750</v>
      </c>
      <c r="G31" s="756">
        <v>-3639.4</v>
      </c>
      <c r="H31" s="427">
        <v>196288.2</v>
      </c>
      <c r="I31" s="427">
        <f t="shared" si="7"/>
        <v>287398.80000000005</v>
      </c>
      <c r="J31" s="756">
        <f>1896.1+10824.6</f>
        <v>12720.7</v>
      </c>
      <c r="K31" s="756">
        <v>2750.5</v>
      </c>
      <c r="L31" s="756">
        <f t="shared" si="8"/>
        <v>15471.2</v>
      </c>
      <c r="M31" s="756">
        <f>3779.9+750500.2</f>
        <v>754280.1</v>
      </c>
      <c r="N31" s="756">
        <v>81145.899999999994</v>
      </c>
      <c r="O31" s="756">
        <f t="shared" si="9"/>
        <v>835426</v>
      </c>
      <c r="P31" s="756">
        <f t="shared" si="10"/>
        <v>1138296</v>
      </c>
      <c r="Q31" s="756">
        <v>-160761.29999999999</v>
      </c>
      <c r="R31" s="756">
        <f t="shared" si="11"/>
        <v>977534.7</v>
      </c>
      <c r="S31" s="756">
        <f t="shared" si="12"/>
        <v>1232544.5</v>
      </c>
      <c r="T31" s="538" t="s">
        <v>818</v>
      </c>
      <c r="U31" s="343"/>
    </row>
    <row r="32" spans="1:21" s="388" customFormat="1" ht="10.35" customHeight="1">
      <c r="A32" s="386" t="s">
        <v>819</v>
      </c>
      <c r="B32" s="724">
        <f>251630.1+14305.2</f>
        <v>265935.3</v>
      </c>
      <c r="C32" s="724">
        <v>-46.6</v>
      </c>
      <c r="D32" s="343">
        <v>-9897.9</v>
      </c>
      <c r="E32" s="343">
        <f t="shared" si="6"/>
        <v>255990.8</v>
      </c>
      <c r="F32" s="724">
        <f>14699.8+86562.5</f>
        <v>101262.3</v>
      </c>
      <c r="G32" s="724">
        <v>-3621.7</v>
      </c>
      <c r="H32" s="343">
        <v>200263.3</v>
      </c>
      <c r="I32" s="343">
        <f t="shared" si="7"/>
        <v>297903.89999999997</v>
      </c>
      <c r="J32" s="724">
        <f>1597.8+8651.9</f>
        <v>10249.699999999999</v>
      </c>
      <c r="K32" s="724">
        <v>2750.4</v>
      </c>
      <c r="L32" s="724">
        <f t="shared" si="8"/>
        <v>13000.099999999999</v>
      </c>
      <c r="M32" s="724">
        <f>3710.4+763670.1</f>
        <v>767380.5</v>
      </c>
      <c r="N32" s="724">
        <v>82397.2</v>
      </c>
      <c r="O32" s="724">
        <f t="shared" si="9"/>
        <v>849777.7</v>
      </c>
      <c r="P32" s="724">
        <f t="shared" si="10"/>
        <v>1160681.7</v>
      </c>
      <c r="Q32" s="724">
        <v>-159571.9</v>
      </c>
      <c r="R32" s="724">
        <f t="shared" si="11"/>
        <v>1001109.7999999999</v>
      </c>
      <c r="S32" s="724">
        <f t="shared" si="12"/>
        <v>1257100.5999999999</v>
      </c>
      <c r="T32" s="574" t="s">
        <v>819</v>
      </c>
      <c r="U32" s="343"/>
    </row>
    <row r="33" spans="1:21" s="388" customFormat="1" ht="10.35" customHeight="1">
      <c r="A33" s="491" t="s">
        <v>813</v>
      </c>
      <c r="B33" s="756">
        <f>250809.7+12244.6</f>
        <v>263054.3</v>
      </c>
      <c r="C33" s="756">
        <v>-46.6</v>
      </c>
      <c r="D33" s="427">
        <v>-10073.6</v>
      </c>
      <c r="E33" s="427">
        <f t="shared" si="6"/>
        <v>252934.09999999998</v>
      </c>
      <c r="F33" s="756">
        <f>6694.8+87720.5</f>
        <v>94415.3</v>
      </c>
      <c r="G33" s="756">
        <v>-3317.9</v>
      </c>
      <c r="H33" s="427">
        <v>203929</v>
      </c>
      <c r="I33" s="427">
        <f t="shared" si="7"/>
        <v>295026.40000000002</v>
      </c>
      <c r="J33" s="756">
        <f>1599.3+8874.7</f>
        <v>10474</v>
      </c>
      <c r="K33" s="756">
        <v>817.5</v>
      </c>
      <c r="L33" s="756">
        <f t="shared" si="8"/>
        <v>11291.5</v>
      </c>
      <c r="M33" s="756">
        <f>3757.3+772927.3</f>
        <v>776684.60000000009</v>
      </c>
      <c r="N33" s="756">
        <v>83969.7</v>
      </c>
      <c r="O33" s="756">
        <f t="shared" si="9"/>
        <v>860654.3</v>
      </c>
      <c r="P33" s="756">
        <f t="shared" si="10"/>
        <v>1166972.2000000002</v>
      </c>
      <c r="Q33" s="756">
        <v>-162271.4</v>
      </c>
      <c r="R33" s="756">
        <f t="shared" si="11"/>
        <v>1004700.8000000002</v>
      </c>
      <c r="S33" s="756">
        <f t="shared" si="12"/>
        <v>1257634.9000000001</v>
      </c>
      <c r="T33" s="538" t="s">
        <v>813</v>
      </c>
      <c r="U33" s="343"/>
    </row>
    <row r="34" spans="1:21" s="388" customFormat="1" ht="10.35" customHeight="1">
      <c r="A34" s="386" t="s">
        <v>820</v>
      </c>
      <c r="B34" s="724">
        <f>251637.5+11537.9</f>
        <v>263175.40000000002</v>
      </c>
      <c r="C34" s="724">
        <v>-46.5</v>
      </c>
      <c r="D34" s="343">
        <v>-10206.6</v>
      </c>
      <c r="E34" s="343">
        <f t="shared" si="6"/>
        <v>252922.30000000002</v>
      </c>
      <c r="F34" s="724">
        <f>8497.3+83676.6</f>
        <v>92173.900000000009</v>
      </c>
      <c r="G34" s="724">
        <v>-3336.5</v>
      </c>
      <c r="H34" s="343">
        <v>208549.3</v>
      </c>
      <c r="I34" s="343">
        <f t="shared" si="7"/>
        <v>297386.7</v>
      </c>
      <c r="J34" s="724">
        <f>1600.7+8752.2</f>
        <v>10352.900000000001</v>
      </c>
      <c r="K34" s="724">
        <v>810.8</v>
      </c>
      <c r="L34" s="724">
        <f t="shared" si="8"/>
        <v>11163.7</v>
      </c>
      <c r="M34" s="724">
        <f>3781.8+784055.8</f>
        <v>787837.60000000009</v>
      </c>
      <c r="N34" s="724">
        <v>84920.9</v>
      </c>
      <c r="O34" s="724">
        <f t="shared" si="9"/>
        <v>872758.50000000012</v>
      </c>
      <c r="P34" s="724">
        <f t="shared" si="10"/>
        <v>1181308.9000000001</v>
      </c>
      <c r="Q34" s="724">
        <v>-168000.7</v>
      </c>
      <c r="R34" s="724">
        <f t="shared" si="11"/>
        <v>1013308.2000000002</v>
      </c>
      <c r="S34" s="724">
        <f t="shared" si="12"/>
        <v>1266230.5000000002</v>
      </c>
      <c r="T34" s="574" t="s">
        <v>820</v>
      </c>
      <c r="U34" s="343"/>
    </row>
    <row r="35" spans="1:21" s="388" customFormat="1" ht="10.35" customHeight="1">
      <c r="A35" s="491" t="s">
        <v>821</v>
      </c>
      <c r="B35" s="756">
        <f>252830+9708.5</f>
        <v>262538.5</v>
      </c>
      <c r="C35" s="756">
        <v>-46.6</v>
      </c>
      <c r="D35" s="427">
        <v>-10838.1</v>
      </c>
      <c r="E35" s="427">
        <f t="shared" si="6"/>
        <v>251653.8</v>
      </c>
      <c r="F35" s="756">
        <f>8979.1+83600.7</f>
        <v>92579.8</v>
      </c>
      <c r="G35" s="756">
        <v>-3339.7</v>
      </c>
      <c r="H35" s="427">
        <v>220197.9</v>
      </c>
      <c r="I35" s="427">
        <f t="shared" si="7"/>
        <v>309438</v>
      </c>
      <c r="J35" s="756">
        <f>1602.3+8945</f>
        <v>10547.3</v>
      </c>
      <c r="K35" s="756">
        <v>811.8</v>
      </c>
      <c r="L35" s="756">
        <f t="shared" si="8"/>
        <v>11359.099999999999</v>
      </c>
      <c r="M35" s="756">
        <f>3801.4+797666.7</f>
        <v>801468.1</v>
      </c>
      <c r="N35" s="756">
        <v>86102.9</v>
      </c>
      <c r="O35" s="756">
        <f t="shared" si="9"/>
        <v>887571</v>
      </c>
      <c r="P35" s="756">
        <f t="shared" si="10"/>
        <v>1208368.1000000001</v>
      </c>
      <c r="Q35" s="756">
        <v>-175388.1</v>
      </c>
      <c r="R35" s="756">
        <f t="shared" si="11"/>
        <v>1032980.0000000001</v>
      </c>
      <c r="S35" s="756">
        <f t="shared" si="12"/>
        <v>1284633.8</v>
      </c>
      <c r="T35" s="538" t="s">
        <v>821</v>
      </c>
      <c r="U35" s="343"/>
    </row>
    <row r="36" spans="1:21" s="388" customFormat="1" ht="10.35" customHeight="1">
      <c r="A36" s="386" t="s">
        <v>814</v>
      </c>
      <c r="B36" s="724">
        <f>253497.7+10526.1</f>
        <v>264023.8</v>
      </c>
      <c r="C36" s="724">
        <v>-31.1</v>
      </c>
      <c r="D36" s="343">
        <v>-10487.9</v>
      </c>
      <c r="E36" s="343">
        <f t="shared" si="6"/>
        <v>253504.8</v>
      </c>
      <c r="F36" s="724">
        <f>9238.6+78018.3</f>
        <v>87256.900000000009</v>
      </c>
      <c r="G36" s="724">
        <v>-3130.6</v>
      </c>
      <c r="H36" s="343">
        <v>215058.2</v>
      </c>
      <c r="I36" s="343">
        <f t="shared" si="7"/>
        <v>299184.5</v>
      </c>
      <c r="J36" s="724">
        <f>1604+9305.1</f>
        <v>10909.1</v>
      </c>
      <c r="K36" s="724">
        <v>823.4</v>
      </c>
      <c r="L36" s="724">
        <f t="shared" si="8"/>
        <v>11732.5</v>
      </c>
      <c r="M36" s="724">
        <f>3932.2+815933.3</f>
        <v>819865.5</v>
      </c>
      <c r="N36" s="724">
        <v>87357.8</v>
      </c>
      <c r="O36" s="724">
        <f t="shared" si="9"/>
        <v>907223.3</v>
      </c>
      <c r="P36" s="724">
        <f t="shared" si="10"/>
        <v>1218140.3</v>
      </c>
      <c r="Q36" s="724">
        <v>-175058.3</v>
      </c>
      <c r="R36" s="724">
        <f t="shared" si="11"/>
        <v>1043082</v>
      </c>
      <c r="S36" s="724">
        <f t="shared" si="12"/>
        <v>1296586.8</v>
      </c>
      <c r="T36" s="574" t="s">
        <v>814</v>
      </c>
      <c r="U36" s="343"/>
    </row>
    <row r="37" spans="1:21" s="388" customFormat="1" ht="10.35" customHeight="1">
      <c r="A37" s="491" t="s">
        <v>822</v>
      </c>
      <c r="B37" s="756">
        <f>253560.4+9127.9</f>
        <v>262688.3</v>
      </c>
      <c r="C37" s="756">
        <v>-31</v>
      </c>
      <c r="D37" s="427">
        <v>-10838.1</v>
      </c>
      <c r="E37" s="427">
        <f t="shared" si="6"/>
        <v>251819.19999999998</v>
      </c>
      <c r="F37" s="756">
        <f>7367.2+73657.3</f>
        <v>81024.5</v>
      </c>
      <c r="G37" s="756">
        <v>-3139.3</v>
      </c>
      <c r="H37" s="427">
        <v>220197.9</v>
      </c>
      <c r="I37" s="427">
        <f t="shared" si="7"/>
        <v>298083.09999999998</v>
      </c>
      <c r="J37" s="756">
        <f>1596.2+9026.7</f>
        <v>10622.900000000001</v>
      </c>
      <c r="K37" s="756">
        <v>805</v>
      </c>
      <c r="L37" s="756">
        <f t="shared" si="8"/>
        <v>11427.900000000001</v>
      </c>
      <c r="M37" s="756">
        <f>3950.3+821288.8</f>
        <v>825239.10000000009</v>
      </c>
      <c r="N37" s="756">
        <v>88481.3</v>
      </c>
      <c r="O37" s="756">
        <f t="shared" si="9"/>
        <v>913720.40000000014</v>
      </c>
      <c r="P37" s="756">
        <f t="shared" si="10"/>
        <v>1223231.4000000001</v>
      </c>
      <c r="Q37" s="756">
        <v>-181826.2</v>
      </c>
      <c r="R37" s="756">
        <f t="shared" si="11"/>
        <v>1041405.2000000002</v>
      </c>
      <c r="S37" s="756">
        <f t="shared" si="12"/>
        <v>1293224.4000000001</v>
      </c>
      <c r="T37" s="538" t="s">
        <v>822</v>
      </c>
      <c r="U37" s="343"/>
    </row>
    <row r="38" spans="1:21" s="388" customFormat="1" ht="10.35" customHeight="1">
      <c r="A38" s="386" t="s">
        <v>823</v>
      </c>
      <c r="B38" s="724">
        <f>253570.9+8786</f>
        <v>262356.90000000002</v>
      </c>
      <c r="C38" s="724">
        <v>-31</v>
      </c>
      <c r="D38" s="343">
        <v>-11018.1</v>
      </c>
      <c r="E38" s="343">
        <f t="shared" si="6"/>
        <v>251307.80000000002</v>
      </c>
      <c r="F38" s="724">
        <f>7078.4+67967.6</f>
        <v>75046</v>
      </c>
      <c r="G38" s="724">
        <v>-3141.9</v>
      </c>
      <c r="H38" s="343">
        <v>224354.4</v>
      </c>
      <c r="I38" s="343">
        <f t="shared" si="7"/>
        <v>296258.5</v>
      </c>
      <c r="J38" s="724">
        <f>1597.8+9333.1</f>
        <v>10930.9</v>
      </c>
      <c r="K38" s="724">
        <v>817.8</v>
      </c>
      <c r="L38" s="724">
        <f t="shared" si="8"/>
        <v>11748.699999999999</v>
      </c>
      <c r="M38" s="724">
        <f>3909.8+832737.9</f>
        <v>836647.70000000007</v>
      </c>
      <c r="N38" s="724">
        <v>88864.7</v>
      </c>
      <c r="O38" s="724">
        <f t="shared" si="9"/>
        <v>925512.4</v>
      </c>
      <c r="P38" s="724">
        <f t="shared" si="10"/>
        <v>1233519.6000000001</v>
      </c>
      <c r="Q38" s="724">
        <v>-184621.5</v>
      </c>
      <c r="R38" s="724">
        <f t="shared" si="11"/>
        <v>1048898.1000000001</v>
      </c>
      <c r="S38" s="724">
        <f t="shared" si="12"/>
        <v>1300205.9000000001</v>
      </c>
      <c r="T38" s="574" t="s">
        <v>823</v>
      </c>
      <c r="U38" s="343"/>
    </row>
    <row r="39" spans="1:21" s="388" customFormat="1" ht="10.35" customHeight="1">
      <c r="A39" s="491" t="s">
        <v>815</v>
      </c>
      <c r="B39" s="756">
        <f>252905.8+10165.6</f>
        <v>263071.39999999997</v>
      </c>
      <c r="C39" s="756">
        <v>-31.1</v>
      </c>
      <c r="D39" s="427">
        <v>-11069.1</v>
      </c>
      <c r="E39" s="427">
        <f t="shared" si="6"/>
        <v>251971.19999999995</v>
      </c>
      <c r="F39" s="756">
        <f>10068.4+64485.2</f>
        <v>74553.599999999991</v>
      </c>
      <c r="G39" s="756">
        <v>-3133.4</v>
      </c>
      <c r="H39" s="427">
        <v>227943.7</v>
      </c>
      <c r="I39" s="427">
        <f t="shared" si="7"/>
        <v>299363.90000000002</v>
      </c>
      <c r="J39" s="756">
        <f>1599.4+9162.3</f>
        <v>10761.699999999999</v>
      </c>
      <c r="K39" s="756">
        <v>814.8</v>
      </c>
      <c r="L39" s="756">
        <f t="shared" si="8"/>
        <v>11576.499999999998</v>
      </c>
      <c r="M39" s="756">
        <f>3984.1+842193.5</f>
        <v>846177.6</v>
      </c>
      <c r="N39" s="756">
        <v>88558.8</v>
      </c>
      <c r="O39" s="756">
        <f t="shared" si="9"/>
        <v>934736.4</v>
      </c>
      <c r="P39" s="756">
        <f t="shared" si="10"/>
        <v>1245676.8</v>
      </c>
      <c r="Q39" s="756">
        <v>-189272.8</v>
      </c>
      <c r="R39" s="756">
        <f t="shared" si="11"/>
        <v>1056404</v>
      </c>
      <c r="S39" s="756">
        <f t="shared" si="12"/>
        <v>1308375.2</v>
      </c>
      <c r="T39" s="538" t="s">
        <v>815</v>
      </c>
      <c r="U39" s="343"/>
    </row>
    <row r="40" spans="1:21" s="388" customFormat="1" ht="10.35" customHeight="1">
      <c r="A40" s="386" t="s">
        <v>824</v>
      </c>
      <c r="B40" s="724">
        <f>251317+7482.2</f>
        <v>258799.2</v>
      </c>
      <c r="C40" s="724">
        <v>-31</v>
      </c>
      <c r="D40" s="343">
        <v>-11211.4</v>
      </c>
      <c r="E40" s="343">
        <f t="shared" si="6"/>
        <v>247556.80000000002</v>
      </c>
      <c r="F40" s="724">
        <f>10370.6+61246.3</f>
        <v>71616.900000000009</v>
      </c>
      <c r="G40" s="724">
        <v>-3204.9</v>
      </c>
      <c r="H40" s="343">
        <v>231297.9</v>
      </c>
      <c r="I40" s="343">
        <f t="shared" si="7"/>
        <v>299709.90000000002</v>
      </c>
      <c r="J40" s="724">
        <f>1601.1+10164.2</f>
        <v>11765.300000000001</v>
      </c>
      <c r="K40" s="724">
        <v>796.8</v>
      </c>
      <c r="L40" s="724">
        <f t="shared" si="8"/>
        <v>12562.1</v>
      </c>
      <c r="M40" s="724">
        <f>4011.1+851215.4</f>
        <v>855226.5</v>
      </c>
      <c r="N40" s="724">
        <v>88887.8</v>
      </c>
      <c r="O40" s="724">
        <f t="shared" si="9"/>
        <v>944114.3</v>
      </c>
      <c r="P40" s="724">
        <f t="shared" si="10"/>
        <v>1256386.3</v>
      </c>
      <c r="Q40" s="724">
        <v>-186921.1</v>
      </c>
      <c r="R40" s="724">
        <f t="shared" si="11"/>
        <v>1069465.2</v>
      </c>
      <c r="S40" s="724">
        <f t="shared" si="12"/>
        <v>1317022</v>
      </c>
      <c r="T40" s="574" t="s">
        <v>824</v>
      </c>
      <c r="U40" s="343"/>
    </row>
    <row r="41" spans="1:21" s="388" customFormat="1" ht="10.35" customHeight="1">
      <c r="A41" s="491" t="s">
        <v>825</v>
      </c>
      <c r="B41" s="756">
        <f>252375.2+8685.9</f>
        <v>261061.1</v>
      </c>
      <c r="C41" s="756">
        <v>-31</v>
      </c>
      <c r="D41" s="427">
        <v>-11349</v>
      </c>
      <c r="E41" s="427">
        <f t="shared" si="6"/>
        <v>249681.1</v>
      </c>
      <c r="F41" s="756">
        <f>10663.6+66005.1</f>
        <v>76668.700000000012</v>
      </c>
      <c r="G41" s="756">
        <v>-4002.6</v>
      </c>
      <c r="H41" s="427">
        <v>234598.5</v>
      </c>
      <c r="I41" s="427">
        <f t="shared" si="7"/>
        <v>307264.59999999998</v>
      </c>
      <c r="J41" s="756">
        <f>1602.7+10228.1</f>
        <v>11830.800000000001</v>
      </c>
      <c r="K41" s="756">
        <v>783.8</v>
      </c>
      <c r="L41" s="756">
        <f t="shared" si="8"/>
        <v>12614.6</v>
      </c>
      <c r="M41" s="756">
        <f>4046.1+861827.2</f>
        <v>865873.29999999993</v>
      </c>
      <c r="N41" s="756">
        <v>89498.7</v>
      </c>
      <c r="O41" s="756">
        <f t="shared" si="9"/>
        <v>955371.99999999988</v>
      </c>
      <c r="P41" s="756">
        <f t="shared" si="10"/>
        <v>1275251.1999999997</v>
      </c>
      <c r="Q41" s="756">
        <v>-185228.79999999999</v>
      </c>
      <c r="R41" s="756">
        <f t="shared" si="11"/>
        <v>1090022.3999999997</v>
      </c>
      <c r="S41" s="756">
        <f t="shared" si="12"/>
        <v>1339703.4999999998</v>
      </c>
      <c r="T41" s="538" t="s">
        <v>825</v>
      </c>
      <c r="U41" s="343"/>
    </row>
    <row r="42" spans="1:21" s="388" customFormat="1" ht="10.35" customHeight="1">
      <c r="A42" s="386" t="s">
        <v>816</v>
      </c>
      <c r="B42" s="724">
        <f>253509.9+11164.6</f>
        <v>264674.5</v>
      </c>
      <c r="C42" s="724">
        <v>-20.5</v>
      </c>
      <c r="D42" s="343">
        <v>-11436.5</v>
      </c>
      <c r="E42" s="343">
        <f t="shared" si="6"/>
        <v>253217.5</v>
      </c>
      <c r="F42" s="724">
        <f>22572.2+72297.4</f>
        <v>94869.599999999991</v>
      </c>
      <c r="G42" s="724">
        <v>-3111.6</v>
      </c>
      <c r="H42" s="343">
        <v>237765</v>
      </c>
      <c r="I42" s="343">
        <f t="shared" si="7"/>
        <v>329523</v>
      </c>
      <c r="J42" s="724">
        <f>1604.3+9733.5</f>
        <v>11337.8</v>
      </c>
      <c r="K42" s="724">
        <v>787.8</v>
      </c>
      <c r="L42" s="724">
        <f t="shared" si="8"/>
        <v>12125.599999999999</v>
      </c>
      <c r="M42" s="724">
        <f>4152.2+876597.3</f>
        <v>880749.5</v>
      </c>
      <c r="N42" s="724">
        <v>89467</v>
      </c>
      <c r="O42" s="724">
        <f t="shared" si="9"/>
        <v>970216.5</v>
      </c>
      <c r="P42" s="724">
        <f t="shared" si="10"/>
        <v>1311865.1000000001</v>
      </c>
      <c r="Q42" s="724">
        <v>-191334.1</v>
      </c>
      <c r="R42" s="724">
        <f t="shared" si="11"/>
        <v>1120531</v>
      </c>
      <c r="S42" s="724">
        <f t="shared" si="12"/>
        <v>1373748.5</v>
      </c>
      <c r="T42" s="574" t="s">
        <v>816</v>
      </c>
      <c r="U42" s="343"/>
    </row>
    <row r="43" spans="1:21" s="388" customFormat="1" ht="10.35" customHeight="1">
      <c r="A43" s="548" t="s">
        <v>2524</v>
      </c>
      <c r="B43" s="756"/>
      <c r="C43" s="756"/>
      <c r="D43" s="427"/>
      <c r="E43" s="427"/>
      <c r="F43" s="756"/>
      <c r="G43" s="756"/>
      <c r="H43" s="427"/>
      <c r="I43" s="427"/>
      <c r="J43" s="756"/>
      <c r="K43" s="756"/>
      <c r="L43" s="756"/>
      <c r="M43" s="756"/>
      <c r="N43" s="756"/>
      <c r="O43" s="756"/>
      <c r="P43" s="756"/>
      <c r="Q43" s="756"/>
      <c r="R43" s="756"/>
      <c r="S43" s="756"/>
      <c r="T43" s="549" t="s">
        <v>2524</v>
      </c>
      <c r="U43" s="343"/>
    </row>
    <row r="44" spans="1:21" s="388" customFormat="1" ht="10.35" customHeight="1">
      <c r="A44" s="386" t="s">
        <v>818</v>
      </c>
      <c r="B44" s="724">
        <f>251973.1+11327.6</f>
        <v>263300.7</v>
      </c>
      <c r="C44" s="724">
        <v>-20.5</v>
      </c>
      <c r="D44" s="343">
        <v>-11623.5</v>
      </c>
      <c r="E44" s="343">
        <f t="shared" si="6"/>
        <v>251656.7</v>
      </c>
      <c r="F44" s="724">
        <f>12131.7+85040</f>
        <v>97171.7</v>
      </c>
      <c r="G44" s="724">
        <v>-3154.5</v>
      </c>
      <c r="H44" s="343">
        <v>242800.7</v>
      </c>
      <c r="I44" s="343">
        <f t="shared" si="7"/>
        <v>336817.9</v>
      </c>
      <c r="J44" s="724">
        <f>1596.2+9946.9</f>
        <v>11543.1</v>
      </c>
      <c r="K44" s="724">
        <v>788.1</v>
      </c>
      <c r="L44" s="724">
        <f t="shared" si="8"/>
        <v>12331.2</v>
      </c>
      <c r="M44" s="724">
        <f>4119.1+870520</f>
        <v>874639.1</v>
      </c>
      <c r="N44" s="724">
        <v>88902.5</v>
      </c>
      <c r="O44" s="724">
        <f t="shared" si="9"/>
        <v>963541.6</v>
      </c>
      <c r="P44" s="724">
        <f t="shared" si="10"/>
        <v>1312690.7</v>
      </c>
      <c r="Q44" s="724">
        <v>-189656.9</v>
      </c>
      <c r="R44" s="724">
        <f t="shared" si="11"/>
        <v>1123033.8</v>
      </c>
      <c r="S44" s="343">
        <f t="shared" si="12"/>
        <v>1374690.5</v>
      </c>
      <c r="T44" s="574" t="s">
        <v>818</v>
      </c>
      <c r="U44" s="343"/>
    </row>
    <row r="45" spans="1:21" ht="10.35" customHeight="1">
      <c r="A45" s="491" t="s">
        <v>819</v>
      </c>
      <c r="B45" s="756">
        <f>254675.2+12613.9</f>
        <v>267289.10000000003</v>
      </c>
      <c r="C45" s="756">
        <v>-15.5</v>
      </c>
      <c r="D45" s="427">
        <v>-11712.5</v>
      </c>
      <c r="E45" s="427">
        <f t="shared" si="6"/>
        <v>255561.10000000003</v>
      </c>
      <c r="F45" s="756">
        <f>17116.9+84549.3</f>
        <v>101666.20000000001</v>
      </c>
      <c r="G45" s="756">
        <v>-3250.7</v>
      </c>
      <c r="H45" s="427">
        <v>246822.2</v>
      </c>
      <c r="I45" s="427">
        <f t="shared" si="7"/>
        <v>345237.7</v>
      </c>
      <c r="J45" s="756">
        <f>1597.8+9812.7</f>
        <v>11410.5</v>
      </c>
      <c r="K45" s="756">
        <v>783.4</v>
      </c>
      <c r="L45" s="756">
        <f t="shared" si="8"/>
        <v>12193.9</v>
      </c>
      <c r="M45" s="756">
        <f>4103.3+880066.1</f>
        <v>884169.4</v>
      </c>
      <c r="N45" s="756">
        <v>88786</v>
      </c>
      <c r="O45" s="756">
        <f t="shared" si="9"/>
        <v>972955.4</v>
      </c>
      <c r="P45" s="427">
        <f t="shared" si="10"/>
        <v>1330387</v>
      </c>
      <c r="Q45" s="427">
        <v>-189024.7</v>
      </c>
      <c r="R45" s="756">
        <f t="shared" si="11"/>
        <v>1141362.3</v>
      </c>
      <c r="S45" s="756">
        <f t="shared" si="12"/>
        <v>1396923.4000000001</v>
      </c>
      <c r="T45" s="538" t="s">
        <v>819</v>
      </c>
      <c r="U45" s="269"/>
    </row>
    <row r="46" spans="1:21" ht="10.35" customHeight="1">
      <c r="A46" s="386" t="s">
        <v>813</v>
      </c>
      <c r="B46" s="724">
        <f>251729.4+13507.3</f>
        <v>265236.7</v>
      </c>
      <c r="C46" s="724">
        <v>-15.5</v>
      </c>
      <c r="D46" s="343">
        <v>-11807.6</v>
      </c>
      <c r="E46" s="343">
        <f t="shared" si="6"/>
        <v>253413.6</v>
      </c>
      <c r="F46" s="724">
        <f>10446.5+85226.7</f>
        <v>95673.2</v>
      </c>
      <c r="G46" s="724">
        <v>-3249.3</v>
      </c>
      <c r="H46" s="343">
        <v>251177</v>
      </c>
      <c r="I46" s="343">
        <f t="shared" si="7"/>
        <v>343600.9</v>
      </c>
      <c r="J46" s="724">
        <f>1599.3+10042.8</f>
        <v>11642.099999999999</v>
      </c>
      <c r="K46" s="724">
        <v>780.9</v>
      </c>
      <c r="L46" s="724">
        <f t="shared" si="8"/>
        <v>12422.999999999998</v>
      </c>
      <c r="M46" s="724">
        <f>4057+888313.8</f>
        <v>892370.8</v>
      </c>
      <c r="N46" s="724">
        <v>89280.6</v>
      </c>
      <c r="O46" s="724">
        <f t="shared" si="9"/>
        <v>981651.4</v>
      </c>
      <c r="P46" s="343">
        <f t="shared" si="10"/>
        <v>1337675.3</v>
      </c>
      <c r="Q46" s="343">
        <v>-194276.8</v>
      </c>
      <c r="R46" s="343">
        <f t="shared" si="11"/>
        <v>1143398.5</v>
      </c>
      <c r="S46" s="343">
        <f t="shared" si="12"/>
        <v>1396812.1</v>
      </c>
      <c r="T46" s="574" t="s">
        <v>813</v>
      </c>
      <c r="U46" s="269"/>
    </row>
    <row r="47" spans="1:21" ht="10.35" customHeight="1">
      <c r="A47" s="491" t="s">
        <v>820</v>
      </c>
      <c r="B47" s="756">
        <f>248150.4+12242.9</f>
        <v>260393.3</v>
      </c>
      <c r="C47" s="756">
        <v>-15.5</v>
      </c>
      <c r="D47" s="427">
        <v>-11910.1</v>
      </c>
      <c r="E47" s="427">
        <f t="shared" si="6"/>
        <v>248467.69999999998</v>
      </c>
      <c r="F47" s="756">
        <f>14507.2+81151.7</f>
        <v>95658.9</v>
      </c>
      <c r="G47" s="756">
        <v>-2776.5</v>
      </c>
      <c r="H47" s="427">
        <v>255593.8</v>
      </c>
      <c r="I47" s="427">
        <f t="shared" si="7"/>
        <v>348476.19999999995</v>
      </c>
      <c r="J47" s="756">
        <f>1601.1+10562.3</f>
        <v>12163.4</v>
      </c>
      <c r="K47" s="756">
        <v>782.2</v>
      </c>
      <c r="L47" s="756">
        <f t="shared" si="8"/>
        <v>12945.6</v>
      </c>
      <c r="M47" s="756">
        <f>4026.9+901582.3</f>
        <v>905609.20000000007</v>
      </c>
      <c r="N47" s="756">
        <v>89794.3</v>
      </c>
      <c r="O47" s="756">
        <f t="shared" si="9"/>
        <v>995403.50000000012</v>
      </c>
      <c r="P47" s="756">
        <f t="shared" si="10"/>
        <v>1356825.3</v>
      </c>
      <c r="Q47" s="427">
        <v>-197398.1</v>
      </c>
      <c r="R47" s="427">
        <f t="shared" si="11"/>
        <v>1159427.2</v>
      </c>
      <c r="S47" s="427">
        <f t="shared" si="12"/>
        <v>1407894.9</v>
      </c>
      <c r="T47" s="538" t="s">
        <v>820</v>
      </c>
      <c r="U47" s="269"/>
    </row>
    <row r="48" spans="1:21" ht="10.35" customHeight="1">
      <c r="A48" s="386" t="s">
        <v>821</v>
      </c>
      <c r="B48" s="724">
        <f>245304.3+12402.6</f>
        <v>257706.9</v>
      </c>
      <c r="C48" s="724">
        <v>-15.5</v>
      </c>
      <c r="D48" s="343">
        <v>-12028.5</v>
      </c>
      <c r="E48" s="343">
        <f t="shared" si="6"/>
        <v>245662.9</v>
      </c>
      <c r="F48" s="724">
        <f>15583.1+82178.2</f>
        <v>97761.3</v>
      </c>
      <c r="G48" s="724">
        <v>-2735.5</v>
      </c>
      <c r="H48" s="343">
        <v>259426.9</v>
      </c>
      <c r="I48" s="343">
        <f t="shared" si="7"/>
        <v>354452.7</v>
      </c>
      <c r="J48" s="724">
        <f>1602.7+11319.7</f>
        <v>12922.400000000001</v>
      </c>
      <c r="K48" s="724">
        <v>841.7</v>
      </c>
      <c r="L48" s="724">
        <f t="shared" si="8"/>
        <v>13764.100000000002</v>
      </c>
      <c r="M48" s="724">
        <f>4010.3+911689.9</f>
        <v>915700.20000000007</v>
      </c>
      <c r="N48" s="724">
        <v>90666.2</v>
      </c>
      <c r="O48" s="724">
        <f t="shared" si="9"/>
        <v>1006366.4</v>
      </c>
      <c r="P48" s="724">
        <f t="shared" si="10"/>
        <v>1374583.2</v>
      </c>
      <c r="Q48" s="343">
        <v>-202666.5</v>
      </c>
      <c r="R48" s="343">
        <f t="shared" si="11"/>
        <v>1171916.7</v>
      </c>
      <c r="S48" s="343">
        <f t="shared" si="12"/>
        <v>1417579.5999999999</v>
      </c>
      <c r="T48" s="574" t="s">
        <v>821</v>
      </c>
      <c r="U48" s="269"/>
    </row>
    <row r="49" spans="1:21" ht="10.35" customHeight="1">
      <c r="A49" s="491" t="s">
        <v>814</v>
      </c>
      <c r="B49" s="756">
        <f>247691.7+17008.5</f>
        <v>264700.2</v>
      </c>
      <c r="C49" s="756">
        <v>0</v>
      </c>
      <c r="D49" s="427">
        <v>-11995.8</v>
      </c>
      <c r="E49" s="427">
        <f t="shared" si="6"/>
        <v>252704.40000000002</v>
      </c>
      <c r="F49" s="756">
        <f>21067.4+77062.5</f>
        <v>98129.9</v>
      </c>
      <c r="G49" s="756">
        <v>-2709.8</v>
      </c>
      <c r="H49" s="427">
        <v>262758.59999999998</v>
      </c>
      <c r="I49" s="427">
        <f t="shared" si="7"/>
        <v>358178.69999999995</v>
      </c>
      <c r="J49" s="756">
        <f>1604.4+12212.5</f>
        <v>13816.9</v>
      </c>
      <c r="K49" s="756">
        <v>1236</v>
      </c>
      <c r="L49" s="756">
        <f t="shared" si="8"/>
        <v>15052.9</v>
      </c>
      <c r="M49" s="756">
        <f>4061.8+928364.2</f>
        <v>932426</v>
      </c>
      <c r="N49" s="756">
        <v>91704.2</v>
      </c>
      <c r="O49" s="756">
        <f t="shared" si="9"/>
        <v>1024130.2</v>
      </c>
      <c r="P49" s="724">
        <f t="shared" si="10"/>
        <v>1397361.7999999998</v>
      </c>
      <c r="Q49" s="427">
        <v>-204765.4</v>
      </c>
      <c r="R49" s="343">
        <f t="shared" ref="R49:R50" si="14">P49+Q49</f>
        <v>1192596.3999999999</v>
      </c>
      <c r="S49" s="343">
        <f t="shared" ref="S49:S50" si="15">E49+R49</f>
        <v>1445300.7999999998</v>
      </c>
      <c r="T49" s="538" t="s">
        <v>814</v>
      </c>
      <c r="U49" s="269"/>
    </row>
    <row r="50" spans="1:21" ht="10.35" customHeight="1">
      <c r="A50" s="386" t="s">
        <v>822</v>
      </c>
      <c r="B50" s="724">
        <f>245563.2+13415.6</f>
        <v>258978.80000000002</v>
      </c>
      <c r="C50" s="724">
        <v>-164.9</v>
      </c>
      <c r="D50" s="343">
        <v>-12104.9</v>
      </c>
      <c r="E50" s="343">
        <f t="shared" si="6"/>
        <v>246709.00000000003</v>
      </c>
      <c r="F50" s="724">
        <f>17669.8+81236.8</f>
        <v>98906.6</v>
      </c>
      <c r="G50" s="724">
        <v>-2716.4</v>
      </c>
      <c r="H50" s="343">
        <v>268761.40000000002</v>
      </c>
      <c r="I50" s="343">
        <f t="shared" si="7"/>
        <v>364951.6</v>
      </c>
      <c r="J50" s="724">
        <f>1594.5+13011.6</f>
        <v>14606.1</v>
      </c>
      <c r="K50" s="724">
        <v>1233.9000000000001</v>
      </c>
      <c r="L50" s="724">
        <f t="shared" si="8"/>
        <v>15840</v>
      </c>
      <c r="M50" s="724">
        <f>4017.9+932969.8</f>
        <v>936987.70000000007</v>
      </c>
      <c r="N50" s="724">
        <v>92816.2</v>
      </c>
      <c r="O50" s="724">
        <f t="shared" si="9"/>
        <v>1029803.9</v>
      </c>
      <c r="P50" s="724">
        <f t="shared" si="10"/>
        <v>1410595.5</v>
      </c>
      <c r="Q50" s="724">
        <v>-206821.4</v>
      </c>
      <c r="R50" s="343">
        <f t="shared" si="14"/>
        <v>1203774.1000000001</v>
      </c>
      <c r="S50" s="343">
        <f t="shared" si="15"/>
        <v>1450483.1</v>
      </c>
      <c r="T50" s="574" t="s">
        <v>822</v>
      </c>
      <c r="U50" s="269"/>
    </row>
    <row r="51" spans="1:21" ht="10.35" customHeight="1">
      <c r="A51" s="491" t="s">
        <v>823</v>
      </c>
      <c r="B51" s="756">
        <f>250320.8+15120.6</f>
        <v>265441.39999999997</v>
      </c>
      <c r="C51" s="756">
        <v>-164.9</v>
      </c>
      <c r="D51" s="427">
        <v>-12197.6</v>
      </c>
      <c r="E51" s="427">
        <f t="shared" si="6"/>
        <v>253078.89999999997</v>
      </c>
      <c r="F51" s="756">
        <f>13370.8+79549.7</f>
        <v>92920.5</v>
      </c>
      <c r="G51" s="756">
        <v>-2724.7</v>
      </c>
      <c r="H51" s="427">
        <v>273367.5</v>
      </c>
      <c r="I51" s="427">
        <f t="shared" si="7"/>
        <v>363563.3</v>
      </c>
      <c r="J51" s="756">
        <f>1597.8+12874.1</f>
        <v>14471.9</v>
      </c>
      <c r="K51" s="756">
        <v>1238.5</v>
      </c>
      <c r="L51" s="756">
        <f t="shared" si="8"/>
        <v>15710.4</v>
      </c>
      <c r="M51" s="756">
        <f>3909.2+940855.8</f>
        <v>944765</v>
      </c>
      <c r="N51" s="756">
        <v>93126.8</v>
      </c>
      <c r="O51" s="756">
        <f t="shared" si="9"/>
        <v>1037891.8</v>
      </c>
      <c r="P51" s="756">
        <f t="shared" si="10"/>
        <v>1417165.5</v>
      </c>
      <c r="Q51" s="756">
        <v>-208046.8</v>
      </c>
      <c r="R51" s="343">
        <f t="shared" ref="R51" si="16">P51+Q51</f>
        <v>1209118.7</v>
      </c>
      <c r="S51" s="343">
        <f t="shared" ref="S51" si="17">E51+R51</f>
        <v>1462197.5999999999</v>
      </c>
      <c r="T51" s="538" t="s">
        <v>823</v>
      </c>
      <c r="U51" s="269"/>
    </row>
    <row r="52" spans="1:21" ht="10.35" customHeight="1">
      <c r="A52" s="386" t="s">
        <v>815</v>
      </c>
      <c r="B52" s="724">
        <f>251391.3+18081.8</f>
        <v>269473.09999999998</v>
      </c>
      <c r="C52" s="724">
        <v>-164.9</v>
      </c>
      <c r="D52" s="343">
        <v>-12331.1</v>
      </c>
      <c r="E52" s="343">
        <f t="shared" si="6"/>
        <v>256977.09999999998</v>
      </c>
      <c r="F52" s="724">
        <f>11760.6+80727.4</f>
        <v>92488</v>
      </c>
      <c r="G52" s="724">
        <v>-2692.3</v>
      </c>
      <c r="H52" s="343">
        <v>277498.2</v>
      </c>
      <c r="I52" s="343">
        <f t="shared" si="7"/>
        <v>367293.9</v>
      </c>
      <c r="J52" s="724">
        <f>1597.8+12886.9</f>
        <v>14484.699999999999</v>
      </c>
      <c r="K52" s="724">
        <v>1236.7</v>
      </c>
      <c r="L52" s="724">
        <f t="shared" si="8"/>
        <v>15721.4</v>
      </c>
      <c r="M52" s="724">
        <f>3956+950723.6</f>
        <v>954679.6</v>
      </c>
      <c r="N52" s="724">
        <v>93508.800000000003</v>
      </c>
      <c r="O52" s="724">
        <f t="shared" si="9"/>
        <v>1048188.4</v>
      </c>
      <c r="P52" s="724">
        <f t="shared" si="10"/>
        <v>1431203.7000000002</v>
      </c>
      <c r="Q52" s="724">
        <v>-213756.2</v>
      </c>
      <c r="R52" s="724">
        <f t="shared" ref="R52" si="18">P52+Q52</f>
        <v>1217447.5000000002</v>
      </c>
      <c r="S52" s="724">
        <f t="shared" ref="S52" si="19">E52+R52</f>
        <v>1474424.6</v>
      </c>
      <c r="T52" s="574" t="s">
        <v>815</v>
      </c>
      <c r="U52" s="269"/>
    </row>
    <row r="53" spans="1:21" ht="10.35" customHeight="1" thickBot="1">
      <c r="A53" s="1088" t="s">
        <v>824</v>
      </c>
      <c r="B53" s="1720">
        <f>249633.4+13454.1</f>
        <v>263087.5</v>
      </c>
      <c r="C53" s="1720">
        <v>-155.1</v>
      </c>
      <c r="D53" s="1105">
        <v>-12435</v>
      </c>
      <c r="E53" s="1105">
        <f t="shared" si="6"/>
        <v>250497.4</v>
      </c>
      <c r="F53" s="1720">
        <f>16694.9+76559.5</f>
        <v>93254.399999999994</v>
      </c>
      <c r="G53" s="1720">
        <v>-2625</v>
      </c>
      <c r="H53" s="1105">
        <v>281239.5</v>
      </c>
      <c r="I53" s="1105">
        <f t="shared" si="7"/>
        <v>371868.9</v>
      </c>
      <c r="J53" s="1720">
        <f>1601.1+12218.1</f>
        <v>13819.2</v>
      </c>
      <c r="K53" s="1720">
        <v>1237.2</v>
      </c>
      <c r="L53" s="1720">
        <f t="shared" si="8"/>
        <v>15056.400000000001</v>
      </c>
      <c r="M53" s="1720">
        <f>3929.3+959088</f>
        <v>963017.3</v>
      </c>
      <c r="N53" s="1720">
        <v>93503.4</v>
      </c>
      <c r="O53" s="1720">
        <f t="shared" si="9"/>
        <v>1056520.7</v>
      </c>
      <c r="P53" s="1720">
        <f t="shared" si="10"/>
        <v>1443446</v>
      </c>
      <c r="Q53" s="1720">
        <v>-213228.1</v>
      </c>
      <c r="R53" s="1720">
        <f t="shared" ref="R53" si="20">P53+Q53</f>
        <v>1230217.8999999999</v>
      </c>
      <c r="S53" s="1720">
        <f t="shared" ref="S53" si="21">E53+R53</f>
        <v>1480715.2999999998</v>
      </c>
      <c r="T53" s="1691" t="s">
        <v>824</v>
      </c>
      <c r="U53" s="269"/>
    </row>
    <row r="54" spans="1:21" ht="12" customHeight="1">
      <c r="A54" s="288" t="s">
        <v>2325</v>
      </c>
      <c r="B54" s="1912" t="s">
        <v>2123</v>
      </c>
      <c r="C54" s="1912"/>
      <c r="D54" s="1912"/>
      <c r="E54" s="1912"/>
      <c r="F54" s="1912"/>
      <c r="G54" s="397"/>
      <c r="H54" s="397"/>
      <c r="I54" s="397"/>
      <c r="J54" s="397"/>
      <c r="K54" s="397"/>
      <c r="L54" s="397"/>
      <c r="M54" s="287" t="s">
        <v>263</v>
      </c>
      <c r="N54" s="1913" t="s">
        <v>2310</v>
      </c>
      <c r="O54" s="1913"/>
      <c r="P54" s="1913"/>
      <c r="Q54" s="1913"/>
      <c r="R54" s="1913"/>
      <c r="S54" s="1913"/>
      <c r="T54" s="1913"/>
    </row>
    <row r="55" spans="1:21" ht="11.25" customHeight="1">
      <c r="B55" s="333"/>
      <c r="C55" s="789"/>
      <c r="D55" s="789"/>
      <c r="E55" s="789"/>
      <c r="F55" s="789"/>
      <c r="G55" s="789"/>
      <c r="H55" s="789"/>
      <c r="I55" s="789"/>
      <c r="J55" s="789"/>
      <c r="K55" s="789"/>
      <c r="L55" s="789"/>
      <c r="M55" s="782"/>
      <c r="N55" s="1883" t="s">
        <v>2374</v>
      </c>
      <c r="O55" s="1883"/>
      <c r="P55" s="1883"/>
      <c r="Q55" s="1883"/>
      <c r="R55" s="1883"/>
      <c r="S55" s="1883"/>
      <c r="T55" s="1883"/>
      <c r="U55" s="782"/>
    </row>
    <row r="56" spans="1:21" ht="10.5" customHeight="1">
      <c r="N56" s="1107" t="s">
        <v>2229</v>
      </c>
      <c r="O56" s="1092"/>
      <c r="P56" s="1092"/>
      <c r="Q56" s="397" t="s">
        <v>2228</v>
      </c>
      <c r="R56" s="1092"/>
      <c r="S56" s="1092"/>
      <c r="T56" s="1092"/>
    </row>
    <row r="57" spans="1:21" ht="12" customHeight="1">
      <c r="M57" s="288" t="s">
        <v>264</v>
      </c>
      <c r="N57" s="1912" t="s">
        <v>2123</v>
      </c>
      <c r="O57" s="1912"/>
      <c r="P57" s="1912"/>
      <c r="Q57" s="1912"/>
      <c r="R57" s="1912"/>
      <c r="S57" s="1912"/>
      <c r="T57" s="1912"/>
    </row>
    <row r="58" spans="1:21" ht="12" customHeight="1"/>
    <row r="59" spans="1:21" ht="12" customHeight="1"/>
    <row r="60" spans="1:21" ht="9.75" customHeight="1"/>
    <row r="71" spans="2:20">
      <c r="B71" s="269"/>
      <c r="C71" s="269"/>
      <c r="D71" s="269"/>
      <c r="E71" s="269"/>
      <c r="F71" s="269"/>
      <c r="G71" s="269"/>
      <c r="H71" s="269"/>
      <c r="I71" s="269"/>
      <c r="J71" s="269"/>
      <c r="K71" s="269"/>
      <c r="L71" s="269"/>
      <c r="M71" s="269"/>
      <c r="N71" s="269"/>
      <c r="O71" s="269"/>
      <c r="P71" s="269"/>
      <c r="Q71" s="269"/>
      <c r="R71" s="269"/>
      <c r="S71" s="269"/>
      <c r="T71" s="269"/>
    </row>
    <row r="72" spans="2:20">
      <c r="B72" s="269"/>
      <c r="C72" s="269"/>
      <c r="D72" s="269"/>
      <c r="E72" s="269"/>
      <c r="F72" s="269"/>
      <c r="G72" s="269"/>
      <c r="H72" s="269"/>
      <c r="I72" s="269"/>
      <c r="J72" s="269"/>
      <c r="K72" s="269"/>
      <c r="L72" s="269"/>
      <c r="M72" s="269"/>
      <c r="N72" s="269"/>
      <c r="O72" s="269"/>
      <c r="P72" s="269"/>
      <c r="Q72" s="269"/>
      <c r="R72" s="269"/>
      <c r="S72" s="269"/>
      <c r="T72" s="269"/>
    </row>
    <row r="73" spans="2:20">
      <c r="B73" s="269"/>
      <c r="C73" s="269"/>
      <c r="D73" s="269"/>
      <c r="E73" s="269"/>
      <c r="F73" s="269"/>
      <c r="G73" s="269"/>
      <c r="H73" s="269"/>
      <c r="I73" s="269"/>
      <c r="J73" s="269"/>
      <c r="K73" s="269"/>
      <c r="L73" s="269"/>
      <c r="M73" s="269"/>
      <c r="N73" s="269"/>
      <c r="O73" s="269"/>
      <c r="P73" s="269"/>
      <c r="Q73" s="269"/>
      <c r="R73" s="269"/>
      <c r="S73" s="269"/>
      <c r="T73" s="269"/>
    </row>
    <row r="74" spans="2:20">
      <c r="B74" s="269"/>
      <c r="C74" s="269"/>
      <c r="D74" s="269"/>
      <c r="E74" s="269"/>
      <c r="F74" s="269"/>
      <c r="G74" s="269"/>
      <c r="H74" s="269"/>
      <c r="I74" s="269"/>
      <c r="J74" s="269"/>
      <c r="K74" s="269"/>
      <c r="L74" s="269"/>
      <c r="M74" s="269"/>
      <c r="N74" s="269"/>
      <c r="O74" s="269"/>
      <c r="P74" s="269"/>
      <c r="Q74" s="269"/>
      <c r="R74" s="269"/>
      <c r="S74" s="269"/>
      <c r="T74" s="269"/>
    </row>
    <row r="75" spans="2:20">
      <c r="B75" s="269"/>
      <c r="C75" s="269"/>
      <c r="D75" s="269"/>
      <c r="E75" s="269"/>
      <c r="F75" s="269"/>
      <c r="G75" s="269"/>
      <c r="H75" s="269"/>
      <c r="I75" s="269"/>
      <c r="J75" s="269"/>
      <c r="K75" s="269"/>
      <c r="L75" s="269"/>
      <c r="M75" s="269"/>
      <c r="N75" s="269"/>
      <c r="O75" s="269"/>
      <c r="P75" s="269"/>
      <c r="Q75" s="269"/>
      <c r="R75" s="269"/>
      <c r="S75" s="269"/>
      <c r="T75" s="269"/>
    </row>
    <row r="76" spans="2:20">
      <c r="B76" s="269"/>
      <c r="C76" s="269"/>
      <c r="D76" s="269"/>
      <c r="E76" s="269"/>
      <c r="F76" s="269"/>
      <c r="G76" s="269"/>
      <c r="H76" s="269"/>
      <c r="I76" s="269"/>
      <c r="J76" s="269"/>
      <c r="K76" s="269"/>
      <c r="L76" s="269"/>
      <c r="M76" s="269"/>
      <c r="N76" s="269"/>
      <c r="O76" s="269"/>
      <c r="P76" s="269"/>
      <c r="Q76" s="269"/>
      <c r="R76" s="269"/>
      <c r="S76" s="269"/>
      <c r="T76" s="269"/>
    </row>
    <row r="77" spans="2:20">
      <c r="B77" s="269"/>
      <c r="C77" s="269"/>
      <c r="D77" s="269"/>
      <c r="E77" s="269"/>
      <c r="F77" s="269"/>
      <c r="G77" s="269"/>
      <c r="H77" s="269"/>
      <c r="I77" s="269"/>
      <c r="J77" s="269"/>
      <c r="K77" s="269"/>
      <c r="L77" s="269"/>
      <c r="M77" s="269"/>
      <c r="N77" s="269"/>
      <c r="O77" s="269"/>
      <c r="P77" s="269"/>
      <c r="Q77" s="269"/>
      <c r="R77" s="269"/>
      <c r="S77" s="269"/>
      <c r="T77" s="269"/>
    </row>
    <row r="78" spans="2:20">
      <c r="B78" s="269"/>
      <c r="C78" s="269"/>
      <c r="D78" s="269"/>
      <c r="E78" s="269"/>
      <c r="F78" s="269"/>
      <c r="G78" s="269"/>
      <c r="H78" s="269"/>
      <c r="I78" s="269"/>
      <c r="J78" s="269"/>
      <c r="K78" s="269"/>
      <c r="L78" s="269"/>
      <c r="M78" s="269"/>
      <c r="N78" s="269"/>
      <c r="O78" s="269"/>
      <c r="P78" s="269"/>
      <c r="Q78" s="269"/>
      <c r="R78" s="269"/>
      <c r="S78" s="269"/>
      <c r="T78" s="269"/>
    </row>
    <row r="79" spans="2:20">
      <c r="B79" s="269"/>
      <c r="C79" s="269"/>
      <c r="D79" s="269"/>
      <c r="E79" s="269"/>
      <c r="F79" s="269"/>
      <c r="G79" s="269"/>
      <c r="H79" s="269"/>
      <c r="I79" s="269"/>
      <c r="J79" s="269"/>
      <c r="K79" s="269"/>
      <c r="L79" s="269"/>
      <c r="M79" s="269"/>
      <c r="N79" s="269"/>
      <c r="O79" s="269"/>
      <c r="P79" s="269"/>
      <c r="Q79" s="269"/>
      <c r="R79" s="269"/>
      <c r="S79" s="269"/>
      <c r="T79" s="269"/>
    </row>
    <row r="80" spans="2:20">
      <c r="B80" s="269"/>
      <c r="C80" s="269"/>
      <c r="D80" s="269"/>
      <c r="E80" s="269"/>
      <c r="F80" s="269"/>
      <c r="G80" s="269"/>
      <c r="H80" s="269"/>
      <c r="I80" s="269"/>
      <c r="J80" s="269"/>
      <c r="K80" s="269"/>
      <c r="L80" s="269"/>
      <c r="M80" s="269"/>
      <c r="N80" s="269"/>
      <c r="O80" s="269"/>
      <c r="P80" s="269"/>
      <c r="Q80" s="269"/>
      <c r="R80" s="269"/>
      <c r="S80" s="269"/>
      <c r="T80" s="269"/>
    </row>
    <row r="81" spans="2:20">
      <c r="B81" s="269"/>
      <c r="C81" s="269"/>
      <c r="D81" s="269"/>
      <c r="E81" s="269"/>
      <c r="F81" s="269"/>
      <c r="G81" s="269"/>
      <c r="H81" s="269"/>
      <c r="I81" s="269"/>
      <c r="J81" s="269"/>
      <c r="K81" s="269"/>
      <c r="L81" s="269"/>
      <c r="M81" s="269"/>
      <c r="N81" s="269"/>
      <c r="O81" s="269"/>
      <c r="P81" s="269"/>
      <c r="Q81" s="269"/>
      <c r="R81" s="269"/>
      <c r="S81" s="269"/>
      <c r="T81" s="269"/>
    </row>
  </sheetData>
  <mergeCells count="28">
    <mergeCell ref="S1:T1"/>
    <mergeCell ref="M4:O4"/>
    <mergeCell ref="J1:L1"/>
    <mergeCell ref="M1:N1"/>
    <mergeCell ref="S3:S6"/>
    <mergeCell ref="S2:T2"/>
    <mergeCell ref="Q3:Q6"/>
    <mergeCell ref="M3:O3"/>
    <mergeCell ref="B54:F54"/>
    <mergeCell ref="N57:T57"/>
    <mergeCell ref="M5:M6"/>
    <mergeCell ref="N5:N6"/>
    <mergeCell ref="N55:T55"/>
    <mergeCell ref="N54:T54"/>
    <mergeCell ref="T3:T7"/>
    <mergeCell ref="P4:P6"/>
    <mergeCell ref="O5:O6"/>
    <mergeCell ref="R3:R6"/>
    <mergeCell ref="C4:C6"/>
    <mergeCell ref="B4:B6"/>
    <mergeCell ref="A3:A7"/>
    <mergeCell ref="E4:E6"/>
    <mergeCell ref="F5:I5"/>
    <mergeCell ref="B3:E3"/>
    <mergeCell ref="F4:L4"/>
    <mergeCell ref="D4:D6"/>
    <mergeCell ref="J5:L5"/>
    <mergeCell ref="F3:L3"/>
  </mergeCells>
  <phoneticPr fontId="0" type="noConversion"/>
  <conditionalFormatting sqref="A30 T30 B14:T14 T8:T17 A8:A17 B8:S53">
    <cfRule type="expression" dxfId="4" priority="75" stopIfTrue="1">
      <formula>MOD(ROW(),2)=1</formula>
    </cfRule>
  </conditionalFormatting>
  <conditionalFormatting sqref="A30 T30 T15:T17 A15:A17">
    <cfRule type="expression" dxfId="3" priority="69" stopIfTrue="1">
      <formula>MOD(ROW(),2)=1</formula>
    </cfRule>
    <cfRule type="expression" priority="70" stopIfTrue="1">
      <formula>MOD(ROW(),2)=1</formula>
    </cfRule>
  </conditionalFormatting>
  <conditionalFormatting sqref="A30 T30 T16:T17 A16:A17">
    <cfRule type="expression" priority="66" stopIfTrue="1">
      <formula>MOD(row,0)=0</formula>
    </cfRule>
  </conditionalFormatting>
  <conditionalFormatting sqref="A30 T16:T17 A16:A17">
    <cfRule type="expression" priority="61" stopIfTrue="1">
      <formula>MOD((((#REF!))),0)=0</formula>
    </cfRule>
  </conditionalFormatting>
  <conditionalFormatting sqref="T30">
    <cfRule type="expression" priority="15" stopIfTrue="1">
      <formula>MOD((((#REF!))),0)=0</formula>
    </cfRule>
  </conditionalFormatting>
  <conditionalFormatting sqref="B42:S44">
    <cfRule type="expression" dxfId="2" priority="2" stopIfTrue="1">
      <formula>MOD(ROW(),2)=1</formula>
    </cfRule>
  </conditionalFormatting>
  <pageMargins left="0.55118110236220497" right="0.47244094488188998" top="0.511811023622047" bottom="0.511811023622047" header="0" footer="0.39370078740157499"/>
  <pageSetup paperSize="448" firstPageNumber="18" orientation="portrait" useFirstPageNumber="1" r:id="rId1"/>
  <headerFooter alignWithMargins="0">
    <oddFooter>&amp;C&amp;"Times New Roman,Regular"&amp;8&amp;P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41</vt:i4>
      </vt:variant>
    </vt:vector>
  </HeadingPairs>
  <TitlesOfParts>
    <vt:vector size="41" baseType="lpstr">
      <vt:lpstr>Cover Page</vt:lpstr>
      <vt:lpstr>Contents</vt:lpstr>
      <vt:lpstr>Table IA</vt:lpstr>
      <vt:lpstr>Table IB</vt:lpstr>
      <vt:lpstr>TableIIA</vt:lpstr>
      <vt:lpstr>TableIIB</vt:lpstr>
      <vt:lpstr>TableIIC </vt:lpstr>
      <vt:lpstr>Table IID</vt:lpstr>
      <vt:lpstr>Table IIE</vt:lpstr>
      <vt:lpstr>Table IIF</vt:lpstr>
      <vt:lpstr>Table IIG</vt:lpstr>
      <vt:lpstr>Table III A</vt:lpstr>
      <vt:lpstr>Table IIIB</vt:lpstr>
      <vt:lpstr>Table IV</vt:lpstr>
      <vt:lpstr>Table V</vt:lpstr>
      <vt:lpstr>Table VI</vt:lpstr>
      <vt:lpstr>Table VII</vt:lpstr>
      <vt:lpstr>Table VIII</vt:lpstr>
      <vt:lpstr>TableIXA</vt:lpstr>
      <vt:lpstr>TableIXB</vt:lpstr>
      <vt:lpstr>TableIXC</vt:lpstr>
      <vt:lpstr>TableX</vt:lpstr>
      <vt:lpstr>TableXI</vt:lpstr>
      <vt:lpstr>Table XIIA</vt:lpstr>
      <vt:lpstr>Table XIIB</vt:lpstr>
      <vt:lpstr>TableXIII</vt:lpstr>
      <vt:lpstr>Table XIV</vt:lpstr>
      <vt:lpstr>TableXV</vt:lpstr>
      <vt:lpstr>TableXVI</vt:lpstr>
      <vt:lpstr>Table XVII</vt:lpstr>
      <vt:lpstr>Table XVIII</vt:lpstr>
      <vt:lpstr>TableXIX</vt:lpstr>
      <vt:lpstr>TableXX</vt:lpstr>
      <vt:lpstr>TableXXI</vt:lpstr>
      <vt:lpstr>Table XXII</vt:lpstr>
      <vt:lpstr>Table XXIII</vt:lpstr>
      <vt:lpstr>Table XXIV</vt:lpstr>
      <vt:lpstr>Table XXV</vt:lpstr>
      <vt:lpstr>Table XXVI</vt:lpstr>
      <vt:lpstr>Table XXVII</vt:lpstr>
      <vt:lpstr>Appendix- Weights &amp; Measures</vt:lpstr>
    </vt:vector>
  </TitlesOfParts>
  <Company>icsl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asif</dc:creator>
  <cp:lastModifiedBy>aamansur</cp:lastModifiedBy>
  <cp:lastPrinted>2019-06-23T12:14:47Z</cp:lastPrinted>
  <dcterms:created xsi:type="dcterms:W3CDTF">2007-04-10T13:42:14Z</dcterms:created>
  <dcterms:modified xsi:type="dcterms:W3CDTF">2019-06-25T10:06:35Z</dcterms:modified>
</cp:coreProperties>
</file>